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59063f627c2eb15/Documents/atlantic-walk-research/public/models/"/>
    </mc:Choice>
  </mc:AlternateContent>
  <xr:revisionPtr revIDLastSave="1" documentId="8_{5E84BB76-4799-44FA-BEF1-D3E086DEFDCD}" xr6:coauthVersionLast="47" xr6:coauthVersionMax="47" xr10:uidLastSave="{8BCBABEE-071A-4191-AD7A-1D7FD17C9900}"/>
  <bookViews>
    <workbookView xWindow="-110" yWindow="-110" windowWidth="19420" windowHeight="11500" firstSheet="2" activeTab="3" xr2:uid="{2ECECACC-71DE-4765-B0A2-724AA1E5A30F}"/>
  </bookViews>
  <sheets>
    <sheet name="Cover" sheetId="13" r:id="rId1"/>
    <sheet name="Summary" sheetId="14" r:id="rId2"/>
    <sheet name="Graphs" sheetId="12" r:id="rId3"/>
    <sheet name="Model" sheetId="1" r:id="rId4"/>
    <sheet name="Deployment" sheetId="3" r:id="rId5"/>
    <sheet name="DCF" sheetId="4" r:id="rId6"/>
    <sheet name="WACC" sheetId="9" r:id="rId7"/>
    <sheet name="ValSum" sheetId="10" r:id="rId8"/>
    <sheet name="ValGraph" sheetId="11" r:id="rId9"/>
    <sheet name="PubComps" sheetId="6" r:id="rId10"/>
    <sheet name="PubCompsData" sheetId="7" r:id="rId11"/>
    <sheet name="MAComps" sheetId="8" r:id="rId12"/>
  </sheets>
  <externalReferences>
    <externalReference r:id="rId13"/>
    <externalReference r:id="rId14"/>
    <externalReference r:id="rId15"/>
  </externalReferences>
  <definedNames>
    <definedName name="BlackwellCapex">Deployment!$D$79</definedName>
    <definedName name="BlackwellPrice">Deployment!$D$66</definedName>
    <definedName name="Company_Name">Model!$D$7</definedName>
    <definedName name="Cost_of_Debt">WACC!$F$8</definedName>
    <definedName name="Cost_of_Preferred">WACC!$F$9</definedName>
    <definedName name="Current_Quart">Model!$M$9</definedName>
    <definedName name="Diluted_Shares">Model!$D$11</definedName>
    <definedName name="DilutedShares">[1]Model!$G$8</definedName>
    <definedName name="Discount_Rate">DCF!$D$8</definedName>
    <definedName name="Equity_Risk_Premium">WACC!$F$7</definedName>
    <definedName name="Forward_Quart_1">Model!$M$14</definedName>
    <definedName name="Forward_Quart_2">Model!$M$15</definedName>
    <definedName name="Forward_Quart_3">Model!$M$16</definedName>
    <definedName name="Forward_Year_1">[1]Model!$N$12</definedName>
    <definedName name="Forward_Year_2">[1]Model!$N$13</definedName>
    <definedName name="H100CapEx">Deployment!$D$77</definedName>
    <definedName name="H100Price">Deployment!$D$64</definedName>
    <definedName name="H200Capex">Deployment!$D$78</definedName>
    <definedName name="H200Price">Deployment!$D$65</definedName>
    <definedName name="Hist_Quart">Model!$M$7</definedName>
    <definedName name="Hist_Year">[1]Model!$N$5</definedName>
    <definedName name="LTM">[1]Model!$N$11</definedName>
    <definedName name="Model_Paramas">[1]Model!$C$78:$C$195</definedName>
    <definedName name="Model_Range">[1]Model!$C$78:$W$195</definedName>
    <definedName name="Model_Years">[1]Model!$C$78:$W$78</definedName>
    <definedName name="MWPrice">DCF!$D$28</definedName>
    <definedName name="Next_Quart">Model!$M$8</definedName>
    <definedName name="Pub_Comps_Params">PubCompsData!$C$3:$C$102</definedName>
    <definedName name="Pub_Comps_Range">PubCompsData!$C$3:$AL$102</definedName>
    <definedName name="Pub_Comps_Tickers">PubCompsData!$C$3:$AL$3</definedName>
    <definedName name="Risk_Free_Rate">WACC!$F$6</definedName>
    <definedName name="Scenario">DCF!$D$9</definedName>
    <definedName name="Share_Price">Model!$D$12</definedName>
    <definedName name="Stub_Period">DCF!$D$11</definedName>
    <definedName name="Tax_Rate">Model!$D$13</definedName>
    <definedName name="Terminal_Growth_Rate">DCF!$N$12</definedName>
    <definedName name="Terminal_Multiple">DCF!$I$12</definedName>
    <definedName name="Three_State_Params">Model!$C$51:$C$159</definedName>
    <definedName name="Three_State_Quart">Model!$C$51:$U$51</definedName>
    <definedName name="Three_State_Range">Model!$C$51:$U$159</definedName>
    <definedName name="Ticker">[2]WMT_Model!$D$8</definedName>
    <definedName name="Utilization_Rate">DCF!$D$27</definedName>
    <definedName name="Valuation_Date">[1]Model!$N$8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6" i="1" l="1"/>
  <c r="I147" i="1"/>
  <c r="L8" i="3"/>
  <c r="M8" i="3"/>
  <c r="N8" i="3"/>
  <c r="O8" i="3"/>
  <c r="P8" i="3"/>
  <c r="Q8" i="3"/>
  <c r="R8" i="3"/>
  <c r="S8" i="3"/>
  <c r="T8" i="3"/>
  <c r="U8" i="3"/>
  <c r="V8" i="3"/>
  <c r="W8" i="3"/>
  <c r="L33" i="3"/>
  <c r="M33" i="3"/>
  <c r="N33" i="3"/>
  <c r="O33" i="3"/>
  <c r="P33" i="3"/>
  <c r="Q33" i="3"/>
  <c r="R33" i="3"/>
  <c r="S33" i="3"/>
  <c r="T33" i="3"/>
  <c r="U33" i="3"/>
  <c r="V33" i="3"/>
  <c r="W33" i="3"/>
  <c r="K21" i="3"/>
  <c r="K72" i="3" s="1"/>
  <c r="I21" i="1" s="1"/>
  <c r="B3" i="3"/>
  <c r="K92" i="3"/>
  <c r="M56" i="3"/>
  <c r="N56" i="3"/>
  <c r="O56" i="3"/>
  <c r="P56" i="3"/>
  <c r="Q56" i="3"/>
  <c r="R56" i="3"/>
  <c r="S56" i="3"/>
  <c r="T56" i="3"/>
  <c r="U56" i="3"/>
  <c r="V56" i="3"/>
  <c r="W56" i="3"/>
  <c r="L56" i="3"/>
  <c r="M51" i="3"/>
  <c r="N51" i="3"/>
  <c r="O51" i="3"/>
  <c r="P51" i="3"/>
  <c r="Q51" i="3"/>
  <c r="R51" i="3"/>
  <c r="S51" i="3"/>
  <c r="T51" i="3"/>
  <c r="U51" i="3"/>
  <c r="V51" i="3"/>
  <c r="W51" i="3"/>
  <c r="L51" i="3"/>
  <c r="M45" i="3"/>
  <c r="N45" i="3"/>
  <c r="O45" i="3"/>
  <c r="P45" i="3"/>
  <c r="Q45" i="3"/>
  <c r="R45" i="3"/>
  <c r="S45" i="3"/>
  <c r="T45" i="3"/>
  <c r="U45" i="3"/>
  <c r="V45" i="3"/>
  <c r="W45" i="3"/>
  <c r="M40" i="3"/>
  <c r="N40" i="3"/>
  <c r="O40" i="3"/>
  <c r="P40" i="3"/>
  <c r="Q40" i="3"/>
  <c r="R40" i="3"/>
  <c r="S40" i="3"/>
  <c r="T40" i="3"/>
  <c r="U40" i="3"/>
  <c r="V40" i="3"/>
  <c r="W40" i="3"/>
  <c r="L40" i="3"/>
  <c r="T27" i="3"/>
  <c r="U27" i="3"/>
  <c r="V27" i="3"/>
  <c r="W27" i="3"/>
  <c r="L27" i="3"/>
  <c r="R21" i="3"/>
  <c r="S21" i="3"/>
  <c r="T21" i="3"/>
  <c r="U21" i="3"/>
  <c r="V21" i="3"/>
  <c r="W21" i="3"/>
  <c r="L21" i="3"/>
  <c r="Q16" i="3"/>
  <c r="R16" i="3"/>
  <c r="S16" i="3"/>
  <c r="T16" i="3"/>
  <c r="U16" i="3"/>
  <c r="V16" i="3"/>
  <c r="W16" i="3"/>
  <c r="L16" i="3"/>
  <c r="N82" i="3"/>
  <c r="O82" i="3"/>
  <c r="P82" i="3"/>
  <c r="Q82" i="3"/>
  <c r="R82" i="3"/>
  <c r="S82" i="3"/>
  <c r="T82" i="3"/>
  <c r="U82" i="3"/>
  <c r="V82" i="3"/>
  <c r="W82" i="3"/>
  <c r="R83" i="3"/>
  <c r="S83" i="3"/>
  <c r="T83" i="3"/>
  <c r="U83" i="3"/>
  <c r="V83" i="3"/>
  <c r="W83" i="3"/>
  <c r="P84" i="3"/>
  <c r="Q84" i="3"/>
  <c r="R84" i="3"/>
  <c r="S84" i="3"/>
  <c r="T84" i="3"/>
  <c r="U84" i="3"/>
  <c r="V84" i="3"/>
  <c r="W84" i="3"/>
  <c r="N87" i="3"/>
  <c r="O87" i="3"/>
  <c r="P87" i="3"/>
  <c r="Q87" i="3"/>
  <c r="R87" i="3"/>
  <c r="S87" i="3"/>
  <c r="T87" i="3"/>
  <c r="U87" i="3"/>
  <c r="V87" i="3"/>
  <c r="W87" i="3"/>
  <c r="S88" i="3"/>
  <c r="T88" i="3"/>
  <c r="U88" i="3"/>
  <c r="V88" i="3"/>
  <c r="W88" i="3"/>
  <c r="R89" i="3"/>
  <c r="S89" i="3"/>
  <c r="T89" i="3"/>
  <c r="U89" i="3"/>
  <c r="V89" i="3"/>
  <c r="W89" i="3"/>
  <c r="N92" i="3"/>
  <c r="O92" i="3"/>
  <c r="P92" i="3"/>
  <c r="Q92" i="3"/>
  <c r="R92" i="3"/>
  <c r="S92" i="3"/>
  <c r="T92" i="3"/>
  <c r="U92" i="3"/>
  <c r="V92" i="3"/>
  <c r="W92" i="3"/>
  <c r="M92" i="3"/>
  <c r="S93" i="3"/>
  <c r="T93" i="3"/>
  <c r="U93" i="3"/>
  <c r="V93" i="3"/>
  <c r="W93" i="3"/>
  <c r="U94" i="3"/>
  <c r="V94" i="3"/>
  <c r="W94" i="3"/>
  <c r="L94" i="3"/>
  <c r="L93" i="3"/>
  <c r="L92" i="3"/>
  <c r="L89" i="3"/>
  <c r="L88" i="3"/>
  <c r="K93" i="3"/>
  <c r="K88" i="3"/>
  <c r="K87" i="3"/>
  <c r="M82" i="3"/>
  <c r="L84" i="3"/>
  <c r="L83" i="3"/>
  <c r="L82" i="3"/>
  <c r="B22" i="13"/>
  <c r="B26" i="13"/>
  <c r="K82" i="3" l="1"/>
  <c r="K83" i="3"/>
  <c r="M30" i="3"/>
  <c r="M19" i="3"/>
  <c r="M29" i="3"/>
  <c r="M18" i="3"/>
  <c r="M24" i="3"/>
  <c r="M23" i="3"/>
  <c r="M21" i="3" s="1"/>
  <c r="L115" i="3"/>
  <c r="M115" i="3" s="1"/>
  <c r="N115" i="3" s="1"/>
  <c r="O115" i="3" s="1"/>
  <c r="H72" i="4"/>
  <c r="I72" i="4"/>
  <c r="J72" i="4"/>
  <c r="K72" i="4"/>
  <c r="L72" i="4"/>
  <c r="M72" i="4"/>
  <c r="N72" i="4"/>
  <c r="O72" i="4"/>
  <c r="P72" i="4"/>
  <c r="G72" i="4"/>
  <c r="G86" i="4"/>
  <c r="H86" i="4" s="1"/>
  <c r="I86" i="4" s="1"/>
  <c r="J86" i="4" s="1"/>
  <c r="K86" i="4" s="1"/>
  <c r="L86" i="4" s="1"/>
  <c r="M86" i="4" s="1"/>
  <c r="N86" i="4" s="1"/>
  <c r="O86" i="4" s="1"/>
  <c r="P86" i="4" s="1"/>
  <c r="K60" i="3"/>
  <c r="J60" i="3"/>
  <c r="I60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H3" i="3"/>
  <c r="B50" i="14"/>
  <c r="B47" i="14"/>
  <c r="B45" i="14"/>
  <c r="B31" i="14"/>
  <c r="B30" i="14"/>
  <c r="B28" i="14"/>
  <c r="B27" i="14"/>
  <c r="B26" i="14"/>
  <c r="B23" i="14"/>
  <c r="U9" i="14"/>
  <c r="B20" i="14"/>
  <c r="B9" i="14"/>
  <c r="B7" i="14"/>
  <c r="G3" i="14"/>
  <c r="H3" i="14"/>
  <c r="F3" i="14"/>
  <c r="B40" i="14"/>
  <c r="D38" i="14"/>
  <c r="D3" i="14"/>
  <c r="J2" i="14"/>
  <c r="F2" i="14"/>
  <c r="AC52" i="12"/>
  <c r="Z52" i="12"/>
  <c r="T52" i="12"/>
  <c r="V46" i="12"/>
  <c r="S46" i="12"/>
  <c r="E89" i="4"/>
  <c r="E90" i="4"/>
  <c r="E91" i="4"/>
  <c r="E92" i="4" s="1"/>
  <c r="E93" i="4" s="1"/>
  <c r="E94" i="4" s="1"/>
  <c r="E95" i="4" s="1"/>
  <c r="E88" i="4"/>
  <c r="M30" i="10"/>
  <c r="F34" i="11" s="1"/>
  <c r="L30" i="10"/>
  <c r="E34" i="11" s="1"/>
  <c r="K30" i="10"/>
  <c r="D34" i="11" s="1"/>
  <c r="J30" i="10"/>
  <c r="C34" i="11" s="1"/>
  <c r="I30" i="10"/>
  <c r="B34" i="11" s="1"/>
  <c r="H34" i="11" s="1"/>
  <c r="D15" i="13"/>
  <c r="D14" i="13"/>
  <c r="D10" i="13"/>
  <c r="B2" i="13"/>
  <c r="R69" i="12"/>
  <c r="R68" i="12"/>
  <c r="R66" i="12"/>
  <c r="R65" i="12"/>
  <c r="R63" i="12"/>
  <c r="R62" i="12"/>
  <c r="R59" i="12"/>
  <c r="R57" i="12"/>
  <c r="R55" i="12"/>
  <c r="AC51" i="12"/>
  <c r="Z51" i="12"/>
  <c r="W51" i="12"/>
  <c r="T51" i="12"/>
  <c r="AC50" i="12"/>
  <c r="Z50" i="12"/>
  <c r="W50" i="12"/>
  <c r="T50" i="12"/>
  <c r="AC49" i="12"/>
  <c r="Z49" i="12"/>
  <c r="W49" i="12"/>
  <c r="T49" i="12"/>
  <c r="AC48" i="12"/>
  <c r="Z48" i="12"/>
  <c r="W48" i="12"/>
  <c r="T48" i="12"/>
  <c r="AC47" i="12"/>
  <c r="Z47" i="12"/>
  <c r="W47" i="12"/>
  <c r="T47" i="12"/>
  <c r="AC46" i="12"/>
  <c r="Z46" i="12"/>
  <c r="W46" i="12"/>
  <c r="B2" i="12"/>
  <c r="C54" i="11"/>
  <c r="D54" i="11"/>
  <c r="E54" i="11"/>
  <c r="F54" i="11"/>
  <c r="B54" i="11"/>
  <c r="I38" i="11"/>
  <c r="B38" i="11"/>
  <c r="H38" i="11" s="1"/>
  <c r="C38" i="11"/>
  <c r="D38" i="11"/>
  <c r="J38" i="11" s="1"/>
  <c r="E38" i="11"/>
  <c r="K38" i="11" s="1"/>
  <c r="F38" i="11"/>
  <c r="L38" i="11" s="1"/>
  <c r="B37" i="11"/>
  <c r="H37" i="11" s="1"/>
  <c r="C37" i="11"/>
  <c r="D37" i="11"/>
  <c r="E37" i="11"/>
  <c r="K37" i="11" s="1"/>
  <c r="F37" i="11"/>
  <c r="L37" i="11" s="1"/>
  <c r="A49" i="11"/>
  <c r="A46" i="11"/>
  <c r="A42" i="11"/>
  <c r="A39" i="11"/>
  <c r="A38" i="11"/>
  <c r="A37" i="11"/>
  <c r="A35" i="11"/>
  <c r="A34" i="11"/>
  <c r="A52" i="11"/>
  <c r="O1" i="11"/>
  <c r="E42" i="10"/>
  <c r="E34" i="10"/>
  <c r="E35" i="10"/>
  <c r="E36" i="10"/>
  <c r="E37" i="10"/>
  <c r="E38" i="10"/>
  <c r="E39" i="10"/>
  <c r="E33" i="10"/>
  <c r="H25" i="10"/>
  <c r="B20" i="10"/>
  <c r="A44" i="11" s="1"/>
  <c r="B17" i="10"/>
  <c r="A47" i="11" s="1"/>
  <c r="B14" i="10"/>
  <c r="A50" i="11" s="1"/>
  <c r="C25" i="10" a="1"/>
  <c r="C25" i="10" s="1"/>
  <c r="C23" i="10" a="1"/>
  <c r="C23" i="10" s="1"/>
  <c r="B40" i="10"/>
  <c r="B39" i="10"/>
  <c r="B38" i="10"/>
  <c r="B37" i="10"/>
  <c r="B36" i="10"/>
  <c r="B35" i="10"/>
  <c r="B34" i="10"/>
  <c r="B33" i="10"/>
  <c r="I27" i="10"/>
  <c r="L26" i="10"/>
  <c r="K26" i="10"/>
  <c r="J26" i="10"/>
  <c r="I26" i="10"/>
  <c r="M26" i="10"/>
  <c r="B24" i="10"/>
  <c r="A40" i="11" s="1"/>
  <c r="B23" i="10"/>
  <c r="A41" i="11" s="1"/>
  <c r="B5" i="10"/>
  <c r="B2" i="10"/>
  <c r="B24" i="13"/>
  <c r="B29" i="13"/>
  <c r="B32" i="13"/>
  <c r="B30" i="13"/>
  <c r="B28" i="13"/>
  <c r="B33" i="13"/>
  <c r="B31" i="13"/>
  <c r="B23" i="13"/>
  <c r="B27" i="13"/>
  <c r="B25" i="13"/>
  <c r="L45" i="3" l="1"/>
  <c r="L70" i="3" s="1"/>
  <c r="L72" i="3" s="1"/>
  <c r="M27" i="3"/>
  <c r="M71" i="3" s="1"/>
  <c r="M16" i="3"/>
  <c r="M69" i="3" s="1"/>
  <c r="N30" i="3"/>
  <c r="M94" i="3"/>
  <c r="N29" i="3"/>
  <c r="M93" i="3"/>
  <c r="N24" i="3"/>
  <c r="M89" i="3"/>
  <c r="M87" i="3"/>
  <c r="L87" i="3"/>
  <c r="N23" i="3"/>
  <c r="O23" i="3" s="1"/>
  <c r="M88" i="3"/>
  <c r="N18" i="3"/>
  <c r="M83" i="3"/>
  <c r="N19" i="3"/>
  <c r="M84" i="3"/>
  <c r="Q69" i="3"/>
  <c r="R69" i="3"/>
  <c r="U69" i="3"/>
  <c r="L71" i="3"/>
  <c r="W71" i="3"/>
  <c r="R70" i="3"/>
  <c r="R72" i="3" s="1"/>
  <c r="P21" i="1" s="1"/>
  <c r="S70" i="3"/>
  <c r="S72" i="3" s="1"/>
  <c r="Q21" i="1" s="1"/>
  <c r="U71" i="3"/>
  <c r="V71" i="3"/>
  <c r="T70" i="3"/>
  <c r="T72" i="3" s="1"/>
  <c r="R21" i="1" s="1"/>
  <c r="T69" i="3"/>
  <c r="L69" i="3"/>
  <c r="S69" i="3"/>
  <c r="U70" i="3"/>
  <c r="U72" i="3" s="1"/>
  <c r="S21" i="1" s="1"/>
  <c r="T71" i="3"/>
  <c r="W69" i="3"/>
  <c r="W70" i="3"/>
  <c r="W72" i="3" s="1"/>
  <c r="U21" i="1" s="1"/>
  <c r="V69" i="3"/>
  <c r="V70" i="3"/>
  <c r="V72" i="3" s="1"/>
  <c r="T21" i="1" s="1"/>
  <c r="M70" i="3"/>
  <c r="M72" i="3" s="1"/>
  <c r="K21" i="1" s="1"/>
  <c r="H31" i="14"/>
  <c r="H21" i="14"/>
  <c r="G21" i="14"/>
  <c r="H32" i="14"/>
  <c r="F27" i="14"/>
  <c r="F28" i="14"/>
  <c r="G32" i="14"/>
  <c r="G31" i="14"/>
  <c r="F15" i="14"/>
  <c r="F31" i="14"/>
  <c r="F21" i="14"/>
  <c r="F32" i="14"/>
  <c r="F14" i="14"/>
  <c r="F26" i="14"/>
  <c r="H23" i="14"/>
  <c r="G14" i="14"/>
  <c r="G23" i="14"/>
  <c r="F23" i="14"/>
  <c r="W60" i="3"/>
  <c r="M60" i="3"/>
  <c r="N60" i="3"/>
  <c r="L60" i="3"/>
  <c r="T60" i="3"/>
  <c r="U60" i="3"/>
  <c r="V60" i="3"/>
  <c r="O60" i="3"/>
  <c r="P60" i="3"/>
  <c r="Q60" i="3"/>
  <c r="R60" i="3"/>
  <c r="S60" i="3"/>
  <c r="J37" i="11"/>
  <c r="I37" i="11"/>
  <c r="K34" i="11"/>
  <c r="L34" i="11"/>
  <c r="J34" i="11"/>
  <c r="I34" i="11"/>
  <c r="M25" i="10"/>
  <c r="F39" i="11" s="1"/>
  <c r="K25" i="10"/>
  <c r="D39" i="11" s="1"/>
  <c r="M27" i="10"/>
  <c r="I25" i="10"/>
  <c r="B39" i="11" s="1"/>
  <c r="H39" i="11" s="1"/>
  <c r="K27" i="10"/>
  <c r="J25" i="10"/>
  <c r="C39" i="11" s="1"/>
  <c r="L27" i="10"/>
  <c r="L25" i="10"/>
  <c r="E39" i="11" s="1"/>
  <c r="J27" i="10"/>
  <c r="I54" i="1" l="1"/>
  <c r="J21" i="1"/>
  <c r="N83" i="3"/>
  <c r="N16" i="3"/>
  <c r="N69" i="3" s="1"/>
  <c r="N93" i="3"/>
  <c r="N27" i="3"/>
  <c r="N71" i="3" s="1"/>
  <c r="N88" i="3"/>
  <c r="N21" i="3"/>
  <c r="N70" i="3" s="1"/>
  <c r="N72" i="3" s="1"/>
  <c r="L21" i="1" s="1"/>
  <c r="O88" i="3"/>
  <c r="O29" i="3"/>
  <c r="O24" i="3"/>
  <c r="O21" i="3" s="1"/>
  <c r="O70" i="3" s="1"/>
  <c r="O72" i="3" s="1"/>
  <c r="M21" i="1" s="1"/>
  <c r="N89" i="3"/>
  <c r="O84" i="3"/>
  <c r="N84" i="3"/>
  <c r="O30" i="3"/>
  <c r="N94" i="3"/>
  <c r="O18" i="3"/>
  <c r="O16" i="3" s="1"/>
  <c r="P23" i="3"/>
  <c r="L39" i="11"/>
  <c r="J39" i="11"/>
  <c r="K39" i="11"/>
  <c r="I39" i="11"/>
  <c r="P29" i="3" l="1"/>
  <c r="P93" i="3" s="1"/>
  <c r="O27" i="3"/>
  <c r="O71" i="3" s="1"/>
  <c r="P88" i="3"/>
  <c r="P30" i="3"/>
  <c r="O94" i="3"/>
  <c r="P24" i="3"/>
  <c r="P21" i="3" s="1"/>
  <c r="P70" i="3" s="1"/>
  <c r="P72" i="3" s="1"/>
  <c r="N21" i="1" s="1"/>
  <c r="O89" i="3"/>
  <c r="O93" i="3"/>
  <c r="O83" i="3"/>
  <c r="P18" i="3"/>
  <c r="P16" i="3" s="1"/>
  <c r="O69" i="3"/>
  <c r="Q23" i="3"/>
  <c r="Q21" i="3" s="1"/>
  <c r="J23" i="1"/>
  <c r="J53" i="1" s="1"/>
  <c r="K23" i="1"/>
  <c r="K53" i="1" s="1"/>
  <c r="L23" i="1"/>
  <c r="L53" i="1" s="1"/>
  <c r="M23" i="1"/>
  <c r="M53" i="1" s="1"/>
  <c r="N23" i="1"/>
  <c r="O23" i="1"/>
  <c r="P23" i="1"/>
  <c r="P53" i="1" s="1"/>
  <c r="Q23" i="1"/>
  <c r="Q53" i="1" s="1"/>
  <c r="R23" i="1"/>
  <c r="R53" i="1" s="1"/>
  <c r="S23" i="1"/>
  <c r="S53" i="1" s="1"/>
  <c r="T23" i="1"/>
  <c r="T53" i="1" s="1"/>
  <c r="U23" i="1"/>
  <c r="U53" i="1" s="1"/>
  <c r="I23" i="1"/>
  <c r="I53" i="1" s="1"/>
  <c r="E75" i="4"/>
  <c r="E76" i="4"/>
  <c r="E77" i="4"/>
  <c r="E78" i="4"/>
  <c r="E79" i="4"/>
  <c r="E80" i="4"/>
  <c r="E81" i="4"/>
  <c r="E74" i="4"/>
  <c r="N52" i="1" l="1"/>
  <c r="N53" i="1"/>
  <c r="I9" i="14"/>
  <c r="P9" i="14"/>
  <c r="O9" i="14"/>
  <c r="N9" i="14"/>
  <c r="M9" i="14"/>
  <c r="L9" i="14"/>
  <c r="K9" i="14"/>
  <c r="J9" i="14"/>
  <c r="T9" i="14"/>
  <c r="S9" i="14"/>
  <c r="R9" i="14"/>
  <c r="Q9" i="14"/>
  <c r="H9" i="14"/>
  <c r="Q29" i="3"/>
  <c r="Q93" i="3" s="1"/>
  <c r="P27" i="3"/>
  <c r="P71" i="3" s="1"/>
  <c r="P83" i="3"/>
  <c r="Q83" i="3"/>
  <c r="Q70" i="3"/>
  <c r="Q72" i="3" s="1"/>
  <c r="O21" i="1" s="1"/>
  <c r="O53" i="1" s="1"/>
  <c r="Q88" i="3"/>
  <c r="R88" i="3"/>
  <c r="Q89" i="3"/>
  <c r="P89" i="3"/>
  <c r="Q30" i="3"/>
  <c r="P94" i="3"/>
  <c r="P69" i="3"/>
  <c r="F59" i="4"/>
  <c r="G59" i="4"/>
  <c r="E59" i="4"/>
  <c r="F55" i="4"/>
  <c r="G55" i="4"/>
  <c r="E55" i="4"/>
  <c r="F50" i="4"/>
  <c r="G50" i="4"/>
  <c r="E50" i="4"/>
  <c r="R93" i="3" l="1"/>
  <c r="Q27" i="3"/>
  <c r="Q71" i="3" s="1"/>
  <c r="R30" i="3"/>
  <c r="R27" i="3" s="1"/>
  <c r="Q94" i="3"/>
  <c r="F43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E43" i="4"/>
  <c r="I37" i="4"/>
  <c r="D15" i="4"/>
  <c r="D16" i="4"/>
  <c r="D17" i="4"/>
  <c r="D18" i="4"/>
  <c r="D19" i="4"/>
  <c r="D20" i="4"/>
  <c r="D21" i="4"/>
  <c r="D22" i="4"/>
  <c r="D14" i="4"/>
  <c r="B26" i="9"/>
  <c r="K11" i="9"/>
  <c r="K17" i="9" s="1"/>
  <c r="I11" i="9"/>
  <c r="I16" i="9" s="1"/>
  <c r="G11" i="9"/>
  <c r="G15" i="9" s="1"/>
  <c r="E11" i="9"/>
  <c r="E29" i="9" s="1"/>
  <c r="D11" i="9"/>
  <c r="D19" i="9" s="1"/>
  <c r="C11" i="9"/>
  <c r="B11" i="9"/>
  <c r="B19" i="9" s="1"/>
  <c r="B3" i="9"/>
  <c r="B2" i="9"/>
  <c r="Y5" i="6"/>
  <c r="X5" i="6"/>
  <c r="W5" i="6"/>
  <c r="T5" i="6"/>
  <c r="Q5" i="6"/>
  <c r="N5" i="6"/>
  <c r="AL16" i="7"/>
  <c r="AL36" i="7"/>
  <c r="AL37" i="7"/>
  <c r="AL57" i="7" s="1"/>
  <c r="AK13" i="7"/>
  <c r="AL13" i="7"/>
  <c r="AJ13" i="7"/>
  <c r="AI66" i="7"/>
  <c r="AL52" i="7"/>
  <c r="AL51" i="7"/>
  <c r="AL48" i="7"/>
  <c r="AL47" i="7"/>
  <c r="AL46" i="7"/>
  <c r="AL45" i="7"/>
  <c r="AL44" i="7"/>
  <c r="AL43" i="7"/>
  <c r="AL42" i="7"/>
  <c r="AL41" i="7"/>
  <c r="AL40" i="7"/>
  <c r="B22" i="6"/>
  <c r="D14" i="6"/>
  <c r="E14" i="6"/>
  <c r="F14" i="6"/>
  <c r="G14" i="6"/>
  <c r="H14" i="6"/>
  <c r="I14" i="6"/>
  <c r="J14" i="6"/>
  <c r="K14" i="6"/>
  <c r="L14" i="6"/>
  <c r="M14" i="6"/>
  <c r="B14" i="6"/>
  <c r="B33" i="6"/>
  <c r="D33" i="6"/>
  <c r="F33" i="6"/>
  <c r="M33" i="6"/>
  <c r="K30" i="9" l="1"/>
  <c r="R71" i="3"/>
  <c r="R94" i="3"/>
  <c r="S30" i="3"/>
  <c r="S27" i="3" s="1"/>
  <c r="K15" i="9"/>
  <c r="K16" i="9"/>
  <c r="B17" i="9"/>
  <c r="K20" i="9"/>
  <c r="I20" i="9"/>
  <c r="B20" i="9"/>
  <c r="K24" i="9"/>
  <c r="G20" i="9"/>
  <c r="D20" i="9"/>
  <c r="E24" i="9"/>
  <c r="E19" i="9"/>
  <c r="G24" i="9"/>
  <c r="E20" i="9"/>
  <c r="G19" i="9"/>
  <c r="G29" i="9"/>
  <c r="B18" i="9"/>
  <c r="I15" i="9"/>
  <c r="D18" i="9"/>
  <c r="E17" i="9"/>
  <c r="I19" i="9"/>
  <c r="E15" i="9"/>
  <c r="G16" i="9"/>
  <c r="I17" i="9"/>
  <c r="K18" i="9"/>
  <c r="E18" i="9"/>
  <c r="B16" i="9"/>
  <c r="G18" i="9"/>
  <c r="D16" i="9"/>
  <c r="B24" i="9"/>
  <c r="B15" i="9"/>
  <c r="E16" i="9"/>
  <c r="G17" i="9"/>
  <c r="I18" i="9"/>
  <c r="K19" i="9"/>
  <c r="D17" i="9"/>
  <c r="K29" i="9"/>
  <c r="D15" i="9"/>
  <c r="D24" i="9"/>
  <c r="AL61" i="7"/>
  <c r="I29" i="9" s="1"/>
  <c r="S94" i="3" l="1"/>
  <c r="T94" i="3"/>
  <c r="S71" i="3"/>
  <c r="F20" i="9"/>
  <c r="I24" i="9"/>
  <c r="L24" i="9" s="1"/>
  <c r="H20" i="9"/>
  <c r="AL62" i="7"/>
  <c r="L20" i="9"/>
  <c r="J20" i="9"/>
  <c r="J19" i="9"/>
  <c r="H15" i="9"/>
  <c r="G22" i="9"/>
  <c r="F29" i="9"/>
  <c r="L34" i="9"/>
  <c r="I22" i="9"/>
  <c r="H17" i="9"/>
  <c r="H29" i="9"/>
  <c r="J29" i="9"/>
  <c r="K22" i="9"/>
  <c r="F16" i="9"/>
  <c r="L18" i="9"/>
  <c r="J15" i="9"/>
  <c r="H18" i="9"/>
  <c r="F17" i="9"/>
  <c r="L16" i="9"/>
  <c r="D22" i="9"/>
  <c r="L15" i="9"/>
  <c r="L17" i="9"/>
  <c r="L19" i="9"/>
  <c r="F18" i="9"/>
  <c r="F19" i="9"/>
  <c r="J17" i="9"/>
  <c r="H16" i="9"/>
  <c r="J16" i="9"/>
  <c r="J18" i="9"/>
  <c r="E22" i="9"/>
  <c r="F15" i="9"/>
  <c r="H19" i="9"/>
  <c r="AD33" i="7"/>
  <c r="AE33" i="7" s="1"/>
  <c r="AF33" i="7" s="1"/>
  <c r="I8" i="7"/>
  <c r="Y33" i="7"/>
  <c r="Z33" i="7" s="1"/>
  <c r="Z31" i="7"/>
  <c r="AA31" i="7" s="1"/>
  <c r="AE31" i="7"/>
  <c r="AF31" i="7" s="1"/>
  <c r="AD31" i="7"/>
  <c r="AF14" i="7"/>
  <c r="AF15" i="7" s="1"/>
  <c r="AE14" i="7"/>
  <c r="AE15" i="7" s="1"/>
  <c r="AD14" i="7"/>
  <c r="AG10" i="7"/>
  <c r="AF10" i="7"/>
  <c r="AE10" i="7"/>
  <c r="AH10" i="7" s="1"/>
  <c r="AG8" i="7"/>
  <c r="AF8" i="7"/>
  <c r="AE8" i="7"/>
  <c r="Y31" i="7"/>
  <c r="AB8" i="7"/>
  <c r="AA8" i="7"/>
  <c r="Z8" i="7"/>
  <c r="AC8" i="7" s="1"/>
  <c r="AB10" i="7"/>
  <c r="AA10" i="7"/>
  <c r="Z10" i="7"/>
  <c r="AC10" i="7" s="1"/>
  <c r="AA14" i="7"/>
  <c r="AA15" i="7" s="1"/>
  <c r="Z14" i="7"/>
  <c r="Z15" i="7" s="1"/>
  <c r="Y14" i="7"/>
  <c r="U33" i="7"/>
  <c r="V33" i="7" s="1"/>
  <c r="T33" i="7"/>
  <c r="T31" i="7"/>
  <c r="U31" i="7" s="1"/>
  <c r="V31" i="7" s="1"/>
  <c r="V15" i="7"/>
  <c r="U15" i="7"/>
  <c r="W10" i="7"/>
  <c r="V10" i="7"/>
  <c r="U10" i="7"/>
  <c r="W8" i="7"/>
  <c r="V8" i="7"/>
  <c r="U8" i="7"/>
  <c r="V14" i="7"/>
  <c r="U14" i="7"/>
  <c r="T14" i="7"/>
  <c r="O33" i="7"/>
  <c r="P33" i="7" s="1"/>
  <c r="Q33" i="7" s="1"/>
  <c r="O31" i="7"/>
  <c r="P31" i="7" s="1"/>
  <c r="Q31" i="7" s="1"/>
  <c r="S10" i="7"/>
  <c r="S8" i="7"/>
  <c r="P14" i="7"/>
  <c r="P15" i="7" s="1"/>
  <c r="Q14" i="7"/>
  <c r="Q15" i="7" s="1"/>
  <c r="O14" i="7"/>
  <c r="R10" i="7"/>
  <c r="Q10" i="7"/>
  <c r="P10" i="7"/>
  <c r="R8" i="7"/>
  <c r="Q8" i="7"/>
  <c r="P8" i="7"/>
  <c r="J33" i="7"/>
  <c r="K33" i="7" s="1"/>
  <c r="L33" i="7" s="1"/>
  <c r="J31" i="7"/>
  <c r="K31" i="7" s="1"/>
  <c r="L31" i="7" s="1"/>
  <c r="K14" i="7"/>
  <c r="K15" i="7" s="1"/>
  <c r="L14" i="7"/>
  <c r="L15" i="7" s="1"/>
  <c r="M14" i="7"/>
  <c r="M15" i="7" s="1"/>
  <c r="N15" i="7" s="1"/>
  <c r="J14" i="7"/>
  <c r="M10" i="7"/>
  <c r="L10" i="7"/>
  <c r="K10" i="7"/>
  <c r="N10" i="7" s="1"/>
  <c r="M8" i="7"/>
  <c r="L8" i="7"/>
  <c r="K8" i="7"/>
  <c r="N8" i="7" s="1"/>
  <c r="E33" i="7"/>
  <c r="F33" i="7" s="1"/>
  <c r="G33" i="7" s="1"/>
  <c r="G10" i="7"/>
  <c r="H10" i="7"/>
  <c r="F10" i="7"/>
  <c r="I10" i="7" s="1"/>
  <c r="F14" i="7"/>
  <c r="F15" i="7" s="1"/>
  <c r="G14" i="7"/>
  <c r="E14" i="7"/>
  <c r="E31" i="7"/>
  <c r="F31" i="7" s="1"/>
  <c r="G31" i="7" s="1"/>
  <c r="G8" i="7"/>
  <c r="H8" i="7"/>
  <c r="F8" i="7"/>
  <c r="AD66" i="7"/>
  <c r="Y66" i="7"/>
  <c r="T66" i="7"/>
  <c r="O66" i="7"/>
  <c r="J66" i="7"/>
  <c r="E66" i="7"/>
  <c r="P12" i="8"/>
  <c r="O12" i="8"/>
  <c r="N12" i="8"/>
  <c r="I12" i="8"/>
  <c r="H12" i="8"/>
  <c r="G12" i="8"/>
  <c r="D29" i="9" l="1"/>
  <c r="D30" i="9"/>
  <c r="L39" i="9"/>
  <c r="F22" i="9"/>
  <c r="F30" i="9" s="1"/>
  <c r="E30" i="9" s="1"/>
  <c r="H22" i="9"/>
  <c r="H30" i="9" s="1"/>
  <c r="G30" i="9" s="1"/>
  <c r="J22" i="9"/>
  <c r="J30" i="9" s="1"/>
  <c r="I30" i="9" s="1"/>
  <c r="L22" i="9"/>
  <c r="X10" i="7"/>
  <c r="X8" i="7"/>
  <c r="M88" i="7"/>
  <c r="AA33" i="7"/>
  <c r="G15" i="7"/>
  <c r="AH8" i="7"/>
  <c r="AE69" i="7"/>
  <c r="J32" i="7"/>
  <c r="K32" i="7" s="1"/>
  <c r="L32" i="7" s="1"/>
  <c r="B6" i="8"/>
  <c r="F24" i="8"/>
  <c r="F23" i="8"/>
  <c r="F22" i="8"/>
  <c r="F21" i="8"/>
  <c r="F20" i="8"/>
  <c r="P17" i="8"/>
  <c r="O17" i="8"/>
  <c r="N17" i="8"/>
  <c r="H17" i="8"/>
  <c r="G17" i="8"/>
  <c r="I17" i="8" s="1"/>
  <c r="P16" i="8"/>
  <c r="O16" i="8"/>
  <c r="N16" i="8"/>
  <c r="I16" i="8"/>
  <c r="H16" i="8"/>
  <c r="P15" i="8"/>
  <c r="O15" i="8"/>
  <c r="N15" i="8"/>
  <c r="I15" i="8"/>
  <c r="H15" i="8"/>
  <c r="P14" i="8"/>
  <c r="O14" i="8"/>
  <c r="N14" i="8"/>
  <c r="I14" i="8"/>
  <c r="I20" i="8" s="1"/>
  <c r="H14" i="8"/>
  <c r="P13" i="8"/>
  <c r="O13" i="8"/>
  <c r="N13" i="8"/>
  <c r="E13" i="8"/>
  <c r="I13" i="8" s="1"/>
  <c r="B4" i="8"/>
  <c r="M77" i="7"/>
  <c r="M73" i="7"/>
  <c r="C94" i="7"/>
  <c r="T24" i="6" s="1"/>
  <c r="AG61" i="7"/>
  <c r="AD69" i="7" s="1"/>
  <c r="AB55" i="7"/>
  <c r="W55" i="7"/>
  <c r="R55" i="7"/>
  <c r="M55" i="7"/>
  <c r="G55" i="7"/>
  <c r="H55" i="7" s="1"/>
  <c r="AG52" i="7"/>
  <c r="AB52" i="7"/>
  <c r="W52" i="7"/>
  <c r="R52" i="7"/>
  <c r="M52" i="7"/>
  <c r="H52" i="7"/>
  <c r="AG51" i="7"/>
  <c r="AB51" i="7"/>
  <c r="W51" i="7"/>
  <c r="R51" i="7"/>
  <c r="M51" i="7"/>
  <c r="H51" i="7"/>
  <c r="AG48" i="7"/>
  <c r="AB48" i="7"/>
  <c r="W48" i="7"/>
  <c r="R48" i="7"/>
  <c r="M48" i="7"/>
  <c r="H48" i="7"/>
  <c r="AG47" i="7"/>
  <c r="AB47" i="7"/>
  <c r="W47" i="7"/>
  <c r="R47" i="7"/>
  <c r="M47" i="7"/>
  <c r="H47" i="7"/>
  <c r="AG46" i="7"/>
  <c r="AB46" i="7"/>
  <c r="W46" i="7"/>
  <c r="R46" i="7"/>
  <c r="M46" i="7"/>
  <c r="H46" i="7"/>
  <c r="AG45" i="7"/>
  <c r="AB45" i="7"/>
  <c r="W45" i="7"/>
  <c r="R45" i="7"/>
  <c r="M45" i="7"/>
  <c r="H45" i="7"/>
  <c r="AG44" i="7"/>
  <c r="AB44" i="7"/>
  <c r="W44" i="7"/>
  <c r="R44" i="7"/>
  <c r="M44" i="7"/>
  <c r="H44" i="7"/>
  <c r="AG43" i="7"/>
  <c r="AB43" i="7"/>
  <c r="W43" i="7"/>
  <c r="R43" i="7"/>
  <c r="M43" i="7"/>
  <c r="H43" i="7"/>
  <c r="AG42" i="7"/>
  <c r="AB42" i="7"/>
  <c r="W42" i="7"/>
  <c r="R42" i="7"/>
  <c r="M42" i="7"/>
  <c r="H42" i="7"/>
  <c r="AG41" i="7"/>
  <c r="AB41" i="7"/>
  <c r="W41" i="7"/>
  <c r="R41" i="7"/>
  <c r="M41" i="7"/>
  <c r="H41" i="7"/>
  <c r="AG40" i="7"/>
  <c r="AB40" i="7"/>
  <c r="W40" i="7"/>
  <c r="R40" i="7"/>
  <c r="M40" i="7"/>
  <c r="H40" i="7"/>
  <c r="AG83" i="7"/>
  <c r="AG79" i="7"/>
  <c r="AG75" i="7"/>
  <c r="W75" i="7"/>
  <c r="R75" i="7"/>
  <c r="M79" i="7"/>
  <c r="M75" i="7"/>
  <c r="M78" i="7"/>
  <c r="M74" i="7"/>
  <c r="AG81" i="7"/>
  <c r="AG77" i="7"/>
  <c r="AG73" i="7"/>
  <c r="R73" i="7"/>
  <c r="M83" i="7"/>
  <c r="AG16" i="7"/>
  <c r="AB16" i="7"/>
  <c r="W16" i="7"/>
  <c r="R16" i="7"/>
  <c r="M16" i="7"/>
  <c r="H16" i="7"/>
  <c r="M41" i="6"/>
  <c r="F41" i="6"/>
  <c r="M32" i="6"/>
  <c r="F32" i="6"/>
  <c r="D32" i="6"/>
  <c r="B32" i="6"/>
  <c r="M31" i="6"/>
  <c r="F31" i="6"/>
  <c r="D31" i="6"/>
  <c r="B31" i="6"/>
  <c r="M30" i="6"/>
  <c r="F30" i="6"/>
  <c r="D30" i="6"/>
  <c r="B30" i="6"/>
  <c r="M29" i="6"/>
  <c r="F29" i="6"/>
  <c r="D29" i="6"/>
  <c r="B29" i="6"/>
  <c r="M28" i="6"/>
  <c r="F28" i="6"/>
  <c r="D28" i="6"/>
  <c r="B28" i="6"/>
  <c r="U27" i="6"/>
  <c r="T27" i="6"/>
  <c r="R27" i="6"/>
  <c r="Q27" i="6"/>
  <c r="O27" i="6"/>
  <c r="N27" i="6"/>
  <c r="D22" i="6"/>
  <c r="E22" i="6"/>
  <c r="M13" i="6"/>
  <c r="L13" i="6"/>
  <c r="K13" i="6"/>
  <c r="J13" i="6"/>
  <c r="I13" i="6"/>
  <c r="H13" i="6"/>
  <c r="G13" i="6"/>
  <c r="F13" i="6"/>
  <c r="E13" i="6"/>
  <c r="D13" i="6"/>
  <c r="B13" i="6"/>
  <c r="M12" i="6"/>
  <c r="L12" i="6"/>
  <c r="K12" i="6"/>
  <c r="J12" i="6"/>
  <c r="I12" i="6"/>
  <c r="H12" i="6"/>
  <c r="G12" i="6"/>
  <c r="F12" i="6"/>
  <c r="E12" i="6"/>
  <c r="D12" i="6"/>
  <c r="B12" i="6"/>
  <c r="M11" i="6"/>
  <c r="L11" i="6"/>
  <c r="K11" i="6"/>
  <c r="J11" i="6"/>
  <c r="I11" i="6"/>
  <c r="H11" i="6"/>
  <c r="G11" i="6"/>
  <c r="F11" i="6"/>
  <c r="E11" i="6"/>
  <c r="D11" i="6"/>
  <c r="B11" i="6"/>
  <c r="M10" i="6"/>
  <c r="L10" i="6"/>
  <c r="K10" i="6"/>
  <c r="J10" i="6"/>
  <c r="I10" i="6"/>
  <c r="H10" i="6"/>
  <c r="G10" i="6"/>
  <c r="F10" i="6"/>
  <c r="E10" i="6"/>
  <c r="D10" i="6"/>
  <c r="B10" i="6"/>
  <c r="M9" i="6"/>
  <c r="L9" i="6"/>
  <c r="K9" i="6"/>
  <c r="J9" i="6"/>
  <c r="I9" i="6"/>
  <c r="H9" i="6"/>
  <c r="G9" i="6"/>
  <c r="F9" i="6"/>
  <c r="E9" i="6"/>
  <c r="D9" i="6"/>
  <c r="B9" i="6"/>
  <c r="Z8" i="6"/>
  <c r="Y8" i="6"/>
  <c r="U8" i="6"/>
  <c r="T8" i="6"/>
  <c r="R8" i="6"/>
  <c r="Q8" i="6"/>
  <c r="V8" i="6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I150" i="1"/>
  <c r="J150" i="1"/>
  <c r="K150" i="1"/>
  <c r="K153" i="1" s="1"/>
  <c r="L150" i="1"/>
  <c r="M150" i="1"/>
  <c r="N150" i="1"/>
  <c r="O150" i="1"/>
  <c r="P150" i="1"/>
  <c r="Q150" i="1"/>
  <c r="R150" i="1"/>
  <c r="S150" i="1"/>
  <c r="T150" i="1"/>
  <c r="U150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J42" i="1"/>
  <c r="K42" i="1" s="1"/>
  <c r="L42" i="1" s="1"/>
  <c r="M42" i="1" s="1"/>
  <c r="N42" i="1" s="1"/>
  <c r="O42" i="1" s="1"/>
  <c r="P42" i="1" s="1"/>
  <c r="Q42" i="1" s="1"/>
  <c r="R42" i="1" s="1"/>
  <c r="S42" i="1" s="1"/>
  <c r="T42" i="1" s="1"/>
  <c r="U42" i="1" s="1"/>
  <c r="I93" i="1"/>
  <c r="J93" i="1" s="1"/>
  <c r="K93" i="1" s="1"/>
  <c r="L93" i="1" s="1"/>
  <c r="M93" i="1" s="1"/>
  <c r="N93" i="1" s="1"/>
  <c r="O93" i="1" s="1"/>
  <c r="P93" i="1" s="1"/>
  <c r="Q93" i="1" s="1"/>
  <c r="R93" i="1" s="1"/>
  <c r="S93" i="1" s="1"/>
  <c r="T93" i="1" s="1"/>
  <c r="U93" i="1" s="1"/>
  <c r="J35" i="1"/>
  <c r="K35" i="1" s="1"/>
  <c r="L35" i="1" s="1"/>
  <c r="M35" i="1" s="1"/>
  <c r="N35" i="1" s="1"/>
  <c r="O35" i="1" s="1"/>
  <c r="P35" i="1" s="1"/>
  <c r="Q35" i="1" s="1"/>
  <c r="R35" i="1" s="1"/>
  <c r="S35" i="1" s="1"/>
  <c r="T35" i="1" s="1"/>
  <c r="U35" i="1" s="1"/>
  <c r="H44" i="1"/>
  <c r="F44" i="1"/>
  <c r="H36" i="1"/>
  <c r="F36" i="1"/>
  <c r="M7" i="1"/>
  <c r="M14" i="1"/>
  <c r="I70" i="1"/>
  <c r="J70" i="1" s="1"/>
  <c r="K70" i="1" s="1"/>
  <c r="L70" i="1" s="1"/>
  <c r="M70" i="1" s="1"/>
  <c r="N70" i="1" s="1"/>
  <c r="O70" i="1" s="1"/>
  <c r="P70" i="1" s="1"/>
  <c r="Q70" i="1" s="1"/>
  <c r="R70" i="1" s="1"/>
  <c r="S70" i="1" s="1"/>
  <c r="T70" i="1" s="1"/>
  <c r="U70" i="1" s="1"/>
  <c r="I69" i="1"/>
  <c r="H29" i="1"/>
  <c r="G29" i="1"/>
  <c r="I63" i="1"/>
  <c r="J63" i="1" s="1"/>
  <c r="K63" i="1" s="1"/>
  <c r="L63" i="1" s="1"/>
  <c r="M63" i="1" s="1"/>
  <c r="N63" i="1" s="1"/>
  <c r="O63" i="1" s="1"/>
  <c r="P63" i="1" s="1"/>
  <c r="Q63" i="1" s="1"/>
  <c r="R63" i="1" s="1"/>
  <c r="S63" i="1" s="1"/>
  <c r="T63" i="1" s="1"/>
  <c r="U63" i="1" s="1"/>
  <c r="I62" i="1"/>
  <c r="J62" i="1" s="1"/>
  <c r="G55" i="1"/>
  <c r="G7" i="14" s="1"/>
  <c r="G24" i="14" s="1"/>
  <c r="F55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I124" i="1"/>
  <c r="J86" i="1"/>
  <c r="K86" i="1"/>
  <c r="L86" i="1"/>
  <c r="M86" i="1"/>
  <c r="N86" i="1"/>
  <c r="O86" i="1"/>
  <c r="P86" i="1"/>
  <c r="Q86" i="1"/>
  <c r="R86" i="1"/>
  <c r="S86" i="1"/>
  <c r="T86" i="1"/>
  <c r="U86" i="1"/>
  <c r="I86" i="1"/>
  <c r="J51" i="1"/>
  <c r="J3" i="14" s="1"/>
  <c r="K51" i="1"/>
  <c r="K3" i="14" s="1"/>
  <c r="L51" i="1"/>
  <c r="L3" i="14" s="1"/>
  <c r="M51" i="1"/>
  <c r="M3" i="14" s="1"/>
  <c r="N51" i="1"/>
  <c r="N3" i="14" s="1"/>
  <c r="O51" i="1"/>
  <c r="O3" i="14" s="1"/>
  <c r="P51" i="1"/>
  <c r="P3" i="14" s="1"/>
  <c r="Q51" i="1"/>
  <c r="Q3" i="14" s="1"/>
  <c r="R51" i="1"/>
  <c r="R3" i="14" s="1"/>
  <c r="S51" i="1"/>
  <c r="S3" i="14" s="1"/>
  <c r="T51" i="1"/>
  <c r="T3" i="14" s="1"/>
  <c r="U51" i="1"/>
  <c r="U3" i="14" s="1"/>
  <c r="I51" i="1"/>
  <c r="I132" i="3"/>
  <c r="J132" i="3"/>
  <c r="H132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S153" i="1" l="1"/>
  <c r="R31" i="14"/>
  <c r="R21" i="14"/>
  <c r="Q21" i="14"/>
  <c r="Q31" i="14"/>
  <c r="P21" i="14"/>
  <c r="P31" i="14"/>
  <c r="K21" i="14"/>
  <c r="K38" i="14"/>
  <c r="K28" i="14"/>
  <c r="K31" i="14"/>
  <c r="O21" i="14"/>
  <c r="O31" i="14"/>
  <c r="M21" i="14"/>
  <c r="M31" i="14"/>
  <c r="J21" i="14"/>
  <c r="J38" i="14"/>
  <c r="J31" i="14"/>
  <c r="T31" i="14"/>
  <c r="T21" i="14"/>
  <c r="N21" i="14"/>
  <c r="N31" i="14"/>
  <c r="L21" i="14"/>
  <c r="L31" i="14"/>
  <c r="U31" i="14"/>
  <c r="U21" i="14"/>
  <c r="S31" i="14"/>
  <c r="S21" i="14"/>
  <c r="S28" i="14"/>
  <c r="E45" i="4"/>
  <c r="F7" i="14"/>
  <c r="F24" i="14" s="1"/>
  <c r="F45" i="4"/>
  <c r="G56" i="1"/>
  <c r="G15" i="14" s="1"/>
  <c r="B19" i="10"/>
  <c r="A45" i="11" s="1"/>
  <c r="B16" i="10"/>
  <c r="A48" i="11" s="1"/>
  <c r="B13" i="10"/>
  <c r="A51" i="11" s="1"/>
  <c r="R5" i="12" a="1"/>
  <c r="R5" i="12" s="1"/>
  <c r="I3" i="14"/>
  <c r="O153" i="1"/>
  <c r="O28" i="14" s="1"/>
  <c r="U153" i="1"/>
  <c r="U28" i="14" s="1"/>
  <c r="I153" i="1"/>
  <c r="I136" i="1"/>
  <c r="M153" i="1"/>
  <c r="M28" i="14" s="1"/>
  <c r="C74" i="7"/>
  <c r="C75" i="7"/>
  <c r="U5" i="6" s="1"/>
  <c r="L153" i="1"/>
  <c r="L28" i="14" s="1"/>
  <c r="L29" i="9"/>
  <c r="L32" i="9" s="1"/>
  <c r="L38" i="9" s="1"/>
  <c r="L30" i="9"/>
  <c r="L33" i="9" s="1"/>
  <c r="L40" i="9" s="1"/>
  <c r="AA8" i="6"/>
  <c r="V27" i="6"/>
  <c r="F19" i="6"/>
  <c r="R153" i="1"/>
  <c r="R28" i="14" s="1"/>
  <c r="P153" i="1"/>
  <c r="P28" i="14" s="1"/>
  <c r="AK7" i="7"/>
  <c r="M35" i="6"/>
  <c r="L136" i="1"/>
  <c r="F38" i="1"/>
  <c r="AJ7" i="7"/>
  <c r="M15" i="1"/>
  <c r="AI30" i="7"/>
  <c r="AJ66" i="7" s="1"/>
  <c r="AD30" i="7"/>
  <c r="AE66" i="7" s="1"/>
  <c r="Y30" i="7"/>
  <c r="Z66" i="7" s="1"/>
  <c r="T30" i="7"/>
  <c r="U66" i="7" s="1"/>
  <c r="C98" i="7"/>
  <c r="U24" i="6" s="1"/>
  <c r="C96" i="7"/>
  <c r="C73" i="7"/>
  <c r="O30" i="7"/>
  <c r="P66" i="7" s="1"/>
  <c r="J30" i="7"/>
  <c r="K66" i="7" s="1"/>
  <c r="E30" i="7"/>
  <c r="F66" i="7" s="1"/>
  <c r="C89" i="7"/>
  <c r="Z5" i="6" s="1"/>
  <c r="C97" i="7"/>
  <c r="J136" i="1"/>
  <c r="F35" i="6"/>
  <c r="M16" i="6"/>
  <c r="D19" i="6"/>
  <c r="F17" i="6"/>
  <c r="F20" i="6"/>
  <c r="F16" i="6"/>
  <c r="AF69" i="7"/>
  <c r="AG102" i="7" s="1"/>
  <c r="AG69" i="7"/>
  <c r="AB14" i="7"/>
  <c r="M82" i="7"/>
  <c r="M89" i="7"/>
  <c r="M85" i="7"/>
  <c r="AB57" i="7"/>
  <c r="AB61" i="7" s="1"/>
  <c r="M81" i="7"/>
  <c r="H57" i="7"/>
  <c r="H61" i="7" s="1"/>
  <c r="M57" i="7"/>
  <c r="M61" i="7" s="1"/>
  <c r="W57" i="7"/>
  <c r="W61" i="7" s="1"/>
  <c r="AG14" i="7"/>
  <c r="R14" i="7"/>
  <c r="W14" i="7"/>
  <c r="H14" i="7"/>
  <c r="R57" i="7"/>
  <c r="R61" i="7" s="1"/>
  <c r="P23" i="8"/>
  <c r="E21" i="8"/>
  <c r="O24" i="8"/>
  <c r="E22" i="8"/>
  <c r="P24" i="8"/>
  <c r="O20" i="8"/>
  <c r="N22" i="8"/>
  <c r="E24" i="8"/>
  <c r="O22" i="8"/>
  <c r="I22" i="8"/>
  <c r="I24" i="8"/>
  <c r="I21" i="8"/>
  <c r="I23" i="8"/>
  <c r="N20" i="8"/>
  <c r="N23" i="8"/>
  <c r="O23" i="8"/>
  <c r="G24" i="8"/>
  <c r="E20" i="8"/>
  <c r="E23" i="8"/>
  <c r="G22" i="8"/>
  <c r="G21" i="8"/>
  <c r="P22" i="8"/>
  <c r="N21" i="8"/>
  <c r="N24" i="8"/>
  <c r="G20" i="8"/>
  <c r="O21" i="8"/>
  <c r="G23" i="8"/>
  <c r="P20" i="8"/>
  <c r="H13" i="8"/>
  <c r="P21" i="8"/>
  <c r="M86" i="7"/>
  <c r="M90" i="7"/>
  <c r="AG85" i="7"/>
  <c r="H79" i="7"/>
  <c r="H83" i="7"/>
  <c r="AG62" i="7"/>
  <c r="AD67" i="7" s="1"/>
  <c r="AG98" i="7"/>
  <c r="AG94" i="7"/>
  <c r="H75" i="7"/>
  <c r="AB73" i="7"/>
  <c r="C93" i="7"/>
  <c r="Q24" i="6" s="1"/>
  <c r="C92" i="7"/>
  <c r="N24" i="6" s="1"/>
  <c r="F22" i="6"/>
  <c r="G22" i="6"/>
  <c r="B41" i="6"/>
  <c r="I22" i="6"/>
  <c r="J22" i="6"/>
  <c r="D17" i="6"/>
  <c r="M19" i="6"/>
  <c r="M17" i="6"/>
  <c r="H22" i="6"/>
  <c r="F39" i="6"/>
  <c r="D20" i="6"/>
  <c r="F38" i="6"/>
  <c r="M39" i="6"/>
  <c r="F37" i="6"/>
  <c r="M38" i="6"/>
  <c r="D18" i="6"/>
  <c r="M20" i="6"/>
  <c r="K22" i="6"/>
  <c r="F36" i="6"/>
  <c r="M37" i="6"/>
  <c r="F18" i="6"/>
  <c r="L22" i="6"/>
  <c r="P27" i="6"/>
  <c r="M36" i="6"/>
  <c r="S8" i="6"/>
  <c r="D16" i="6"/>
  <c r="M18" i="6"/>
  <c r="M22" i="6"/>
  <c r="S27" i="6"/>
  <c r="N153" i="1"/>
  <c r="N28" i="14" s="1"/>
  <c r="J153" i="1"/>
  <c r="J28" i="14" s="1"/>
  <c r="T153" i="1"/>
  <c r="T28" i="14" s="1"/>
  <c r="U136" i="1"/>
  <c r="P136" i="1"/>
  <c r="Q153" i="1"/>
  <c r="Q28" i="14" s="1"/>
  <c r="O136" i="1"/>
  <c r="N136" i="1"/>
  <c r="M136" i="1"/>
  <c r="K136" i="1"/>
  <c r="T136" i="1"/>
  <c r="S136" i="1"/>
  <c r="R136" i="1"/>
  <c r="Q136" i="1"/>
  <c r="F30" i="1"/>
  <c r="G30" i="1"/>
  <c r="F41" i="1"/>
  <c r="G41" i="1"/>
  <c r="F42" i="1"/>
  <c r="G42" i="1"/>
  <c r="G35" i="1"/>
  <c r="F35" i="1"/>
  <c r="G38" i="1"/>
  <c r="K62" i="1"/>
  <c r="I21" i="14" l="1"/>
  <c r="I31" i="14"/>
  <c r="W31" i="14" s="1"/>
  <c r="I28" i="14"/>
  <c r="W28" i="14" s="1"/>
  <c r="R26" i="12"/>
  <c r="R29" i="12"/>
  <c r="R27" i="12"/>
  <c r="R28" i="12"/>
  <c r="R5" i="6"/>
  <c r="V35" i="12"/>
  <c r="O24" i="6"/>
  <c r="Y35" i="12"/>
  <c r="R24" i="6"/>
  <c r="AB35" i="12"/>
  <c r="W9" i="14"/>
  <c r="S35" i="12"/>
  <c r="O5" i="6"/>
  <c r="L42" i="9"/>
  <c r="D8" i="4" s="1"/>
  <c r="M16" i="1"/>
  <c r="AJ30" i="7"/>
  <c r="AK66" i="7" s="1"/>
  <c r="C78" i="7"/>
  <c r="U30" i="7"/>
  <c r="V66" i="7" s="1"/>
  <c r="K30" i="7"/>
  <c r="L66" i="7" s="1"/>
  <c r="C77" i="7"/>
  <c r="P30" i="7"/>
  <c r="Q66" i="7" s="1"/>
  <c r="C102" i="7"/>
  <c r="V24" i="6" s="1"/>
  <c r="C101" i="7"/>
  <c r="C90" i="7"/>
  <c r="AA5" i="6" s="1"/>
  <c r="C100" i="7"/>
  <c r="Z30" i="7"/>
  <c r="AA66" i="7" s="1"/>
  <c r="AE30" i="7"/>
  <c r="AF66" i="7" s="1"/>
  <c r="F30" i="7"/>
  <c r="G66" i="7" s="1"/>
  <c r="C79" i="7"/>
  <c r="V5" i="6" s="1"/>
  <c r="AK8" i="7"/>
  <c r="Y69" i="7"/>
  <c r="AB94" i="7" s="1"/>
  <c r="P69" i="7"/>
  <c r="O69" i="7"/>
  <c r="Q69" i="7"/>
  <c r="R69" i="7"/>
  <c r="AB15" i="7"/>
  <c r="AC15" i="7" s="1"/>
  <c r="AB88" i="7"/>
  <c r="Y32" i="7"/>
  <c r="Z32" i="7" s="1"/>
  <c r="AA32" i="7" s="1"/>
  <c r="AA69" i="7"/>
  <c r="AB102" i="7" s="1"/>
  <c r="AG88" i="7"/>
  <c r="AG15" i="7"/>
  <c r="AH15" i="7" s="1"/>
  <c r="AD32" i="7"/>
  <c r="Z69" i="7"/>
  <c r="AB98" i="7" s="1"/>
  <c r="W88" i="7"/>
  <c r="T32" i="7"/>
  <c r="U32" i="7" s="1"/>
  <c r="V32" i="7" s="1"/>
  <c r="W15" i="7"/>
  <c r="X15" i="7" s="1"/>
  <c r="O32" i="7"/>
  <c r="R88" i="7"/>
  <c r="U69" i="7"/>
  <c r="W98" i="7" s="1"/>
  <c r="T69" i="7"/>
  <c r="W69" i="7"/>
  <c r="V69" i="7"/>
  <c r="W102" i="7" s="1"/>
  <c r="AG67" i="7"/>
  <c r="AF67" i="7"/>
  <c r="AG100" i="7" s="1"/>
  <c r="AE67" i="7"/>
  <c r="AG96" i="7" s="1"/>
  <c r="AG92" i="7"/>
  <c r="AD68" i="7"/>
  <c r="AG93" i="7" s="1"/>
  <c r="AB75" i="7"/>
  <c r="AB74" i="7"/>
  <c r="AB89" i="7" s="1"/>
  <c r="AB79" i="7"/>
  <c r="R15" i="7"/>
  <c r="S15" i="7" s="1"/>
  <c r="H62" i="7"/>
  <c r="E69" i="7"/>
  <c r="H94" i="7" s="1"/>
  <c r="G69" i="7"/>
  <c r="H102" i="7" s="1"/>
  <c r="H69" i="7"/>
  <c r="F69" i="7"/>
  <c r="H98" i="7" s="1"/>
  <c r="E32" i="7"/>
  <c r="F32" i="7" s="1"/>
  <c r="G32" i="7" s="1"/>
  <c r="H15" i="7"/>
  <c r="I15" i="7" s="1"/>
  <c r="AB62" i="7"/>
  <c r="Y67" i="7" s="1"/>
  <c r="J69" i="7"/>
  <c r="M94" i="7" s="1"/>
  <c r="L69" i="7"/>
  <c r="M102" i="7" s="1"/>
  <c r="M69" i="7"/>
  <c r="K69" i="7"/>
  <c r="M98" i="7" s="1"/>
  <c r="W94" i="7"/>
  <c r="W62" i="7"/>
  <c r="R102" i="7"/>
  <c r="M62" i="7"/>
  <c r="W79" i="7"/>
  <c r="R62" i="7"/>
  <c r="R77" i="7"/>
  <c r="R85" i="7" s="1"/>
  <c r="R94" i="7"/>
  <c r="R98" i="7"/>
  <c r="R79" i="7"/>
  <c r="R83" i="7"/>
  <c r="H23" i="8"/>
  <c r="H20" i="8"/>
  <c r="H24" i="8"/>
  <c r="H22" i="8"/>
  <c r="H21" i="8"/>
  <c r="W74" i="7"/>
  <c r="W73" i="7"/>
  <c r="L62" i="1"/>
  <c r="R32" i="12" l="1"/>
  <c r="P24" i="6"/>
  <c r="Z35" i="12"/>
  <c r="Y46" i="12"/>
  <c r="P5" i="6"/>
  <c r="T35" i="12"/>
  <c r="V37" i="12"/>
  <c r="V40" i="12"/>
  <c r="V41" i="12"/>
  <c r="V38" i="12"/>
  <c r="V39" i="12"/>
  <c r="V36" i="12"/>
  <c r="S24" i="6"/>
  <c r="AB46" i="12"/>
  <c r="AC35" i="12"/>
  <c r="S36" i="12"/>
  <c r="S40" i="12"/>
  <c r="S41" i="12"/>
  <c r="S39" i="12"/>
  <c r="S38" i="12"/>
  <c r="S37" i="12"/>
  <c r="S5" i="6"/>
  <c r="W35" i="12"/>
  <c r="U14" i="6"/>
  <c r="U11" i="6"/>
  <c r="U10" i="6"/>
  <c r="O13" i="6"/>
  <c r="O9" i="6"/>
  <c r="R10" i="6"/>
  <c r="U9" i="6"/>
  <c r="AK30" i="7"/>
  <c r="AL66" i="7" s="1"/>
  <c r="Q30" i="7"/>
  <c r="R66" i="7" s="1"/>
  <c r="C82" i="7"/>
  <c r="G30" i="7"/>
  <c r="H66" i="7" s="1"/>
  <c r="C81" i="7"/>
  <c r="N14" i="6"/>
  <c r="AA30" i="7"/>
  <c r="AB66" i="7" s="1"/>
  <c r="V30" i="7"/>
  <c r="W66" i="7" s="1"/>
  <c r="AF30" i="7"/>
  <c r="AG66" i="7" s="1"/>
  <c r="L30" i="7"/>
  <c r="M66" i="7" s="1"/>
  <c r="C83" i="7"/>
  <c r="N10" i="6"/>
  <c r="U12" i="6"/>
  <c r="O10" i="6"/>
  <c r="T12" i="6"/>
  <c r="Q14" i="6"/>
  <c r="AE32" i="7"/>
  <c r="AG74" i="7"/>
  <c r="AG89" i="7" s="1"/>
  <c r="P67" i="7"/>
  <c r="Q67" i="7"/>
  <c r="R67" i="7"/>
  <c r="P68" i="7"/>
  <c r="R97" i="7" s="1"/>
  <c r="O67" i="7"/>
  <c r="O68" i="7"/>
  <c r="R93" i="7" s="1"/>
  <c r="P32" i="7"/>
  <c r="R74" i="7"/>
  <c r="R89" i="7" s="1"/>
  <c r="AE68" i="7"/>
  <c r="AG97" i="7" s="1"/>
  <c r="W68" i="7"/>
  <c r="V68" i="7"/>
  <c r="U68" i="7"/>
  <c r="T68" i="7"/>
  <c r="W93" i="7" s="1"/>
  <c r="W67" i="7"/>
  <c r="V67" i="7"/>
  <c r="W100" i="7" s="1"/>
  <c r="U67" i="7"/>
  <c r="W96" i="7" s="1"/>
  <c r="T67" i="7"/>
  <c r="W92" i="7" s="1"/>
  <c r="Z68" i="7"/>
  <c r="AB97" i="7" s="1"/>
  <c r="Z67" i="7"/>
  <c r="AB96" i="7" s="1"/>
  <c r="Y68" i="7"/>
  <c r="AB83" i="7"/>
  <c r="AB69" i="7"/>
  <c r="AA67" i="7"/>
  <c r="AB100" i="7" s="1"/>
  <c r="AB77" i="7"/>
  <c r="AB85" i="7" s="1"/>
  <c r="W97" i="7"/>
  <c r="R100" i="7"/>
  <c r="R96" i="7"/>
  <c r="R92" i="7"/>
  <c r="AB92" i="7"/>
  <c r="AB93" i="7"/>
  <c r="K67" i="7"/>
  <c r="M96" i="7" s="1"/>
  <c r="L68" i="7"/>
  <c r="M101" i="7" s="1"/>
  <c r="M68" i="7"/>
  <c r="K68" i="7"/>
  <c r="M97" i="7" s="1"/>
  <c r="J68" i="7"/>
  <c r="M93" i="7" s="1"/>
  <c r="L67" i="7"/>
  <c r="M100" i="7" s="1"/>
  <c r="M67" i="7"/>
  <c r="J67" i="7"/>
  <c r="M92" i="7" s="1"/>
  <c r="H68" i="7"/>
  <c r="G67" i="7"/>
  <c r="H67" i="7"/>
  <c r="F67" i="7"/>
  <c r="G68" i="7"/>
  <c r="F68" i="7"/>
  <c r="E68" i="7"/>
  <c r="H93" i="7" s="1"/>
  <c r="E67" i="7"/>
  <c r="R81" i="7"/>
  <c r="W83" i="7"/>
  <c r="W77" i="7"/>
  <c r="W85" i="7" s="1"/>
  <c r="W89" i="7"/>
  <c r="M62" i="1"/>
  <c r="V50" i="12" l="1"/>
  <c r="Y38" i="12"/>
  <c r="Y37" i="12"/>
  <c r="AB37" i="12"/>
  <c r="W36" i="12"/>
  <c r="W38" i="12"/>
  <c r="W37" i="12"/>
  <c r="W39" i="12"/>
  <c r="W40" i="12"/>
  <c r="W41" i="12"/>
  <c r="AC39" i="12"/>
  <c r="AC41" i="12"/>
  <c r="AC36" i="12"/>
  <c r="AC40" i="12"/>
  <c r="AC37" i="12"/>
  <c r="AC38" i="12"/>
  <c r="Z39" i="12"/>
  <c r="Z41" i="12"/>
  <c r="Z36" i="12"/>
  <c r="Z40" i="12"/>
  <c r="Z37" i="12"/>
  <c r="Z38" i="12"/>
  <c r="V47" i="12"/>
  <c r="V52" i="12"/>
  <c r="Y36" i="12"/>
  <c r="Y40" i="12"/>
  <c r="S50" i="12"/>
  <c r="S49" i="12"/>
  <c r="T41" i="12"/>
  <c r="T37" i="12"/>
  <c r="T38" i="12"/>
  <c r="T40" i="12"/>
  <c r="T36" i="12"/>
  <c r="T39" i="12"/>
  <c r="AB41" i="12"/>
  <c r="AB52" i="12"/>
  <c r="AB47" i="12"/>
  <c r="AB48" i="12"/>
  <c r="AB49" i="12"/>
  <c r="AB50" i="12"/>
  <c r="AB51" i="12"/>
  <c r="S47" i="12"/>
  <c r="AB39" i="12"/>
  <c r="S51" i="12"/>
  <c r="AB38" i="12"/>
  <c r="S52" i="12"/>
  <c r="AB40" i="12"/>
  <c r="Y50" i="12"/>
  <c r="Y51" i="12"/>
  <c r="Y48" i="12"/>
  <c r="Y49" i="12"/>
  <c r="Y47" i="12"/>
  <c r="Y52" i="12"/>
  <c r="V49" i="12"/>
  <c r="S48" i="12"/>
  <c r="Y41" i="12"/>
  <c r="AB36" i="12"/>
  <c r="V51" i="12"/>
  <c r="V48" i="12"/>
  <c r="Y39" i="12"/>
  <c r="V32" i="6"/>
  <c r="F24" i="9"/>
  <c r="R33" i="6"/>
  <c r="J24" i="9"/>
  <c r="H24" i="9"/>
  <c r="S30" i="6"/>
  <c r="AA14" i="6"/>
  <c r="W14" i="6"/>
  <c r="W10" i="6"/>
  <c r="U32" i="6"/>
  <c r="Q31" i="6"/>
  <c r="AA10" i="6"/>
  <c r="V29" i="6"/>
  <c r="P12" i="6"/>
  <c r="Q32" i="6"/>
  <c r="R9" i="6"/>
  <c r="N12" i="6"/>
  <c r="X12" i="6"/>
  <c r="O33" i="6"/>
  <c r="Y13" i="6"/>
  <c r="T31" i="6"/>
  <c r="R11" i="6"/>
  <c r="Z10" i="6"/>
  <c r="V28" i="6"/>
  <c r="Q30" i="6"/>
  <c r="O32" i="6"/>
  <c r="S33" i="6"/>
  <c r="W12" i="6"/>
  <c r="T14" i="6"/>
  <c r="U29" i="6"/>
  <c r="N11" i="6"/>
  <c r="X11" i="6"/>
  <c r="X10" i="6"/>
  <c r="P29" i="6"/>
  <c r="Z9" i="6"/>
  <c r="U31" i="6"/>
  <c r="O31" i="6"/>
  <c r="S11" i="6"/>
  <c r="Z11" i="6"/>
  <c r="R32" i="6"/>
  <c r="N32" i="6"/>
  <c r="O28" i="6"/>
  <c r="T30" i="6"/>
  <c r="Y10" i="6"/>
  <c r="O14" i="6"/>
  <c r="S10" i="6"/>
  <c r="S13" i="6"/>
  <c r="Q10" i="6"/>
  <c r="T13" i="6"/>
  <c r="R13" i="6"/>
  <c r="S9" i="6"/>
  <c r="V10" i="6"/>
  <c r="AA11" i="6"/>
  <c r="S12" i="6"/>
  <c r="N33" i="6"/>
  <c r="Y11" i="6"/>
  <c r="W13" i="6"/>
  <c r="U33" i="6"/>
  <c r="N30" i="6"/>
  <c r="Y9" i="6"/>
  <c r="S28" i="6"/>
  <c r="V30" i="6"/>
  <c r="N13" i="6"/>
  <c r="V33" i="6"/>
  <c r="AA12" i="6"/>
  <c r="Y14" i="6"/>
  <c r="P9" i="6"/>
  <c r="P10" i="6"/>
  <c r="O12" i="6"/>
  <c r="X9" i="6"/>
  <c r="T33" i="6"/>
  <c r="Q13" i="6"/>
  <c r="V11" i="6"/>
  <c r="S32" i="6"/>
  <c r="O11" i="6"/>
  <c r="U30" i="6"/>
  <c r="U13" i="6"/>
  <c r="T11" i="6"/>
  <c r="Y12" i="6"/>
  <c r="S31" i="6"/>
  <c r="Z14" i="6"/>
  <c r="P31" i="6"/>
  <c r="T10" i="6"/>
  <c r="V14" i="6"/>
  <c r="Q12" i="6"/>
  <c r="P11" i="6"/>
  <c r="Z13" i="6"/>
  <c r="S29" i="6"/>
  <c r="S14" i="6"/>
  <c r="R14" i="6"/>
  <c r="N9" i="6"/>
  <c r="R31" i="6"/>
  <c r="X14" i="6"/>
  <c r="R30" i="6"/>
  <c r="Z12" i="6"/>
  <c r="T9" i="6"/>
  <c r="N28" i="6"/>
  <c r="T32" i="6"/>
  <c r="P33" i="6"/>
  <c r="Q33" i="6"/>
  <c r="W11" i="6"/>
  <c r="R12" i="6"/>
  <c r="V9" i="6"/>
  <c r="AA13" i="6"/>
  <c r="P28" i="6"/>
  <c r="V31" i="6"/>
  <c r="Q11" i="6"/>
  <c r="V12" i="6"/>
  <c r="N31" i="6"/>
  <c r="X13" i="6"/>
  <c r="T29" i="6"/>
  <c r="U28" i="6"/>
  <c r="P13" i="6"/>
  <c r="R29" i="6"/>
  <c r="Q28" i="6"/>
  <c r="Q9" i="6"/>
  <c r="N29" i="6"/>
  <c r="P32" i="6"/>
  <c r="T28" i="6"/>
  <c r="R28" i="6"/>
  <c r="V13" i="6"/>
  <c r="Q29" i="6"/>
  <c r="W9" i="6"/>
  <c r="P14" i="6"/>
  <c r="AA9" i="6"/>
  <c r="O29" i="6"/>
  <c r="O30" i="6"/>
  <c r="P30" i="6"/>
  <c r="AF32" i="7"/>
  <c r="AG78" i="7"/>
  <c r="AF68" i="7"/>
  <c r="AG101" i="7" s="1"/>
  <c r="Q32" i="7"/>
  <c r="R68" i="7" s="1"/>
  <c r="R78" i="7"/>
  <c r="Q68" i="7"/>
  <c r="R101" i="7" s="1"/>
  <c r="AB67" i="7"/>
  <c r="AB81" i="7"/>
  <c r="AB78" i="7"/>
  <c r="AA68" i="7"/>
  <c r="AB101" i="7" s="1"/>
  <c r="R82" i="7"/>
  <c r="W78" i="7"/>
  <c r="W101" i="7"/>
  <c r="W81" i="7"/>
  <c r="N62" i="1"/>
  <c r="P18" i="6" l="1"/>
  <c r="P17" i="6"/>
  <c r="V16" i="6"/>
  <c r="V17" i="6"/>
  <c r="U19" i="6"/>
  <c r="U16" i="6"/>
  <c r="V20" i="6"/>
  <c r="U20" i="6"/>
  <c r="V19" i="6"/>
  <c r="V18" i="6"/>
  <c r="U18" i="6"/>
  <c r="U17" i="6"/>
  <c r="U38" i="6"/>
  <c r="U37" i="6"/>
  <c r="J49" i="14" s="1"/>
  <c r="U36" i="6"/>
  <c r="U39" i="6"/>
  <c r="U35" i="6"/>
  <c r="O18" i="6"/>
  <c r="O16" i="6"/>
  <c r="O17" i="6"/>
  <c r="O19" i="6"/>
  <c r="P19" i="6"/>
  <c r="P20" i="6"/>
  <c r="P16" i="6"/>
  <c r="O20" i="6"/>
  <c r="Q35" i="6"/>
  <c r="Q37" i="6"/>
  <c r="I44" i="14" s="1"/>
  <c r="Q39" i="6"/>
  <c r="Q36" i="6"/>
  <c r="Q38" i="6"/>
  <c r="S38" i="6"/>
  <c r="S39" i="6"/>
  <c r="S35" i="6"/>
  <c r="S37" i="6"/>
  <c r="S36" i="6"/>
  <c r="N16" i="6"/>
  <c r="N18" i="6"/>
  <c r="N20" i="6"/>
  <c r="N19" i="6"/>
  <c r="N17" i="6"/>
  <c r="AA17" i="6"/>
  <c r="AA16" i="6"/>
  <c r="AA22" i="6" s="1"/>
  <c r="AA20" i="6"/>
  <c r="AA19" i="6"/>
  <c r="AA18" i="6"/>
  <c r="T38" i="6"/>
  <c r="T39" i="6"/>
  <c r="T37" i="6"/>
  <c r="I49" i="14" s="1"/>
  <c r="T36" i="6"/>
  <c r="T35" i="6"/>
  <c r="R16" i="6"/>
  <c r="S16" i="6"/>
  <c r="S18" i="6"/>
  <c r="R20" i="6"/>
  <c r="R18" i="6"/>
  <c r="S20" i="6"/>
  <c r="R19" i="6"/>
  <c r="R17" i="6"/>
  <c r="S19" i="6"/>
  <c r="S17" i="6"/>
  <c r="P38" i="6"/>
  <c r="P37" i="6"/>
  <c r="K39" i="14" s="1"/>
  <c r="P39" i="6"/>
  <c r="P35" i="6"/>
  <c r="P36" i="6"/>
  <c r="O38" i="6"/>
  <c r="O36" i="6"/>
  <c r="O37" i="6"/>
  <c r="J39" i="14" s="1"/>
  <c r="O39" i="6"/>
  <c r="O35" i="6"/>
  <c r="Y16" i="6"/>
  <c r="Y22" i="6" s="1"/>
  <c r="Y17" i="6"/>
  <c r="Y19" i="6"/>
  <c r="Y18" i="6"/>
  <c r="Y20" i="6"/>
  <c r="X19" i="6"/>
  <c r="X17" i="6"/>
  <c r="X16" i="6"/>
  <c r="X22" i="6" s="1"/>
  <c r="K47" i="14" s="1"/>
  <c r="X20" i="6"/>
  <c r="X18" i="6"/>
  <c r="K46" i="14" s="1"/>
  <c r="Q17" i="6"/>
  <c r="W19" i="6"/>
  <c r="W16" i="6"/>
  <c r="W22" i="6" s="1"/>
  <c r="K42" i="14" s="1"/>
  <c r="W17" i="6"/>
  <c r="W18" i="6"/>
  <c r="K41" i="14" s="1"/>
  <c r="W20" i="6"/>
  <c r="N35" i="6"/>
  <c r="N36" i="6"/>
  <c r="N38" i="6"/>
  <c r="N37" i="6"/>
  <c r="N39" i="6"/>
  <c r="V37" i="6"/>
  <c r="K49" i="14" s="1"/>
  <c r="V36" i="6"/>
  <c r="V35" i="6"/>
  <c r="V39" i="6"/>
  <c r="V38" i="6"/>
  <c r="Q19" i="6"/>
  <c r="Q18" i="6"/>
  <c r="Q16" i="6"/>
  <c r="Q20" i="6"/>
  <c r="R38" i="6"/>
  <c r="R39" i="6"/>
  <c r="R36" i="6"/>
  <c r="R35" i="6"/>
  <c r="R37" i="6"/>
  <c r="J44" i="14" s="1"/>
  <c r="T19" i="6"/>
  <c r="T18" i="6"/>
  <c r="T17" i="6"/>
  <c r="T16" i="6"/>
  <c r="T20" i="6"/>
  <c r="Z20" i="6"/>
  <c r="Z19" i="6"/>
  <c r="Z17" i="6"/>
  <c r="Z16" i="6"/>
  <c r="Z22" i="6" s="1"/>
  <c r="Z18" i="6"/>
  <c r="AG90" i="7"/>
  <c r="AG86" i="7"/>
  <c r="R86" i="7"/>
  <c r="R90" i="7"/>
  <c r="AG82" i="7"/>
  <c r="AG68" i="7"/>
  <c r="AB86" i="7"/>
  <c r="AB90" i="7"/>
  <c r="AB82" i="7"/>
  <c r="AB68" i="7"/>
  <c r="W82" i="7"/>
  <c r="W86" i="7"/>
  <c r="W90" i="7"/>
  <c r="O62" i="1"/>
  <c r="I10" i="4" l="1"/>
  <c r="K44" i="14"/>
  <c r="I39" i="14"/>
  <c r="C12" i="10" a="1"/>
  <c r="P62" i="1"/>
  <c r="C12" i="10" l="1"/>
  <c r="Q62" i="1"/>
  <c r="R62" i="1" l="1"/>
  <c r="S62" i="1" l="1"/>
  <c r="T62" i="1" l="1"/>
  <c r="U62" i="1" l="1"/>
  <c r="L108" i="3" l="1"/>
  <c r="M108" i="3"/>
  <c r="N108" i="3"/>
  <c r="O108" i="3"/>
  <c r="P108" i="3"/>
  <c r="Q108" i="3"/>
  <c r="R108" i="3"/>
  <c r="S108" i="3"/>
  <c r="T108" i="3"/>
  <c r="U108" i="3"/>
  <c r="V108" i="3"/>
  <c r="W108" i="3"/>
  <c r="K108" i="3"/>
  <c r="G27" i="1"/>
  <c r="F27" i="1"/>
  <c r="F46" i="4" l="1"/>
  <c r="E46" i="4"/>
  <c r="D43" i="4"/>
  <c r="N42" i="4"/>
  <c r="E42" i="4"/>
  <c r="N37" i="4"/>
  <c r="I33" i="4"/>
  <c r="N33" i="4" s="1"/>
  <c r="I28" i="4"/>
  <c r="N28" i="4" s="1"/>
  <c r="K24" i="4"/>
  <c r="K22" i="4"/>
  <c r="I34" i="4"/>
  <c r="N34" i="4" s="1"/>
  <c r="K21" i="4"/>
  <c r="K20" i="4"/>
  <c r="I32" i="4"/>
  <c r="N32" i="4" s="1"/>
  <c r="I31" i="4"/>
  <c r="N31" i="4" s="1"/>
  <c r="I30" i="4"/>
  <c r="N30" i="4" s="1"/>
  <c r="I29" i="4"/>
  <c r="N29" i="4" s="1"/>
  <c r="K15" i="4"/>
  <c r="F15" i="4"/>
  <c r="I27" i="4"/>
  <c r="N27" i="4" s="1"/>
  <c r="K14" i="4"/>
  <c r="F14" i="4"/>
  <c r="I26" i="4"/>
  <c r="N26" i="4" s="1"/>
  <c r="K13" i="4"/>
  <c r="F13" i="4"/>
  <c r="D13" i="4"/>
  <c r="D23" i="4" s="1"/>
  <c r="B2" i="4"/>
  <c r="G156" i="1"/>
  <c r="H151" i="1"/>
  <c r="G151" i="1"/>
  <c r="H150" i="1"/>
  <c r="G150" i="1"/>
  <c r="H133" i="1"/>
  <c r="H134" i="1"/>
  <c r="H135" i="1"/>
  <c r="H136" i="1"/>
  <c r="H137" i="1"/>
  <c r="H139" i="1"/>
  <c r="H140" i="1"/>
  <c r="H141" i="1"/>
  <c r="H142" i="1"/>
  <c r="G142" i="1"/>
  <c r="G141" i="1"/>
  <c r="G140" i="1"/>
  <c r="G139" i="1"/>
  <c r="G137" i="1"/>
  <c r="H147" i="1"/>
  <c r="G147" i="1"/>
  <c r="I108" i="3"/>
  <c r="J108" i="3"/>
  <c r="H108" i="3"/>
  <c r="J114" i="3"/>
  <c r="H114" i="3"/>
  <c r="I12" i="4" l="1"/>
  <c r="N12" i="4"/>
  <c r="G36" i="1"/>
  <c r="I36" i="1" s="1"/>
  <c r="G44" i="1"/>
  <c r="H53" i="1"/>
  <c r="H54" i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G153" i="1"/>
  <c r="G28" i="14" s="1"/>
  <c r="H153" i="1"/>
  <c r="H28" i="14" s="1"/>
  <c r="G148" i="1"/>
  <c r="G27" i="14" s="1"/>
  <c r="H148" i="1"/>
  <c r="H27" i="14" s="1"/>
  <c r="I114" i="3"/>
  <c r="K114" i="3" s="1"/>
  <c r="K117" i="3" s="1"/>
  <c r="H27" i="1" l="1"/>
  <c r="I27" i="1" s="1"/>
  <c r="J27" i="1" s="1"/>
  <c r="K27" i="1" s="1"/>
  <c r="L27" i="1" s="1"/>
  <c r="H14" i="14"/>
  <c r="H23" i="1"/>
  <c r="G9" i="14" s="1"/>
  <c r="H55" i="1"/>
  <c r="I14" i="14"/>
  <c r="I58" i="1" l="1"/>
  <c r="H56" i="1"/>
  <c r="H15" i="14" s="1"/>
  <c r="H7" i="14"/>
  <c r="H24" i="14" s="1"/>
  <c r="I55" i="1"/>
  <c r="I7" i="14" s="1"/>
  <c r="AL7" i="7"/>
  <c r="AL8" i="7" s="1"/>
  <c r="G45" i="4"/>
  <c r="G46" i="4" s="1"/>
  <c r="H30" i="1"/>
  <c r="I30" i="1" s="1"/>
  <c r="H42" i="1"/>
  <c r="H41" i="1"/>
  <c r="I41" i="1" s="1"/>
  <c r="H38" i="1"/>
  <c r="I38" i="1" s="1"/>
  <c r="H35" i="1"/>
  <c r="I105" i="1" l="1"/>
  <c r="I140" i="1" s="1"/>
  <c r="I56" i="1"/>
  <c r="I99" i="1"/>
  <c r="I137" i="1" s="1"/>
  <c r="I90" i="1"/>
  <c r="I133" i="1" s="1"/>
  <c r="I74" i="1"/>
  <c r="H50" i="4" s="1"/>
  <c r="H45" i="4"/>
  <c r="H46" i="4" s="1"/>
  <c r="AI67" i="7"/>
  <c r="AL92" i="7" s="1"/>
  <c r="N41" i="6" s="1"/>
  <c r="I40" i="14" s="1"/>
  <c r="N22" i="6"/>
  <c r="H23" i="10" s="1"/>
  <c r="I104" i="1"/>
  <c r="J41" i="1"/>
  <c r="I59" i="1" l="1"/>
  <c r="I60" i="1" s="1"/>
  <c r="I18" i="14" s="1"/>
  <c r="I15" i="14"/>
  <c r="M45" i="10"/>
  <c r="M23" i="10" s="1"/>
  <c r="F41" i="11" s="1"/>
  <c r="K45" i="10"/>
  <c r="K23" i="10" s="1"/>
  <c r="D41" i="11" s="1"/>
  <c r="I45" i="10"/>
  <c r="I23" i="10" s="1"/>
  <c r="B41" i="11" s="1"/>
  <c r="H41" i="11" s="1"/>
  <c r="J45" i="10"/>
  <c r="J23" i="10" s="1"/>
  <c r="C41" i="11" s="1"/>
  <c r="L45" i="10"/>
  <c r="L23" i="10" s="1"/>
  <c r="E41" i="11" s="1"/>
  <c r="K41" i="1"/>
  <c r="I107" i="1"/>
  <c r="I139" i="1"/>
  <c r="I17" i="14" l="1"/>
  <c r="I41" i="11"/>
  <c r="J41" i="11"/>
  <c r="K41" i="11"/>
  <c r="L41" i="11"/>
  <c r="L41" i="1"/>
  <c r="M41" i="1" l="1"/>
  <c r="G136" i="1"/>
  <c r="G135" i="1"/>
  <c r="G134" i="1"/>
  <c r="G133" i="1"/>
  <c r="G94" i="1"/>
  <c r="H94" i="1"/>
  <c r="F94" i="1"/>
  <c r="G117" i="1"/>
  <c r="H117" i="1"/>
  <c r="G107" i="1"/>
  <c r="H107" i="1"/>
  <c r="H112" i="1" s="1"/>
  <c r="F107" i="1"/>
  <c r="B2" i="1"/>
  <c r="M13" i="1"/>
  <c r="F59" i="1"/>
  <c r="G59" i="1"/>
  <c r="H59" i="1"/>
  <c r="F65" i="1"/>
  <c r="F48" i="1" s="1"/>
  <c r="G65" i="1"/>
  <c r="G48" i="1" s="1"/>
  <c r="H65" i="1"/>
  <c r="H48" i="1" s="1"/>
  <c r="H60" i="1" l="1"/>
  <c r="H18" i="14" s="1"/>
  <c r="H17" i="14"/>
  <c r="G60" i="1"/>
  <c r="G18" i="14" s="1"/>
  <c r="G17" i="14"/>
  <c r="F60" i="1"/>
  <c r="F18" i="14" s="1"/>
  <c r="F17" i="14"/>
  <c r="F57" i="4"/>
  <c r="H100" i="1"/>
  <c r="H30" i="14" s="1"/>
  <c r="G57" i="4"/>
  <c r="N41" i="1"/>
  <c r="G112" i="1"/>
  <c r="G119" i="1" s="1"/>
  <c r="F112" i="1"/>
  <c r="G100" i="1"/>
  <c r="G30" i="14" s="1"/>
  <c r="F100" i="1"/>
  <c r="F30" i="14" s="1"/>
  <c r="H119" i="1"/>
  <c r="H67" i="1"/>
  <c r="G67" i="1"/>
  <c r="F67" i="1"/>
  <c r="H121" i="1" l="1"/>
  <c r="AJ11" i="7"/>
  <c r="AJ14" i="7" s="1"/>
  <c r="E48" i="4"/>
  <c r="E52" i="4" s="1"/>
  <c r="E61" i="4" s="1"/>
  <c r="AK11" i="7"/>
  <c r="AK14" i="7" s="1"/>
  <c r="F48" i="4"/>
  <c r="F52" i="4" s="1"/>
  <c r="F61" i="4" s="1"/>
  <c r="AL11" i="7"/>
  <c r="AL14" i="7" s="1"/>
  <c r="AL88" i="7" s="1"/>
  <c r="G48" i="4"/>
  <c r="G52" i="4" s="1"/>
  <c r="G61" i="4" s="1"/>
  <c r="O41" i="1"/>
  <c r="G72" i="1"/>
  <c r="G77" i="1" s="1"/>
  <c r="G20" i="14" s="1"/>
  <c r="G79" i="1"/>
  <c r="H72" i="1"/>
  <c r="H77" i="1" s="1"/>
  <c r="H20" i="14" s="1"/>
  <c r="H79" i="1"/>
  <c r="F72" i="1"/>
  <c r="F77" i="1" s="1"/>
  <c r="F79" i="1"/>
  <c r="G121" i="1"/>
  <c r="E63" i="4" l="1"/>
  <c r="E64" i="4" s="1"/>
  <c r="F80" i="1"/>
  <c r="F35" i="14" s="1"/>
  <c r="F34" i="14"/>
  <c r="F128" i="1"/>
  <c r="F20" i="14"/>
  <c r="G63" i="4"/>
  <c r="G64" i="4" s="1"/>
  <c r="H80" i="1"/>
  <c r="H35" i="14" s="1"/>
  <c r="H34" i="14"/>
  <c r="F63" i="4"/>
  <c r="F64" i="4" s="1"/>
  <c r="G80" i="1"/>
  <c r="G35" i="14" s="1"/>
  <c r="G34" i="14"/>
  <c r="AL15" i="7"/>
  <c r="AI68" i="7"/>
  <c r="AL93" i="7" s="1"/>
  <c r="Q41" i="6" s="1"/>
  <c r="I45" i="14" s="1"/>
  <c r="Q22" i="6"/>
  <c r="H24" i="10" s="1"/>
  <c r="AK15" i="7"/>
  <c r="H128" i="1"/>
  <c r="H144" i="1" s="1"/>
  <c r="AK9" i="7"/>
  <c r="G128" i="1"/>
  <c r="G144" i="1" s="1"/>
  <c r="AJ9" i="7"/>
  <c r="P41" i="1"/>
  <c r="G155" i="1" l="1"/>
  <c r="G157" i="1" s="1"/>
  <c r="H156" i="1" s="1"/>
  <c r="G26" i="14"/>
  <c r="H155" i="1"/>
  <c r="H26" i="14"/>
  <c r="M46" i="10"/>
  <c r="M24" i="10" s="1"/>
  <c r="F40" i="11" s="1"/>
  <c r="L46" i="10"/>
  <c r="L24" i="10" s="1"/>
  <c r="E40" i="11" s="1"/>
  <c r="K46" i="10"/>
  <c r="K24" i="10" s="1"/>
  <c r="D40" i="11" s="1"/>
  <c r="J46" i="10"/>
  <c r="J24" i="10" s="1"/>
  <c r="C40" i="11" s="1"/>
  <c r="I46" i="10"/>
  <c r="I24" i="10" s="1"/>
  <c r="B40" i="11" s="1"/>
  <c r="H40" i="11" s="1"/>
  <c r="AK10" i="7"/>
  <c r="Q41" i="1"/>
  <c r="H157" i="1" l="1"/>
  <c r="I156" i="1" s="1"/>
  <c r="I40" i="11"/>
  <c r="J40" i="11"/>
  <c r="K40" i="11"/>
  <c r="L40" i="11"/>
  <c r="R41" i="1"/>
  <c r="S41" i="1" l="1"/>
  <c r="T41" i="1" l="1"/>
  <c r="U41" i="1" l="1"/>
  <c r="M8" i="1" l="1"/>
  <c r="AI31" i="7" l="1"/>
  <c r="AK31" i="7"/>
  <c r="AJ31" i="7"/>
  <c r="Q58" i="1"/>
  <c r="J14" i="14"/>
  <c r="J58" i="1"/>
  <c r="N58" i="1"/>
  <c r="R58" i="1"/>
  <c r="P58" i="1"/>
  <c r="S58" i="1"/>
  <c r="L14" i="14"/>
  <c r="L58" i="1"/>
  <c r="O58" i="1"/>
  <c r="O14" i="14"/>
  <c r="M14" i="14"/>
  <c r="M58" i="1"/>
  <c r="T58" i="1"/>
  <c r="T14" i="14"/>
  <c r="K14" i="14"/>
  <c r="K58" i="1"/>
  <c r="U58" i="1"/>
  <c r="U14" i="14"/>
  <c r="S55" i="1" l="1"/>
  <c r="S7" i="14" s="1"/>
  <c r="S14" i="14"/>
  <c r="P55" i="1"/>
  <c r="P7" i="14" s="1"/>
  <c r="P14" i="14"/>
  <c r="R55" i="1"/>
  <c r="R7" i="14" s="1"/>
  <c r="R14" i="14"/>
  <c r="Q55" i="1"/>
  <c r="Q7" i="14" s="1"/>
  <c r="Q14" i="14"/>
  <c r="N55" i="1"/>
  <c r="N7" i="14" s="1"/>
  <c r="N14" i="14"/>
  <c r="S5" i="12" a="1"/>
  <c r="S5" i="12" s="1"/>
  <c r="L55" i="1"/>
  <c r="L7" i="14" s="1"/>
  <c r="K55" i="1"/>
  <c r="K7" i="14" s="1"/>
  <c r="J55" i="1"/>
  <c r="J7" i="14" s="1"/>
  <c r="AL67" i="7"/>
  <c r="AL81" i="7"/>
  <c r="AK67" i="7"/>
  <c r="AL100" i="7" s="1"/>
  <c r="Y53" i="12" s="1"/>
  <c r="Z53" i="12" s="1"/>
  <c r="AL77" i="7"/>
  <c r="AJ67" i="7"/>
  <c r="AL96" i="7" s="1"/>
  <c r="AL73" i="7"/>
  <c r="T55" i="1"/>
  <c r="T7" i="14" s="1"/>
  <c r="U55" i="1"/>
  <c r="U7" i="14" s="1"/>
  <c r="M55" i="1"/>
  <c r="O55" i="1"/>
  <c r="O7" i="14" s="1"/>
  <c r="P104" i="1" l="1"/>
  <c r="P45" i="4"/>
  <c r="Q56" i="1"/>
  <c r="Q59" i="1" s="1"/>
  <c r="Q60" i="1" s="1"/>
  <c r="Q18" i="14" s="1"/>
  <c r="S99" i="1"/>
  <c r="R45" i="4"/>
  <c r="P90" i="1"/>
  <c r="W7" i="14"/>
  <c r="S74" i="1"/>
  <c r="R50" i="4" s="1"/>
  <c r="S104" i="1"/>
  <c r="S90" i="1"/>
  <c r="S105" i="1"/>
  <c r="Q90" i="1"/>
  <c r="Q99" i="1"/>
  <c r="R104" i="1"/>
  <c r="Q104" i="1"/>
  <c r="Q105" i="1"/>
  <c r="R105" i="1"/>
  <c r="Q74" i="1"/>
  <c r="P50" i="4" s="1"/>
  <c r="N90" i="1"/>
  <c r="N74" i="1"/>
  <c r="M50" i="4" s="1"/>
  <c r="R99" i="1"/>
  <c r="P74" i="1"/>
  <c r="O50" i="4" s="1"/>
  <c r="P105" i="1"/>
  <c r="S56" i="1"/>
  <c r="R90" i="1"/>
  <c r="P99" i="1"/>
  <c r="W14" i="14"/>
  <c r="R74" i="1"/>
  <c r="Q50" i="4" s="1"/>
  <c r="N104" i="1"/>
  <c r="M45" i="4"/>
  <c r="N99" i="1"/>
  <c r="R56" i="1"/>
  <c r="N105" i="1"/>
  <c r="Q45" i="4"/>
  <c r="O45" i="4"/>
  <c r="P56" i="1"/>
  <c r="N56" i="1"/>
  <c r="M7" i="14"/>
  <c r="T45" i="4"/>
  <c r="U56" i="1"/>
  <c r="U15" i="14" s="1"/>
  <c r="S45" i="4"/>
  <c r="T56" i="1"/>
  <c r="K45" i="4"/>
  <c r="L56" i="1"/>
  <c r="N45" i="4"/>
  <c r="O56" i="1"/>
  <c r="I45" i="4"/>
  <c r="J56" i="1"/>
  <c r="L45" i="4"/>
  <c r="M56" i="1"/>
  <c r="J45" i="4"/>
  <c r="K56" i="1"/>
  <c r="S42" i="12"/>
  <c r="O41" i="6"/>
  <c r="J40" i="14" s="1"/>
  <c r="Y42" i="12"/>
  <c r="P41" i="6"/>
  <c r="K40" i="14" s="1"/>
  <c r="Z42" i="12"/>
  <c r="T42" i="12"/>
  <c r="S26" i="12"/>
  <c r="S28" i="12"/>
  <c r="S27" i="12"/>
  <c r="S29" i="12"/>
  <c r="K90" i="1"/>
  <c r="K74" i="1"/>
  <c r="J50" i="4" s="1"/>
  <c r="L104" i="1"/>
  <c r="L105" i="1"/>
  <c r="L99" i="1"/>
  <c r="K105" i="1"/>
  <c r="L90" i="1"/>
  <c r="L74" i="1"/>
  <c r="K50" i="4" s="1"/>
  <c r="K99" i="1"/>
  <c r="K104" i="1"/>
  <c r="J74" i="1"/>
  <c r="I50" i="4" s="1"/>
  <c r="J90" i="1"/>
  <c r="J133" i="1" s="1"/>
  <c r="J104" i="1"/>
  <c r="J105" i="1"/>
  <c r="J140" i="1" s="1"/>
  <c r="J99" i="1"/>
  <c r="O22" i="6"/>
  <c r="AL85" i="7"/>
  <c r="S53" i="12" s="1"/>
  <c r="T53" i="12" s="1"/>
  <c r="P22" i="6"/>
  <c r="O105" i="1"/>
  <c r="O104" i="1"/>
  <c r="T105" i="1"/>
  <c r="T104" i="1"/>
  <c r="U105" i="1"/>
  <c r="U104" i="1"/>
  <c r="M105" i="1"/>
  <c r="M104" i="1"/>
  <c r="O90" i="1"/>
  <c r="O99" i="1"/>
  <c r="M90" i="1"/>
  <c r="M99" i="1"/>
  <c r="U90" i="1"/>
  <c r="U99" i="1"/>
  <c r="T90" i="1"/>
  <c r="T99" i="1"/>
  <c r="O74" i="1"/>
  <c r="N50" i="4" s="1"/>
  <c r="M74" i="1"/>
  <c r="L50" i="4" s="1"/>
  <c r="U74" i="1"/>
  <c r="T50" i="4" s="1"/>
  <c r="T74" i="1"/>
  <c r="S50" i="4" s="1"/>
  <c r="S137" i="1" l="1"/>
  <c r="Q15" i="14"/>
  <c r="T137" i="1"/>
  <c r="Q139" i="1"/>
  <c r="P107" i="1"/>
  <c r="S46" i="4"/>
  <c r="P46" i="4"/>
  <c r="Q46" i="4"/>
  <c r="S107" i="1"/>
  <c r="R107" i="1"/>
  <c r="Q137" i="1"/>
  <c r="Q133" i="1"/>
  <c r="P133" i="1"/>
  <c r="S139" i="1"/>
  <c r="R139" i="1"/>
  <c r="T133" i="1"/>
  <c r="R140" i="1"/>
  <c r="Q107" i="1"/>
  <c r="T140" i="1"/>
  <c r="K46" i="4"/>
  <c r="N107" i="1"/>
  <c r="N133" i="1"/>
  <c r="U59" i="1"/>
  <c r="U60" i="1" s="1"/>
  <c r="U18" i="14" s="1"/>
  <c r="S140" i="1"/>
  <c r="R133" i="1"/>
  <c r="R137" i="1"/>
  <c r="M46" i="4"/>
  <c r="Q140" i="1"/>
  <c r="S59" i="1"/>
  <c r="S60" i="1" s="1"/>
  <c r="S18" i="14" s="1"/>
  <c r="S15" i="14"/>
  <c r="L59" i="1"/>
  <c r="L60" i="1" s="1"/>
  <c r="L18" i="14" s="1"/>
  <c r="L15" i="14"/>
  <c r="T59" i="1"/>
  <c r="T60" i="1" s="1"/>
  <c r="T18" i="14" s="1"/>
  <c r="T15" i="14"/>
  <c r="J59" i="1"/>
  <c r="J60" i="1" s="1"/>
  <c r="J18" i="14" s="1"/>
  <c r="J15" i="14"/>
  <c r="P59" i="1"/>
  <c r="P60" i="1" s="1"/>
  <c r="P18" i="14" s="1"/>
  <c r="P15" i="14"/>
  <c r="P137" i="1"/>
  <c r="S133" i="1"/>
  <c r="Q17" i="14"/>
  <c r="M59" i="1"/>
  <c r="M60" i="1" s="1"/>
  <c r="M18" i="14" s="1"/>
  <c r="M15" i="14"/>
  <c r="N59" i="1"/>
  <c r="N60" i="1" s="1"/>
  <c r="N18" i="14" s="1"/>
  <c r="N15" i="14"/>
  <c r="O59" i="1"/>
  <c r="O60" i="1" s="1"/>
  <c r="O18" i="14" s="1"/>
  <c r="O15" i="14"/>
  <c r="R59" i="1"/>
  <c r="R60" i="1" s="1"/>
  <c r="R18" i="14" s="1"/>
  <c r="R15" i="14"/>
  <c r="K59" i="1"/>
  <c r="K60" i="1" s="1"/>
  <c r="K18" i="14" s="1"/>
  <c r="K15" i="14"/>
  <c r="R46" i="4"/>
  <c r="O140" i="1"/>
  <c r="N137" i="1"/>
  <c r="N46" i="4"/>
  <c r="J46" i="4"/>
  <c r="O46" i="4"/>
  <c r="T46" i="4"/>
  <c r="L46" i="4"/>
  <c r="I46" i="4"/>
  <c r="L137" i="1"/>
  <c r="K107" i="1"/>
  <c r="L107" i="1"/>
  <c r="L139" i="1"/>
  <c r="L140" i="1"/>
  <c r="M140" i="1"/>
  <c r="K137" i="1"/>
  <c r="L133" i="1"/>
  <c r="K139" i="1"/>
  <c r="J139" i="1"/>
  <c r="K133" i="1"/>
  <c r="J137" i="1"/>
  <c r="K140" i="1"/>
  <c r="J107" i="1"/>
  <c r="N140" i="1"/>
  <c r="P140" i="1"/>
  <c r="U140" i="1"/>
  <c r="O139" i="1"/>
  <c r="O107" i="1"/>
  <c r="M107" i="1"/>
  <c r="M139" i="1"/>
  <c r="N139" i="1"/>
  <c r="O137" i="1"/>
  <c r="M133" i="1"/>
  <c r="U107" i="1"/>
  <c r="U139" i="1"/>
  <c r="O133" i="1"/>
  <c r="M137" i="1"/>
  <c r="T107" i="1"/>
  <c r="T139" i="1"/>
  <c r="P139" i="1"/>
  <c r="U137" i="1"/>
  <c r="U133" i="1"/>
  <c r="U17" i="14" l="1"/>
  <c r="R17" i="14"/>
  <c r="P17" i="14"/>
  <c r="O17" i="14"/>
  <c r="J17" i="14"/>
  <c r="N17" i="14"/>
  <c r="W17" i="14" s="1"/>
  <c r="T17" i="14"/>
  <c r="M17" i="14"/>
  <c r="L17" i="14"/>
  <c r="K17" i="14"/>
  <c r="S17" i="14"/>
  <c r="F117" i="1" l="1"/>
  <c r="F119" i="1" s="1"/>
  <c r="F121" i="1" s="1"/>
  <c r="H92" i="7" l="1"/>
  <c r="H88" i="7"/>
  <c r="H96" i="7"/>
  <c r="H73" i="7" l="1"/>
  <c r="H74" i="7" l="1"/>
  <c r="H89" i="7" s="1"/>
  <c r="H97" i="7"/>
  <c r="H77" i="7"/>
  <c r="H85" i="7" s="1"/>
  <c r="H100" i="7"/>
  <c r="H101" i="7" l="1"/>
  <c r="H78" i="7"/>
  <c r="H81" i="7"/>
  <c r="H82" i="7" l="1"/>
  <c r="H90" i="7"/>
  <c r="H86" i="7"/>
  <c r="G23" i="1" l="1"/>
  <c r="F9" i="14" s="1"/>
  <c r="R118" i="3" l="1"/>
  <c r="U118" i="3"/>
  <c r="T118" i="3"/>
  <c r="S118" i="3"/>
  <c r="M118" i="3"/>
  <c r="O118" i="3"/>
  <c r="N118" i="3"/>
  <c r="Q118" i="3"/>
  <c r="I110" i="1"/>
  <c r="L118" i="3"/>
  <c r="P118" i="3"/>
  <c r="W118" i="3"/>
  <c r="K118" i="3"/>
  <c r="K132" i="3" s="1"/>
  <c r="V118" i="3"/>
  <c r="N102" i="3" l="1"/>
  <c r="I91" i="1"/>
  <c r="I134" i="1" s="1"/>
  <c r="H59" i="4"/>
  <c r="I148" i="1"/>
  <c r="I27" i="14" s="1"/>
  <c r="I142" i="1"/>
  <c r="I112" i="1"/>
  <c r="I23" i="14"/>
  <c r="I130" i="1"/>
  <c r="K112" i="3"/>
  <c r="O103" i="3" l="1"/>
  <c r="O105" i="3" s="1"/>
  <c r="R102" i="3"/>
  <c r="U104" i="3"/>
  <c r="P103" i="3"/>
  <c r="P105" i="3" s="1"/>
  <c r="W104" i="3"/>
  <c r="V104" i="3"/>
  <c r="Q104" i="3"/>
  <c r="P104" i="3"/>
  <c r="U103" i="3"/>
  <c r="U105" i="3" s="1"/>
  <c r="N104" i="3"/>
  <c r="V103" i="3"/>
  <c r="V105" i="3" s="1"/>
  <c r="W103" i="3"/>
  <c r="W105" i="3" s="1"/>
  <c r="T103" i="3"/>
  <c r="T105" i="3" s="1"/>
  <c r="R104" i="3"/>
  <c r="M104" i="3"/>
  <c r="U102" i="3"/>
  <c r="L104" i="3"/>
  <c r="L102" i="3"/>
  <c r="M102" i="3"/>
  <c r="S102" i="3"/>
  <c r="O102" i="3"/>
  <c r="S104" i="3"/>
  <c r="L103" i="3"/>
  <c r="L105" i="3" s="1"/>
  <c r="L110" i="3" s="1"/>
  <c r="S103" i="3"/>
  <c r="S105" i="3" s="1"/>
  <c r="Q102" i="3"/>
  <c r="T104" i="3"/>
  <c r="R103" i="3"/>
  <c r="R105" i="3" s="1"/>
  <c r="T102" i="3"/>
  <c r="N103" i="3"/>
  <c r="N105" i="3" s="1"/>
  <c r="M103" i="3"/>
  <c r="M105" i="3" s="1"/>
  <c r="W102" i="3"/>
  <c r="O104" i="3"/>
  <c r="V102" i="3"/>
  <c r="Q103" i="3"/>
  <c r="Q105" i="3" s="1"/>
  <c r="P102" i="3"/>
  <c r="I24" i="14"/>
  <c r="I96" i="1"/>
  <c r="I64" i="1"/>
  <c r="I65" i="1" s="1"/>
  <c r="H55" i="4"/>
  <c r="S110" i="3" l="1"/>
  <c r="T126" i="3" s="1"/>
  <c r="Q110" i="3"/>
  <c r="Q124" i="3" s="1"/>
  <c r="O119" i="3"/>
  <c r="M110" i="3"/>
  <c r="Q120" i="3" s="1"/>
  <c r="N110" i="3"/>
  <c r="R121" i="3" s="1"/>
  <c r="P110" i="3"/>
  <c r="V123" i="3" s="1"/>
  <c r="U110" i="3"/>
  <c r="V128" i="3" s="1"/>
  <c r="W110" i="3"/>
  <c r="V110" i="3"/>
  <c r="W129" i="3" s="1"/>
  <c r="R110" i="3"/>
  <c r="V125" i="3" s="1"/>
  <c r="T110" i="3"/>
  <c r="U127" i="3" s="1"/>
  <c r="O110" i="3"/>
  <c r="U122" i="3" s="1"/>
  <c r="T119" i="3"/>
  <c r="U119" i="3"/>
  <c r="L119" i="3"/>
  <c r="L132" i="3" s="1"/>
  <c r="L112" i="3" s="1"/>
  <c r="J146" i="1"/>
  <c r="J91" i="1" s="1"/>
  <c r="N119" i="3"/>
  <c r="P119" i="3"/>
  <c r="R119" i="3"/>
  <c r="S119" i="3"/>
  <c r="Q119" i="3"/>
  <c r="V119" i="3"/>
  <c r="W119" i="3"/>
  <c r="M119" i="3"/>
  <c r="I131" i="1"/>
  <c r="I67" i="1"/>
  <c r="O146" i="1" l="1"/>
  <c r="N59" i="4" s="1"/>
  <c r="U124" i="3"/>
  <c r="R124" i="3"/>
  <c r="W126" i="3"/>
  <c r="R146" i="1"/>
  <c r="R148" i="1" s="1"/>
  <c r="R27" i="14" s="1"/>
  <c r="U126" i="3"/>
  <c r="S126" i="3"/>
  <c r="J130" i="1"/>
  <c r="I55" i="4" s="1"/>
  <c r="K146" i="1"/>
  <c r="K148" i="1" s="1"/>
  <c r="K27" i="14" s="1"/>
  <c r="V124" i="3"/>
  <c r="W122" i="3"/>
  <c r="V122" i="3"/>
  <c r="W124" i="3"/>
  <c r="S124" i="3"/>
  <c r="T124" i="3"/>
  <c r="P120" i="3"/>
  <c r="Q146" i="1"/>
  <c r="Q23" i="14" s="1"/>
  <c r="Q24" i="14" s="1"/>
  <c r="V126" i="3"/>
  <c r="S125" i="3"/>
  <c r="R125" i="3"/>
  <c r="T125" i="3"/>
  <c r="P123" i="3"/>
  <c r="N121" i="3"/>
  <c r="T120" i="3"/>
  <c r="P146" i="1"/>
  <c r="P148" i="1" s="1"/>
  <c r="P27" i="14" s="1"/>
  <c r="N120" i="3"/>
  <c r="R123" i="3"/>
  <c r="O122" i="3"/>
  <c r="T121" i="3"/>
  <c r="V121" i="3"/>
  <c r="O120" i="3"/>
  <c r="T146" i="1"/>
  <c r="W128" i="3"/>
  <c r="U121" i="3"/>
  <c r="R120" i="3"/>
  <c r="W123" i="3"/>
  <c r="V129" i="3"/>
  <c r="R122" i="3"/>
  <c r="T123" i="3"/>
  <c r="V127" i="3"/>
  <c r="L146" i="1"/>
  <c r="L148" i="1" s="1"/>
  <c r="L27" i="14" s="1"/>
  <c r="U128" i="3"/>
  <c r="T122" i="3"/>
  <c r="S121" i="3"/>
  <c r="V120" i="3"/>
  <c r="W120" i="3"/>
  <c r="S122" i="3"/>
  <c r="W127" i="3"/>
  <c r="T127" i="3"/>
  <c r="M146" i="1"/>
  <c r="L59" i="4" s="1"/>
  <c r="U120" i="3"/>
  <c r="M120" i="3"/>
  <c r="M132" i="3" s="1"/>
  <c r="K130" i="1" s="1"/>
  <c r="O121" i="3"/>
  <c r="U125" i="3"/>
  <c r="P122" i="3"/>
  <c r="S146" i="1"/>
  <c r="S123" i="3"/>
  <c r="S120" i="3"/>
  <c r="N146" i="1"/>
  <c r="N91" i="1" s="1"/>
  <c r="W125" i="3"/>
  <c r="Q121" i="3"/>
  <c r="Q122" i="3"/>
  <c r="U146" i="1"/>
  <c r="W130" i="3"/>
  <c r="P121" i="3"/>
  <c r="U123" i="3"/>
  <c r="Q123" i="3"/>
  <c r="W121" i="3"/>
  <c r="O91" i="1"/>
  <c r="O148" i="1"/>
  <c r="O27" i="14" s="1"/>
  <c r="J96" i="1"/>
  <c r="J23" i="14"/>
  <c r="J24" i="14" s="1"/>
  <c r="I59" i="4"/>
  <c r="J148" i="1"/>
  <c r="J27" i="14" s="1"/>
  <c r="J110" i="1"/>
  <c r="J112" i="1" s="1"/>
  <c r="J134" i="1"/>
  <c r="I79" i="1"/>
  <c r="H48" i="4"/>
  <c r="H52" i="4" s="1"/>
  <c r="I72" i="1"/>
  <c r="I77" i="1" s="1"/>
  <c r="O23" i="14" l="1"/>
  <c r="O24" i="14" s="1"/>
  <c r="O110" i="1"/>
  <c r="O112" i="1" s="1"/>
  <c r="R91" i="1"/>
  <c r="R110" i="1"/>
  <c r="R112" i="1" s="1"/>
  <c r="J59" i="4"/>
  <c r="K23" i="14"/>
  <c r="K24" i="14" s="1"/>
  <c r="Q59" i="4"/>
  <c r="K110" i="1"/>
  <c r="K112" i="1" s="1"/>
  <c r="K91" i="1"/>
  <c r="K134" i="1" s="1"/>
  <c r="P59" i="4"/>
  <c r="J64" i="1"/>
  <c r="J65" i="1" s="1"/>
  <c r="J67" i="1" s="1"/>
  <c r="I48" i="4" s="1"/>
  <c r="I52" i="4" s="1"/>
  <c r="R23" i="14"/>
  <c r="R24" i="14" s="1"/>
  <c r="M112" i="3"/>
  <c r="Q148" i="1"/>
  <c r="Q27" i="14" s="1"/>
  <c r="Q110" i="1"/>
  <c r="Q112" i="1" s="1"/>
  <c r="P132" i="3"/>
  <c r="L110" i="1"/>
  <c r="L23" i="14"/>
  <c r="L24" i="14" s="1"/>
  <c r="N132" i="3"/>
  <c r="Q91" i="1"/>
  <c r="P91" i="1"/>
  <c r="P134" i="1" s="1"/>
  <c r="P110" i="1"/>
  <c r="K59" i="4"/>
  <c r="R132" i="3"/>
  <c r="O132" i="3"/>
  <c r="M91" i="1"/>
  <c r="N134" i="1" s="1"/>
  <c r="P23" i="14"/>
  <c r="P24" i="14" s="1"/>
  <c r="U132" i="3"/>
  <c r="Q132" i="3"/>
  <c r="O59" i="4"/>
  <c r="T132" i="3"/>
  <c r="S132" i="3"/>
  <c r="W132" i="3"/>
  <c r="V132" i="3"/>
  <c r="T23" i="14"/>
  <c r="T24" i="14" s="1"/>
  <c r="T148" i="1"/>
  <c r="T27" i="14" s="1"/>
  <c r="S59" i="4"/>
  <c r="T91" i="1"/>
  <c r="T110" i="1"/>
  <c r="T112" i="1" s="1"/>
  <c r="N110" i="1"/>
  <c r="N112" i="1" s="1"/>
  <c r="T59" i="4"/>
  <c r="U23" i="14"/>
  <c r="U24" i="14" s="1"/>
  <c r="U110" i="1"/>
  <c r="U91" i="1"/>
  <c r="U148" i="1"/>
  <c r="U27" i="14" s="1"/>
  <c r="L91" i="1"/>
  <c r="L134" i="1" s="1"/>
  <c r="S23" i="14"/>
  <c r="S24" i="14" s="1"/>
  <c r="S110" i="1"/>
  <c r="S91" i="1"/>
  <c r="R59" i="4"/>
  <c r="S148" i="1"/>
  <c r="S27" i="14" s="1"/>
  <c r="N148" i="1"/>
  <c r="N27" i="14" s="1"/>
  <c r="W27" i="14" s="1"/>
  <c r="M59" i="4"/>
  <c r="M110" i="1"/>
  <c r="M112" i="1" s="1"/>
  <c r="M23" i="14"/>
  <c r="M24" i="14" s="1"/>
  <c r="M148" i="1"/>
  <c r="M27" i="14" s="1"/>
  <c r="N23" i="14"/>
  <c r="W23" i="14" s="1"/>
  <c r="O134" i="1"/>
  <c r="J131" i="1"/>
  <c r="K64" i="1"/>
  <c r="K65" i="1" s="1"/>
  <c r="J55" i="4"/>
  <c r="J142" i="1"/>
  <c r="I128" i="1"/>
  <c r="I20" i="14"/>
  <c r="AL9" i="7"/>
  <c r="AI33" i="7"/>
  <c r="I34" i="14"/>
  <c r="I80" i="1"/>
  <c r="I35" i="14" s="1"/>
  <c r="AI32" i="7"/>
  <c r="H63" i="4"/>
  <c r="H64" i="4" s="1"/>
  <c r="K142" i="1" l="1"/>
  <c r="R134" i="1"/>
  <c r="L142" i="1"/>
  <c r="Q142" i="1"/>
  <c r="L112" i="1"/>
  <c r="R142" i="1"/>
  <c r="J79" i="1"/>
  <c r="J80" i="1" s="1"/>
  <c r="J35" i="14" s="1"/>
  <c r="O130" i="1"/>
  <c r="O64" i="1" s="1"/>
  <c r="O65" i="1" s="1"/>
  <c r="S130" i="1"/>
  <c r="R55" i="4" s="1"/>
  <c r="N130" i="1"/>
  <c r="M55" i="4" s="1"/>
  <c r="Q130" i="1"/>
  <c r="P55" i="4" s="1"/>
  <c r="L130" i="1"/>
  <c r="K55" i="4" s="1"/>
  <c r="P130" i="1"/>
  <c r="O55" i="4" s="1"/>
  <c r="U130" i="1"/>
  <c r="U64" i="1" s="1"/>
  <c r="U65" i="1" s="1"/>
  <c r="R130" i="1"/>
  <c r="R64" i="1" s="1"/>
  <c r="R65" i="1" s="1"/>
  <c r="T130" i="1"/>
  <c r="S55" i="4" s="1"/>
  <c r="M130" i="1"/>
  <c r="L55" i="4" s="1"/>
  <c r="N112" i="3"/>
  <c r="O112" i="3" s="1"/>
  <c r="P112" i="3" s="1"/>
  <c r="Q112" i="3" s="1"/>
  <c r="R112" i="3" s="1"/>
  <c r="S112" i="3" s="1"/>
  <c r="T112" i="3" s="1"/>
  <c r="U112" i="3" s="1"/>
  <c r="V112" i="3" s="1"/>
  <c r="W112" i="3" s="1"/>
  <c r="P112" i="1"/>
  <c r="Q134" i="1"/>
  <c r="P142" i="1"/>
  <c r="M142" i="1"/>
  <c r="M134" i="1"/>
  <c r="N24" i="14"/>
  <c r="N142" i="1"/>
  <c r="U134" i="1"/>
  <c r="O142" i="1"/>
  <c r="T134" i="1"/>
  <c r="S134" i="1"/>
  <c r="S142" i="1"/>
  <c r="S112" i="1"/>
  <c r="T142" i="1"/>
  <c r="U112" i="1"/>
  <c r="U142" i="1"/>
  <c r="K96" i="1"/>
  <c r="K131" i="1"/>
  <c r="K67" i="1"/>
  <c r="AL74" i="7"/>
  <c r="AJ68" i="7"/>
  <c r="AL97" i="7" s="1"/>
  <c r="AJ69" i="7"/>
  <c r="AL98" i="7" s="1"/>
  <c r="U41" i="6" s="1"/>
  <c r="J50" i="14" s="1"/>
  <c r="AL75" i="7"/>
  <c r="U22" i="6" s="1"/>
  <c r="AI69" i="7"/>
  <c r="AL94" i="7" s="1"/>
  <c r="T41" i="6" s="1"/>
  <c r="I50" i="14" s="1"/>
  <c r="AL10" i="7"/>
  <c r="T22" i="6"/>
  <c r="I144" i="1"/>
  <c r="I114" i="1"/>
  <c r="I63" i="4" l="1"/>
  <c r="I64" i="4" s="1"/>
  <c r="J34" i="14"/>
  <c r="AJ32" i="7"/>
  <c r="AK68" i="7" s="1"/>
  <c r="AL101" i="7" s="1"/>
  <c r="AC42" i="12" s="1"/>
  <c r="S64" i="1"/>
  <c r="S65" i="1" s="1"/>
  <c r="S67" i="1" s="1"/>
  <c r="S79" i="1" s="1"/>
  <c r="S80" i="1" s="1"/>
  <c r="S35" i="14" s="1"/>
  <c r="N55" i="4"/>
  <c r="Q55" i="4"/>
  <c r="T55" i="4"/>
  <c r="R67" i="1"/>
  <c r="R131" i="1"/>
  <c r="U67" i="1"/>
  <c r="U131" i="1"/>
  <c r="O67" i="1"/>
  <c r="O131" i="1"/>
  <c r="P64" i="1"/>
  <c r="P65" i="1" s="1"/>
  <c r="P67" i="1" s="1"/>
  <c r="O48" i="4" s="1"/>
  <c r="O52" i="4" s="1"/>
  <c r="L64" i="1"/>
  <c r="L65" i="1" s="1"/>
  <c r="N64" i="1"/>
  <c r="N65" i="1" s="1"/>
  <c r="Q64" i="1"/>
  <c r="Q65" i="1" s="1"/>
  <c r="M64" i="1"/>
  <c r="M65" i="1" s="1"/>
  <c r="T64" i="1"/>
  <c r="T65" i="1" s="1"/>
  <c r="J48" i="4"/>
  <c r="J52" i="4" s="1"/>
  <c r="K79" i="1"/>
  <c r="L96" i="1"/>
  <c r="R41" i="6"/>
  <c r="J45" i="14" s="1"/>
  <c r="AB42" i="12"/>
  <c r="I117" i="1"/>
  <c r="I119" i="1" s="1"/>
  <c r="R22" i="6"/>
  <c r="V42" i="12"/>
  <c r="AL89" i="7"/>
  <c r="I155" i="1"/>
  <c r="I157" i="1" s="1"/>
  <c r="I26" i="14"/>
  <c r="AB53" i="12" l="1"/>
  <c r="AC53" i="12" s="1"/>
  <c r="AL78" i="7"/>
  <c r="S22" i="6" s="1"/>
  <c r="S41" i="6"/>
  <c r="K45" i="14" s="1"/>
  <c r="S34" i="14"/>
  <c r="R63" i="4"/>
  <c r="R64" i="4" s="1"/>
  <c r="S131" i="1"/>
  <c r="R48" i="4"/>
  <c r="R52" i="4" s="1"/>
  <c r="M131" i="1"/>
  <c r="M67" i="1"/>
  <c r="N67" i="1"/>
  <c r="N131" i="1"/>
  <c r="L67" i="1"/>
  <c r="L131" i="1"/>
  <c r="P79" i="1"/>
  <c r="O63" i="4" s="1"/>
  <c r="O64" i="4" s="1"/>
  <c r="O79" i="1"/>
  <c r="N48" i="4"/>
  <c r="N52" i="4" s="1"/>
  <c r="Q67" i="1"/>
  <c r="Q131" i="1"/>
  <c r="T131" i="1"/>
  <c r="T67" i="1"/>
  <c r="P131" i="1"/>
  <c r="U79" i="1"/>
  <c r="T48" i="4"/>
  <c r="T52" i="4" s="1"/>
  <c r="R79" i="1"/>
  <c r="Q48" i="4"/>
  <c r="Q52" i="4" s="1"/>
  <c r="M96" i="1"/>
  <c r="AK32" i="7"/>
  <c r="K34" i="14"/>
  <c r="K80" i="1"/>
  <c r="K35" i="14" s="1"/>
  <c r="J63" i="4"/>
  <c r="J64" i="4" s="1"/>
  <c r="I89" i="1"/>
  <c r="J156" i="1"/>
  <c r="AL90" i="7" l="1"/>
  <c r="AL86" i="7"/>
  <c r="V53" i="12" s="1"/>
  <c r="W53" i="12" s="1"/>
  <c r="W42" i="12"/>
  <c r="P34" i="14"/>
  <c r="P80" i="1"/>
  <c r="P35" i="14" s="1"/>
  <c r="Q79" i="1"/>
  <c r="P48" i="4"/>
  <c r="P52" i="4" s="1"/>
  <c r="O34" i="14"/>
  <c r="O80" i="1"/>
  <c r="O35" i="14" s="1"/>
  <c r="N63" i="4"/>
  <c r="N64" i="4" s="1"/>
  <c r="N79" i="1"/>
  <c r="M48" i="4"/>
  <c r="M52" i="4" s="1"/>
  <c r="Q63" i="4"/>
  <c r="Q64" i="4" s="1"/>
  <c r="R80" i="1"/>
  <c r="R35" i="14" s="1"/>
  <c r="R34" i="14"/>
  <c r="L79" i="1"/>
  <c r="K48" i="4"/>
  <c r="K52" i="4" s="1"/>
  <c r="L48" i="4"/>
  <c r="L52" i="4" s="1"/>
  <c r="M79" i="1"/>
  <c r="U34" i="14"/>
  <c r="U80" i="1"/>
  <c r="U35" i="14" s="1"/>
  <c r="T63" i="4"/>
  <c r="T79" i="1"/>
  <c r="S48" i="4"/>
  <c r="S52" i="4" s="1"/>
  <c r="AL68" i="7"/>
  <c r="AL82" i="7"/>
  <c r="N96" i="1"/>
  <c r="I32" i="14"/>
  <c r="J69" i="1"/>
  <c r="J72" i="1" s="1"/>
  <c r="J77" i="1" s="1"/>
  <c r="I94" i="1"/>
  <c r="L80" i="1" l="1"/>
  <c r="L35" i="14" s="1"/>
  <c r="L34" i="14"/>
  <c r="K63" i="4"/>
  <c r="K64" i="4" s="1"/>
  <c r="T5" i="12" a="1"/>
  <c r="T5" i="12" s="1"/>
  <c r="S63" i="4"/>
  <c r="S64" i="4" s="1"/>
  <c r="T34" i="14"/>
  <c r="T80" i="1"/>
  <c r="T35" i="14" s="1"/>
  <c r="M63" i="4"/>
  <c r="M64" i="4" s="1"/>
  <c r="N80" i="1"/>
  <c r="N35" i="14" s="1"/>
  <c r="N34" i="14"/>
  <c r="W34" i="14" s="1"/>
  <c r="T64" i="4"/>
  <c r="I17" i="4"/>
  <c r="I20" i="4" s="1"/>
  <c r="M34" i="14"/>
  <c r="M80" i="1"/>
  <c r="M35" i="14" s="1"/>
  <c r="L63" i="4"/>
  <c r="L64" i="4" s="1"/>
  <c r="P63" i="4"/>
  <c r="P64" i="4" s="1"/>
  <c r="Q80" i="1"/>
  <c r="Q35" i="14" s="1"/>
  <c r="Q34" i="14"/>
  <c r="O96" i="1"/>
  <c r="H57" i="4"/>
  <c r="H61" i="4" s="1"/>
  <c r="I100" i="1"/>
  <c r="J20" i="14"/>
  <c r="J128" i="1"/>
  <c r="AJ33" i="7"/>
  <c r="T28" i="12" l="1"/>
  <c r="T26" i="12"/>
  <c r="T29" i="12"/>
  <c r="T27" i="12"/>
  <c r="U5" i="12" a="1"/>
  <c r="U5" i="12" s="1"/>
  <c r="P96" i="1"/>
  <c r="AL79" i="7"/>
  <c r="V22" i="6" s="1"/>
  <c r="H12" i="10" s="1" a="1"/>
  <c r="AK69" i="7"/>
  <c r="AL102" i="7" s="1"/>
  <c r="V41" i="6" s="1"/>
  <c r="K50" i="14" s="1"/>
  <c r="J144" i="1"/>
  <c r="J114" i="1"/>
  <c r="I30" i="14"/>
  <c r="I121" i="1"/>
  <c r="U28" i="12" l="1"/>
  <c r="U27" i="12"/>
  <c r="U26" i="12"/>
  <c r="U29" i="12"/>
  <c r="Q96" i="1"/>
  <c r="J37" i="10"/>
  <c r="J15" i="10" s="1"/>
  <c r="C49" i="11" s="1"/>
  <c r="J38" i="10"/>
  <c r="J16" i="10" s="1"/>
  <c r="C48" i="11" s="1"/>
  <c r="L41" i="10"/>
  <c r="L19" i="10" s="1"/>
  <c r="E45" i="11" s="1"/>
  <c r="K35" i="10"/>
  <c r="K13" i="10" s="1"/>
  <c r="D51" i="11" s="1"/>
  <c r="I35" i="10"/>
  <c r="I13" i="10" s="1"/>
  <c r="B51" i="11" s="1"/>
  <c r="H51" i="11" s="1"/>
  <c r="K42" i="10"/>
  <c r="K20" i="10" s="1"/>
  <c r="D44" i="11" s="1"/>
  <c r="L40" i="10"/>
  <c r="L18" i="10" s="1"/>
  <c r="E46" i="11" s="1"/>
  <c r="M40" i="10"/>
  <c r="M18" i="10" s="1"/>
  <c r="F46" i="11" s="1"/>
  <c r="J39" i="10"/>
  <c r="J17" i="10" s="1"/>
  <c r="C47" i="11" s="1"/>
  <c r="M42" i="10"/>
  <c r="M20" i="10" s="1"/>
  <c r="F44" i="11" s="1"/>
  <c r="I39" i="10"/>
  <c r="I17" i="10" s="1"/>
  <c r="B47" i="11" s="1"/>
  <c r="H47" i="11" s="1"/>
  <c r="K41" i="10"/>
  <c r="K19" i="10" s="1"/>
  <c r="D45" i="11" s="1"/>
  <c r="M36" i="10"/>
  <c r="M14" i="10" s="1"/>
  <c r="F50" i="11" s="1"/>
  <c r="J35" i="10"/>
  <c r="J13" i="10" s="1"/>
  <c r="C51" i="11" s="1"/>
  <c r="K39" i="10"/>
  <c r="K17" i="10" s="1"/>
  <c r="D47" i="11" s="1"/>
  <c r="M39" i="10"/>
  <c r="M17" i="10" s="1"/>
  <c r="F47" i="11" s="1"/>
  <c r="M41" i="10"/>
  <c r="M19" i="10" s="1"/>
  <c r="F45" i="11" s="1"/>
  <c r="L35" i="10"/>
  <c r="L13" i="10" s="1"/>
  <c r="E51" i="11" s="1"/>
  <c r="J40" i="10"/>
  <c r="J18" i="10" s="1"/>
  <c r="C46" i="11" s="1"/>
  <c r="L38" i="10"/>
  <c r="L16" i="10" s="1"/>
  <c r="E48" i="11" s="1"/>
  <c r="L36" i="10"/>
  <c r="L14" i="10" s="1"/>
  <c r="E50" i="11" s="1"/>
  <c r="K37" i="10"/>
  <c r="K15" i="10" s="1"/>
  <c r="D49" i="11" s="1"/>
  <c r="K36" i="10"/>
  <c r="K14" i="10" s="1"/>
  <c r="D50" i="11" s="1"/>
  <c r="L37" i="10"/>
  <c r="L15" i="10" s="1"/>
  <c r="E49" i="11" s="1"/>
  <c r="K40" i="10"/>
  <c r="K18" i="10" s="1"/>
  <c r="D46" i="11" s="1"/>
  <c r="I42" i="10"/>
  <c r="I20" i="10" s="1"/>
  <c r="B44" i="11" s="1"/>
  <c r="H44" i="11" s="1"/>
  <c r="J42" i="10"/>
  <c r="J20" i="10" s="1"/>
  <c r="C44" i="11" s="1"/>
  <c r="I37" i="10"/>
  <c r="I15" i="10" s="1"/>
  <c r="B49" i="11" s="1"/>
  <c r="H49" i="11" s="1"/>
  <c r="M37" i="10"/>
  <c r="M15" i="10" s="1"/>
  <c r="F49" i="11" s="1"/>
  <c r="L39" i="10"/>
  <c r="L17" i="10" s="1"/>
  <c r="E47" i="11" s="1"/>
  <c r="L42" i="10"/>
  <c r="L20" i="10" s="1"/>
  <c r="E44" i="11" s="1"/>
  <c r="I40" i="10"/>
  <c r="I18" i="10" s="1"/>
  <c r="B46" i="11" s="1"/>
  <c r="H46" i="11" s="1"/>
  <c r="J41" i="10"/>
  <c r="J19" i="10" s="1"/>
  <c r="C45" i="11" s="1"/>
  <c r="M35" i="10"/>
  <c r="M13" i="10" s="1"/>
  <c r="F51" i="11" s="1"/>
  <c r="I41" i="10"/>
  <c r="I19" i="10" s="1"/>
  <c r="B45" i="11" s="1"/>
  <c r="H45" i="11" s="1"/>
  <c r="H12" i="10"/>
  <c r="I38" i="10"/>
  <c r="I16" i="10" s="1"/>
  <c r="B48" i="11" s="1"/>
  <c r="H48" i="11" s="1"/>
  <c r="J36" i="10"/>
  <c r="J14" i="10" s="1"/>
  <c r="C50" i="11" s="1"/>
  <c r="M38" i="10"/>
  <c r="M16" i="10" s="1"/>
  <c r="F48" i="11" s="1"/>
  <c r="I36" i="10"/>
  <c r="I14" i="10" s="1"/>
  <c r="B50" i="11" s="1"/>
  <c r="H50" i="11" s="1"/>
  <c r="K38" i="10"/>
  <c r="K16" i="10" s="1"/>
  <c r="D48" i="11" s="1"/>
  <c r="J117" i="1"/>
  <c r="J119" i="1" s="1"/>
  <c r="J155" i="1"/>
  <c r="J157" i="1" s="1"/>
  <c r="J26" i="14"/>
  <c r="L51" i="11" l="1"/>
  <c r="L44" i="11"/>
  <c r="R96" i="1"/>
  <c r="K48" i="11"/>
  <c r="K44" i="11"/>
  <c r="L46" i="11"/>
  <c r="J49" i="11"/>
  <c r="K46" i="11"/>
  <c r="J51" i="11"/>
  <c r="I44" i="11"/>
  <c r="I48" i="11"/>
  <c r="K49" i="11"/>
  <c r="J45" i="11"/>
  <c r="J50" i="11"/>
  <c r="L47" i="11"/>
  <c r="L48" i="11"/>
  <c r="J47" i="11"/>
  <c r="I51" i="11"/>
  <c r="J34" i="10"/>
  <c r="J12" i="10" s="1"/>
  <c r="C52" i="11" s="1"/>
  <c r="M34" i="10"/>
  <c r="M12" i="10" s="1"/>
  <c r="F52" i="11" s="1"/>
  <c r="L34" i="10"/>
  <c r="L12" i="10" s="1"/>
  <c r="E52" i="11" s="1"/>
  <c r="K34" i="10"/>
  <c r="K12" i="10" s="1"/>
  <c r="D52" i="11" s="1"/>
  <c r="I34" i="10"/>
  <c r="I12" i="10" s="1"/>
  <c r="B52" i="11" s="1"/>
  <c r="H52" i="11" s="1"/>
  <c r="J89" i="1"/>
  <c r="K156" i="1"/>
  <c r="I45" i="11"/>
  <c r="K50" i="11"/>
  <c r="I47" i="11"/>
  <c r="I46" i="11"/>
  <c r="K47" i="11"/>
  <c r="K51" i="11"/>
  <c r="J44" i="11"/>
  <c r="J48" i="11"/>
  <c r="L49" i="11"/>
  <c r="L45" i="11"/>
  <c r="K45" i="11"/>
  <c r="I50" i="11"/>
  <c r="J46" i="11"/>
  <c r="L50" i="11"/>
  <c r="I49" i="11"/>
  <c r="S96" i="1" l="1"/>
  <c r="J52" i="11"/>
  <c r="K52" i="11"/>
  <c r="L52" i="11"/>
  <c r="I52" i="11"/>
  <c r="J94" i="1"/>
  <c r="K69" i="1"/>
  <c r="K72" i="1" s="1"/>
  <c r="K77" i="1" s="1"/>
  <c r="J32" i="14"/>
  <c r="U96" i="1" l="1"/>
  <c r="T96" i="1"/>
  <c r="K20" i="14"/>
  <c r="K128" i="1"/>
  <c r="AK33" i="7"/>
  <c r="J100" i="1"/>
  <c r="I57" i="4"/>
  <c r="I61" i="4" s="1"/>
  <c r="J121" i="1" l="1"/>
  <c r="J30" i="14"/>
  <c r="AL69" i="7"/>
  <c r="AL83" i="7"/>
  <c r="K144" i="1"/>
  <c r="K114" i="1"/>
  <c r="K117" i="1" l="1"/>
  <c r="K119" i="1" s="1"/>
  <c r="K155" i="1"/>
  <c r="K157" i="1" s="1"/>
  <c r="K26" i="14"/>
  <c r="L156" i="1" l="1"/>
  <c r="K89" i="1"/>
  <c r="K94" i="1" l="1"/>
  <c r="L69" i="1"/>
  <c r="L72" i="1" s="1"/>
  <c r="L77" i="1" s="1"/>
  <c r="K32" i="14"/>
  <c r="L128" i="1" l="1"/>
  <c r="L20" i="14"/>
  <c r="J57" i="4"/>
  <c r="J61" i="4" s="1"/>
  <c r="K100" i="1"/>
  <c r="K121" i="1" l="1"/>
  <c r="K30" i="14"/>
  <c r="L144" i="1"/>
  <c r="L114" i="1"/>
  <c r="L117" i="1" l="1"/>
  <c r="L119" i="1" s="1"/>
  <c r="L26" i="14"/>
  <c r="L155" i="1"/>
  <c r="L157" i="1" s="1"/>
  <c r="L89" i="1" l="1"/>
  <c r="M156" i="1"/>
  <c r="L32" i="14" l="1"/>
  <c r="M69" i="1"/>
  <c r="M72" i="1" s="1"/>
  <c r="M77" i="1" s="1"/>
  <c r="L94" i="1"/>
  <c r="L100" i="1" l="1"/>
  <c r="K57" i="4"/>
  <c r="K61" i="4" s="1"/>
  <c r="M128" i="1"/>
  <c r="M20" i="14"/>
  <c r="L121" i="1" l="1"/>
  <c r="L30" i="14"/>
  <c r="M144" i="1"/>
  <c r="M114" i="1"/>
  <c r="M117" i="1" l="1"/>
  <c r="M119" i="1" s="1"/>
  <c r="M26" i="14"/>
  <c r="M155" i="1"/>
  <c r="M157" i="1" s="1"/>
  <c r="M89" i="1" l="1"/>
  <c r="N156" i="1"/>
  <c r="M32" i="14" l="1"/>
  <c r="N69" i="1"/>
  <c r="N72" i="1" s="1"/>
  <c r="N77" i="1" s="1"/>
  <c r="M94" i="1"/>
  <c r="L57" i="4" l="1"/>
  <c r="L61" i="4" s="1"/>
  <c r="M100" i="1"/>
  <c r="N20" i="14"/>
  <c r="W20" i="14" s="1"/>
  <c r="N128" i="1"/>
  <c r="N144" i="1" l="1"/>
  <c r="N114" i="1"/>
  <c r="M121" i="1"/>
  <c r="M30" i="14"/>
  <c r="N117" i="1" l="1"/>
  <c r="N119" i="1" s="1"/>
  <c r="N155" i="1"/>
  <c r="N157" i="1" s="1"/>
  <c r="N26" i="14"/>
  <c r="W26" i="14" s="1"/>
  <c r="N89" i="1" l="1"/>
  <c r="O156" i="1"/>
  <c r="N32" i="14" l="1"/>
  <c r="W32" i="14" s="1"/>
  <c r="O69" i="1"/>
  <c r="O72" i="1" s="1"/>
  <c r="O77" i="1" s="1"/>
  <c r="N94" i="1"/>
  <c r="N100" i="1" l="1"/>
  <c r="M57" i="4"/>
  <c r="M61" i="4" s="1"/>
  <c r="O20" i="14"/>
  <c r="O128" i="1"/>
  <c r="O144" i="1" l="1"/>
  <c r="O114" i="1"/>
  <c r="N30" i="14"/>
  <c r="W30" i="14" s="1"/>
  <c r="N121" i="1"/>
  <c r="O117" i="1" l="1"/>
  <c r="O119" i="1" s="1"/>
  <c r="O26" i="14"/>
  <c r="O155" i="1"/>
  <c r="O157" i="1" s="1"/>
  <c r="O89" i="1" l="1"/>
  <c r="P156" i="1"/>
  <c r="P69" i="1" l="1"/>
  <c r="P72" i="1" s="1"/>
  <c r="P77" i="1" s="1"/>
  <c r="O32" i="14"/>
  <c r="O94" i="1"/>
  <c r="N57" i="4" l="1"/>
  <c r="N61" i="4" s="1"/>
  <c r="O100" i="1"/>
  <c r="P128" i="1"/>
  <c r="P20" i="14"/>
  <c r="P144" i="1" l="1"/>
  <c r="P114" i="1"/>
  <c r="O30" i="14"/>
  <c r="O121" i="1"/>
  <c r="P117" i="1" l="1"/>
  <c r="P119" i="1" s="1"/>
  <c r="P26" i="14"/>
  <c r="P155" i="1"/>
  <c r="P157" i="1" s="1"/>
  <c r="Q156" i="1" l="1"/>
  <c r="P89" i="1"/>
  <c r="P32" i="14" l="1"/>
  <c r="P94" i="1"/>
  <c r="Q69" i="1"/>
  <c r="Q72" i="1" s="1"/>
  <c r="Q77" i="1" s="1"/>
  <c r="Q20" i="14" l="1"/>
  <c r="Q128" i="1"/>
  <c r="P100" i="1"/>
  <c r="O57" i="4"/>
  <c r="O61" i="4" s="1"/>
  <c r="P121" i="1" l="1"/>
  <c r="P30" i="14"/>
  <c r="Q144" i="1"/>
  <c r="Q114" i="1"/>
  <c r="Q117" i="1" l="1"/>
  <c r="Q119" i="1" s="1"/>
  <c r="Q26" i="14"/>
  <c r="Q155" i="1"/>
  <c r="Q157" i="1" s="1"/>
  <c r="R156" i="1" l="1"/>
  <c r="Q89" i="1"/>
  <c r="Q94" i="1" l="1"/>
  <c r="R69" i="1"/>
  <c r="R72" i="1" s="1"/>
  <c r="R77" i="1" s="1"/>
  <c r="Q32" i="14"/>
  <c r="R128" i="1" l="1"/>
  <c r="R20" i="14"/>
  <c r="P57" i="4"/>
  <c r="P61" i="4" s="1"/>
  <c r="Q100" i="1"/>
  <c r="Q121" i="1" l="1"/>
  <c r="Q30" i="14"/>
  <c r="R144" i="1"/>
  <c r="R114" i="1"/>
  <c r="R117" i="1" l="1"/>
  <c r="R119" i="1" s="1"/>
  <c r="R155" i="1"/>
  <c r="R157" i="1" s="1"/>
  <c r="R26" i="14"/>
  <c r="R89" i="1" l="1"/>
  <c r="S156" i="1"/>
  <c r="R94" i="1" l="1"/>
  <c r="R32" i="14"/>
  <c r="S69" i="1"/>
  <c r="S72" i="1" s="1"/>
  <c r="S77" i="1" s="1"/>
  <c r="S20" i="14" l="1"/>
  <c r="S128" i="1"/>
  <c r="Q57" i="4"/>
  <c r="Q61" i="4" s="1"/>
  <c r="R100" i="1"/>
  <c r="R30" i="14" l="1"/>
  <c r="R121" i="1"/>
  <c r="S144" i="1"/>
  <c r="S114" i="1"/>
  <c r="S117" i="1" l="1"/>
  <c r="S119" i="1" s="1"/>
  <c r="S26" i="14"/>
  <c r="S155" i="1"/>
  <c r="S157" i="1" s="1"/>
  <c r="S89" i="1" l="1"/>
  <c r="T156" i="1"/>
  <c r="S32" i="14" l="1"/>
  <c r="T69" i="1"/>
  <c r="T72" i="1" s="1"/>
  <c r="T77" i="1" s="1"/>
  <c r="S94" i="1"/>
  <c r="R57" i="4" l="1"/>
  <c r="R61" i="4" s="1"/>
  <c r="S100" i="1"/>
  <c r="T20" i="14"/>
  <c r="T128" i="1"/>
  <c r="T144" i="1" l="1"/>
  <c r="T114" i="1"/>
  <c r="S121" i="1"/>
  <c r="S30" i="14"/>
  <c r="T117" i="1" l="1"/>
  <c r="T119" i="1" s="1"/>
  <c r="T26" i="14"/>
  <c r="T155" i="1"/>
  <c r="T157" i="1" s="1"/>
  <c r="U156" i="1" l="1"/>
  <c r="T89" i="1"/>
  <c r="U69" i="1" l="1"/>
  <c r="U72" i="1" s="1"/>
  <c r="U77" i="1" s="1"/>
  <c r="T32" i="14"/>
  <c r="T94" i="1"/>
  <c r="U20" i="14" l="1"/>
  <c r="U128" i="1"/>
  <c r="S57" i="4"/>
  <c r="S61" i="4" s="1"/>
  <c r="T100" i="1"/>
  <c r="T30" i="14" l="1"/>
  <c r="T121" i="1"/>
  <c r="U144" i="1"/>
  <c r="U114" i="1"/>
  <c r="U117" i="1" s="1"/>
  <c r="U119" i="1" s="1"/>
  <c r="U26" i="14" l="1"/>
  <c r="U155" i="1"/>
  <c r="U157" i="1" s="1"/>
  <c r="U89" i="1" s="1"/>
  <c r="U32" i="14" l="1"/>
  <c r="U94" i="1"/>
  <c r="U100" i="1" l="1"/>
  <c r="T57" i="4"/>
  <c r="T61" i="4" s="1"/>
  <c r="I18" i="4" l="1"/>
  <c r="N17" i="4"/>
  <c r="I21" i="4"/>
  <c r="I22" i="4" s="1"/>
  <c r="N21" i="4"/>
  <c r="U30" i="14"/>
  <c r="U121" i="1"/>
  <c r="E32" i="10" l="1"/>
  <c r="E40" i="10" s="1"/>
  <c r="E44" i="10" s="1"/>
  <c r="E45" i="10" s="1"/>
  <c r="I35" i="4"/>
  <c r="I39" i="4" s="1"/>
  <c r="I24" i="4"/>
  <c r="N20" i="4"/>
  <c r="N18" i="4"/>
  <c r="N22" i="4" l="1"/>
  <c r="N35" i="4" s="1"/>
  <c r="N39" i="4" s="1"/>
  <c r="E86" i="4"/>
  <c r="I40" i="4"/>
  <c r="E72" i="4" l="1"/>
  <c r="N40" i="4"/>
  <c r="N2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B31" authorId="0" shapeId="0" xr:uid="{E0046979-1FD9-490B-AF04-7C4CDCB21A04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current portion</t>
        </r>
      </text>
    </comment>
    <comment ref="B32" authorId="0" shapeId="0" xr:uid="{FC2FA5FB-362B-4E80-A8D2-FDF211713086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Cash, Cash equivalents and Investments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  <author>glenn Rentrop</author>
  </authors>
  <commentList>
    <comment ref="D13" authorId="0" shapeId="0" xr:uid="{2D5F4A8B-6F7C-4A2D-A19E-FC4FB6F26D2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most recent 10-Q as of valuation date.</t>
        </r>
      </text>
    </comment>
    <comment ref="C89" authorId="1" shapeId="0" xr:uid="{CF9824DC-A22F-4545-B77A-44731AD88FC2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Cash &amp; Short Term Investments
</t>
        </r>
      </text>
    </comment>
    <comment ref="C90" authorId="1" shapeId="0" xr:uid="{87699652-C054-46B6-8755-CF945D27F29F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Recievables, Accounts recievable, accrued interest recievable, taxes recievable</t>
        </r>
      </text>
    </comment>
    <comment ref="C98" authorId="1" shapeId="0" xr:uid="{4F591C31-5197-4EA2-974B-3DF15C4BDB74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Long-Term Equity Investment, Investment in Financial Assets</t>
        </r>
      </text>
    </comment>
    <comment ref="C109" authorId="1" shapeId="0" xr:uid="{3DAB9D0A-FC03-4122-8613-34E37E36DC7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Current, Long - Term Portion
</t>
        </r>
      </text>
    </comment>
    <comment ref="C116" authorId="1" shapeId="0" xr:uid="{3A51D773-0351-4218-B38B-DC89987952C2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Capital Stock, APIC, Gains not affecting Retained Earnings</t>
        </r>
      </text>
    </comment>
    <comment ref="C147" authorId="1" shapeId="0" xr:uid="{324270E6-B9FB-4433-B706-9E772992AF8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Long-Term Equity Investment, Investment in Financial Assets</t>
        </r>
      </text>
    </comment>
    <comment ref="C150" authorId="1" shapeId="0" xr:uid="{3B57634A-4700-4797-84B8-157D1EB35D06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Current, Long - Term Portion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B5" authorId="0" shapeId="0" xr:uid="{80E4BBE4-D374-4EEA-AFCE-89673A4791CF}">
      <text>
        <r>
          <rPr>
            <b/>
            <sz val="9"/>
            <color indexed="81"/>
            <rFont val="Tahoma"/>
            <family val="2"/>
          </rPr>
          <t xml:space="preserve">glenn Rentrop:
</t>
        </r>
        <r>
          <rPr>
            <sz val="9"/>
            <color indexed="81"/>
            <rFont val="Tahoma"/>
            <family val="2"/>
          </rPr>
          <t>Data on GPU fleet and deployments not yet sufficient to focus on GPU's, utilize MW data for now.</t>
        </r>
      </text>
    </comment>
    <comment ref="B19" authorId="0" shapeId="0" xr:uid="{176EE48F-98B5-48B1-96C3-D35AD42231A7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Management plans 22K+ Blackwell Deployments by end of 2026
</t>
        </r>
      </text>
    </comment>
    <comment ref="B57" authorId="0" shapeId="0" xr:uid="{C782796C-D750-4BB7-82C8-B7F41C874A18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Co-location facilitiy. Capacity expansion difficult / unlikely. </t>
        </r>
      </text>
    </comment>
    <comment ref="B60" authorId="0" shapeId="0" xr:uid="{AF550A91-0C4A-4741-8EDD-03805F499FBA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Target Deployments described by NBIS. 
Max capacity of current facilities is around 120 MW, but firm intends to deploy 240+ MW in the medium term
</t>
        </r>
      </text>
    </comment>
    <comment ref="B63" authorId="0" shapeId="0" xr:uid="{DDD666A2-64F5-49B2-A0C0-BD923EA9AB76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As per NBIS Website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F6" authorId="0" shapeId="0" xr:uid="{A6A16BC6-8592-4D1E-A032-C61DCF4A1C4E}">
      <text>
        <r>
          <rPr>
            <sz val="9"/>
            <color indexed="81"/>
            <rFont val="Tahoma"/>
            <family val="2"/>
          </rPr>
          <t>10-Year US Treasury yield as of valuation date.</t>
        </r>
      </text>
    </comment>
    <comment ref="F7" authorId="0" shapeId="0" xr:uid="{235B38C1-6ED2-43DF-932A-DA3B1652315E}">
      <text>
        <r>
          <rPr>
            <sz val="9"/>
            <color indexed="81"/>
            <rFont val="Tahoma"/>
            <family val="2"/>
          </rPr>
          <t>U.S. Equity Risk Premium for 2019 per Damodaran's data.</t>
        </r>
      </text>
    </comment>
    <comment ref="F8" authorId="0" shapeId="0" xr:uid="{0353D735-11DE-4E8A-975F-F4305E9A6FD7}">
      <text>
        <r>
          <rPr>
            <sz val="9"/>
            <color indexed="81"/>
            <rFont val="Tahoma"/>
            <family val="2"/>
          </rPr>
          <t>Dividing total Debt + Capital Lease Interest Expense by fair value of Debt + Capital Leases to approximate the YTM.</t>
        </r>
      </text>
    </comment>
    <comment ref="F9" authorId="0" shapeId="0" xr:uid="{2599E876-157D-4B4C-9A91-6CA5BBEC561F}">
      <text>
        <r>
          <rPr>
            <sz val="9"/>
            <color indexed="81"/>
            <rFont val="Tahoma"/>
            <family val="2"/>
          </rPr>
          <t>No outstanding Preferred Stock.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D16" authorId="0" shapeId="0" xr:uid="{254EA09F-C0FC-4A0B-807E-ED06963C6F4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Deal scrapped due to lack of Chinese regulatory approval 
</t>
        </r>
      </text>
    </comment>
    <comment ref="N16" authorId="0" shapeId="0" xr:uid="{08CE2FFD-6F16-4474-A7AE-88F4728BF9EF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Likely not useful as market was pricing in possibility of transaction failing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<sst xmlns="http://schemas.openxmlformats.org/spreadsheetml/2006/main" count="972" uniqueCount="453">
  <si>
    <t>Cost of Revenue</t>
  </si>
  <si>
    <t>Gross Profit</t>
  </si>
  <si>
    <t>Operating Expense</t>
  </si>
  <si>
    <t>Selling General and Administrative</t>
  </si>
  <si>
    <t>Research &amp; Development</t>
  </si>
  <si>
    <t>Depreciation Amortization Depletion</t>
  </si>
  <si>
    <t>Pretax Income</t>
  </si>
  <si>
    <t>Tax Provision</t>
  </si>
  <si>
    <t>EBITDA</t>
  </si>
  <si>
    <t>($ in Millions Except Per Share and Per Unit Data)</t>
  </si>
  <si>
    <t>Assumptions:</t>
  </si>
  <si>
    <t>Company Name:</t>
  </si>
  <si>
    <t>Ticker:</t>
  </si>
  <si>
    <t>Units (for Conversions):</t>
  </si>
  <si>
    <t>Most Recent Quarter End Date:</t>
  </si>
  <si>
    <t>Valuation Date:</t>
  </si>
  <si>
    <t>Current Share Price:</t>
  </si>
  <si>
    <t>Effective Tax Rate:</t>
  </si>
  <si>
    <t>LTM Period:</t>
  </si>
  <si>
    <t>Historical:</t>
  </si>
  <si>
    <t>Projected:</t>
  </si>
  <si>
    <t>Units:</t>
  </si>
  <si>
    <t>Nebius, N.V.</t>
  </si>
  <si>
    <t>NBIS</t>
  </si>
  <si>
    <t>N/A</t>
  </si>
  <si>
    <t>Q1</t>
  </si>
  <si>
    <t>Q2</t>
  </si>
  <si>
    <t>Q3</t>
  </si>
  <si>
    <t>Q4</t>
  </si>
  <si>
    <t>Net Income (Discontinued Operations):</t>
  </si>
  <si>
    <t>Income Statement:</t>
  </si>
  <si>
    <t>Balance Sheet:</t>
  </si>
  <si>
    <t>Total Assets</t>
  </si>
  <si>
    <t>Cash</t>
  </si>
  <si>
    <t>Receivables</t>
  </si>
  <si>
    <t>Prepaid Assets</t>
  </si>
  <si>
    <t>Other Current Assets</t>
  </si>
  <si>
    <t>Net PPE</t>
  </si>
  <si>
    <t>Current Deferred Revenue</t>
  </si>
  <si>
    <t>Other Current Liabilities</t>
  </si>
  <si>
    <t>Retained Earnings</t>
  </si>
  <si>
    <t>Treasury Stock</t>
  </si>
  <si>
    <t>Cash and Cash Equivalents</t>
  </si>
  <si>
    <t>Assets Held for Sale (Current)</t>
  </si>
  <si>
    <t>Goodwill and Other Intangible Assets</t>
  </si>
  <si>
    <t>Long-Term Equity Investment</t>
  </si>
  <si>
    <t>Other Non-Current Assets</t>
  </si>
  <si>
    <t>Payables and Accrued Expenses</t>
  </si>
  <si>
    <t>Long-Term Debt and Capital Lease Obligation</t>
  </si>
  <si>
    <t>Non-Current Accrued Expenses</t>
  </si>
  <si>
    <t>Liabilities Held for Sale (Non-Current)</t>
  </si>
  <si>
    <t>Total Current Assets</t>
  </si>
  <si>
    <t>Assets:</t>
  </si>
  <si>
    <t>Total Current Liabilities</t>
  </si>
  <si>
    <t>Stockholder's Equity</t>
  </si>
  <si>
    <t>Total Liabilities:</t>
  </si>
  <si>
    <t>Liabilities and Stockholder's Equity:</t>
  </si>
  <si>
    <t>Balance Check:</t>
  </si>
  <si>
    <t>Net Common Stock Issuance</t>
  </si>
  <si>
    <t>End Cash Position</t>
  </si>
  <si>
    <t>Cash Flow Statement:</t>
  </si>
  <si>
    <t>Depreciation/Amortization/Depletion</t>
  </si>
  <si>
    <t>Stock-Based Compensation</t>
  </si>
  <si>
    <t>Change in Receivables</t>
  </si>
  <si>
    <t>Change in Prepaid Assets</t>
  </si>
  <si>
    <t>CapEx</t>
  </si>
  <si>
    <t>Cash Flow From Financing</t>
  </si>
  <si>
    <t>Cash Flow From Investing</t>
  </si>
  <si>
    <t>Net Income</t>
  </si>
  <si>
    <t>CapEx:</t>
  </si>
  <si>
    <t>$M</t>
  </si>
  <si>
    <t>%</t>
  </si>
  <si>
    <t>Property, Plant and Equipment, Net:</t>
  </si>
  <si>
    <t>D&amp;A of Existing Net PP&amp;E and Intangibles:</t>
  </si>
  <si>
    <t>D&amp;A of NEW CapEx &amp; Intangible Purchases:</t>
  </si>
  <si>
    <t>D&amp;A - Existing PP&amp;E and Intangibles, Net:</t>
  </si>
  <si>
    <t>Total Depreciation &amp; Amortisation:</t>
  </si>
  <si>
    <t>Cash Flow From Operations</t>
  </si>
  <si>
    <t>Beginning Cash</t>
  </si>
  <si>
    <t>Change in Cash</t>
  </si>
  <si>
    <t>Treasury Stock Repurchases</t>
  </si>
  <si>
    <t>Other Restructuring items</t>
  </si>
  <si>
    <t>Model Drivers &amp; Assumptions</t>
  </si>
  <si>
    <t>Nebius</t>
  </si>
  <si>
    <t>Finland</t>
  </si>
  <si>
    <t>Kansas</t>
  </si>
  <si>
    <t>MW</t>
  </si>
  <si>
    <t>Paris</t>
  </si>
  <si>
    <t>Q1-25</t>
  </si>
  <si>
    <t>Q2-25</t>
  </si>
  <si>
    <t>Q3-25</t>
  </si>
  <si>
    <t>Q4-25</t>
  </si>
  <si>
    <t>Q1-26</t>
  </si>
  <si>
    <t>Q2-26</t>
  </si>
  <si>
    <t>Q3-26</t>
  </si>
  <si>
    <t>Q4-26</t>
  </si>
  <si>
    <t>Q1-27</t>
  </si>
  <si>
    <t>Q2-27</t>
  </si>
  <si>
    <t>Q3-27</t>
  </si>
  <si>
    <t>Q4-27</t>
  </si>
  <si>
    <t>Base</t>
  </si>
  <si>
    <t>Total MW Capacity</t>
  </si>
  <si>
    <t>Upside</t>
  </si>
  <si>
    <t>Downside</t>
  </si>
  <si>
    <t>DCF Assumptions &amp; Output:</t>
  </si>
  <si>
    <t>Discount Rate (WACC):</t>
  </si>
  <si>
    <t>Terminal Value - Multiples Method:</t>
  </si>
  <si>
    <t>Terminal Value - Perpetuity Growth Method:</t>
  </si>
  <si>
    <t>Selected Scenario:</t>
  </si>
  <si>
    <t>Median EV / EBITDA of Comps:</t>
  </si>
  <si>
    <t>Expected Long-Term GDP Growth:</t>
  </si>
  <si>
    <t>Baseline Terminal EBITDA Multiple:</t>
  </si>
  <si>
    <t>Baseline Terminal FCF Growth Rate:</t>
  </si>
  <si>
    <t>Current Equity Value:</t>
  </si>
  <si>
    <t>(-) Cash &amp; Cash-Equivalents:</t>
  </si>
  <si>
    <t>(-) Equity Investments:</t>
  </si>
  <si>
    <t>(-) Other Non-Core Assets, Net:</t>
  </si>
  <si>
    <t>(-) Net Operating Losses:</t>
  </si>
  <si>
    <t>Baseline Terminal Value:</t>
  </si>
  <si>
    <t>(+) Total Debt &amp; Capital Leases:</t>
  </si>
  <si>
    <t>Implied Terminal FCF Growth Rate:</t>
  </si>
  <si>
    <t>Implied Terminal EBITDA Multiple:</t>
  </si>
  <si>
    <t>(+) Preferred Stock:</t>
  </si>
  <si>
    <t>(+) Noncontrolling Interests:</t>
  </si>
  <si>
    <t>(+) PV of Terminal Value:</t>
  </si>
  <si>
    <t>(+) Unfunded Pension Obligations:</t>
  </si>
  <si>
    <t>(+) Sum of PV of Free Cash Flows:</t>
  </si>
  <si>
    <t>(+) Restructuring &amp; Other Liabilities:</t>
  </si>
  <si>
    <t>Implied Enterprise Value:</t>
  </si>
  <si>
    <t>Current Enterprise Value:</t>
  </si>
  <si>
    <t>% of Implied EV from Terminal Value:</t>
  </si>
  <si>
    <t>(+) Cash &amp; Cash-Equivalents:</t>
  </si>
  <si>
    <t>(+) Equity Investments:</t>
  </si>
  <si>
    <t>(+) Other Non-Core Assets, Net:</t>
  </si>
  <si>
    <t>(+) Net Operating Losses:</t>
  </si>
  <si>
    <t>(-) Total Debt &amp; Capital Leases:</t>
  </si>
  <si>
    <t>(-) Total Debt:</t>
  </si>
  <si>
    <t>(-) Preferred Stock:</t>
  </si>
  <si>
    <t>(-) Noncontrolling Interests:</t>
  </si>
  <si>
    <t>(-) Unfunded Pension Obligations:</t>
  </si>
  <si>
    <t>(-) Restructuring &amp; Other Liabilities:</t>
  </si>
  <si>
    <t>Implied Equity Value:</t>
  </si>
  <si>
    <t>Diluted Shares Outstanding:</t>
  </si>
  <si>
    <t>Implied Share Price from DCF:</t>
  </si>
  <si>
    <t>Premium / (Discount) to Current:</t>
  </si>
  <si>
    <t>Unlevered Free Cash Flow Projections:</t>
  </si>
  <si>
    <t>Total Revenue:</t>
  </si>
  <si>
    <t>Growth Rate:</t>
  </si>
  <si>
    <t>Operating Income (EBIT):</t>
  </si>
  <si>
    <t>(-) Taxes, Excluding Effect of Interest:</t>
  </si>
  <si>
    <t>Adjustments for Non-Cash Charges:</t>
  </si>
  <si>
    <t>EBITDA:</t>
  </si>
  <si>
    <t>Sensitivity - Terminal FCF Growth Rate vs. Discount Rate and Implied Share Price from DCF Analysis:</t>
  </si>
  <si>
    <t>Terminal FCF Growth Rate:</t>
  </si>
  <si>
    <t>Sensitivity - Terminal EBITDA Multiple vs. Discount Rate and Implied Share Price from DCF Analysis:</t>
  </si>
  <si>
    <t>Terminal EBITDA Multiple:</t>
  </si>
  <si>
    <t>Utilization Rate:</t>
  </si>
  <si>
    <t>Cost of Revenue % Revenue</t>
  </si>
  <si>
    <t>$T</t>
  </si>
  <si>
    <t>D&amp;A - Q4 CapEx &amp; Intangible Purchases:</t>
  </si>
  <si>
    <t>D&amp;A - Q1 CapEx &amp; Intangible Purchases:</t>
  </si>
  <si>
    <t>D&amp;A - Q2 CapEx &amp; Intangible Purchases:</t>
  </si>
  <si>
    <t>D&amp;A - Q3 CapEx &amp; Intangible Purchases:</t>
  </si>
  <si>
    <t>Other Segments</t>
  </si>
  <si>
    <t>Other Revenue</t>
  </si>
  <si>
    <t>Net Non Operating Interest Income (Expense)</t>
  </si>
  <si>
    <t xml:space="preserve">Income Statement </t>
  </si>
  <si>
    <t>Balance Sheet</t>
  </si>
  <si>
    <t>Current Assets:</t>
  </si>
  <si>
    <t>Total</t>
  </si>
  <si>
    <t>Days Recievables Outstanding</t>
  </si>
  <si>
    <t>Last Fiscal Quarter:</t>
  </si>
  <si>
    <t>Next Fiscal Quarter:</t>
  </si>
  <si>
    <t>Forward Quarter 1:</t>
  </si>
  <si>
    <t>Forward Quarter 2:</t>
  </si>
  <si>
    <t>Forward Quarter 3:</t>
  </si>
  <si>
    <t>Prepaid Assets % CapEx</t>
  </si>
  <si>
    <t>Non-Current Assets:</t>
  </si>
  <si>
    <t>Other Non-Current Assets % Revenue</t>
  </si>
  <si>
    <t>Current Liabilities:</t>
  </si>
  <si>
    <t>Non-Current Liabilities:</t>
  </si>
  <si>
    <t xml:space="preserve">% </t>
  </si>
  <si>
    <t>Current Deferred Revenue % Revenue</t>
  </si>
  <si>
    <t>Non-Current Accrued Expenses % CapEx</t>
  </si>
  <si>
    <t>Days Payables Outstanding</t>
  </si>
  <si>
    <t>Days</t>
  </si>
  <si>
    <t>Tax Provision % Revenue</t>
  </si>
  <si>
    <t>Other Income (Expense)</t>
  </si>
  <si>
    <t>EBIT (Operating Income)</t>
  </si>
  <si>
    <t>Other Items</t>
  </si>
  <si>
    <t>Cash Flow Statement</t>
  </si>
  <si>
    <t>Stock-Based Compensation % OpEx</t>
  </si>
  <si>
    <t>Comparable Companies - Semiconductor Manufacturing Equipment Provisions and Servicing</t>
  </si>
  <si>
    <t>($ USD in Millions Except Per Share Amounts in USD as Stated)</t>
  </si>
  <si>
    <t>Share Price:</t>
  </si>
  <si>
    <t>Total Diluted Shares:</t>
  </si>
  <si>
    <t>Equity Value:</t>
  </si>
  <si>
    <t>Levered Beta:</t>
  </si>
  <si>
    <t>(+) Debt &amp; Capital Leases:</t>
  </si>
  <si>
    <t>Enterprise Value:</t>
  </si>
  <si>
    <t>Operating Statistics:</t>
  </si>
  <si>
    <t>Capitalization</t>
  </si>
  <si>
    <t>Projected</t>
  </si>
  <si>
    <t>Share</t>
  </si>
  <si>
    <t>Diluted</t>
  </si>
  <si>
    <t>Equity</t>
  </si>
  <si>
    <t>Other &amp;</t>
  </si>
  <si>
    <t>Enterprise</t>
  </si>
  <si>
    <t>Revenue</t>
  </si>
  <si>
    <t>EBITDA Margin</t>
  </si>
  <si>
    <t>Company Name</t>
  </si>
  <si>
    <t>Ticker</t>
  </si>
  <si>
    <t>Price</t>
  </si>
  <si>
    <t>Shares</t>
  </si>
  <si>
    <t xml:space="preserve">Value </t>
  </si>
  <si>
    <t>Beta</t>
  </si>
  <si>
    <t>Tax Rate</t>
  </si>
  <si>
    <t>Debt</t>
  </si>
  <si>
    <t>Preferred</t>
  </si>
  <si>
    <t>NCI</t>
  </si>
  <si>
    <t>Value</t>
  </si>
  <si>
    <t>LTM</t>
  </si>
  <si>
    <t>Growth</t>
  </si>
  <si>
    <t>AMAT</t>
  </si>
  <si>
    <t>ASML</t>
  </si>
  <si>
    <t>KLAC</t>
  </si>
  <si>
    <t>AVGO</t>
  </si>
  <si>
    <t>QCOM</t>
  </si>
  <si>
    <t>Maximum</t>
  </si>
  <si>
    <t>75th Percentile</t>
  </si>
  <si>
    <t>Median</t>
  </si>
  <si>
    <t>25th Percentile</t>
  </si>
  <si>
    <t>Minimum</t>
  </si>
  <si>
    <t>Valuation Statistics:</t>
  </si>
  <si>
    <t>Enterprise Value /</t>
  </si>
  <si>
    <t>P / E Multiple</t>
  </si>
  <si>
    <t>LRCX</t>
  </si>
  <si>
    <t>Lam Research Corp.</t>
  </si>
  <si>
    <t>ASML Holding, N.V.</t>
  </si>
  <si>
    <t>KLA Corporation</t>
  </si>
  <si>
    <t>Broadcom Inc.</t>
  </si>
  <si>
    <t>Qualcomm Incorporated</t>
  </si>
  <si>
    <t>Applied Materials</t>
  </si>
  <si>
    <t>Calendarization:</t>
  </si>
  <si>
    <t>(+) Non-Recurring Items in EBIT:</t>
  </si>
  <si>
    <t>(+) Depreciation &amp; Amortization:</t>
  </si>
  <si>
    <t>Balance Sheet Data:</t>
  </si>
  <si>
    <t>Projected Financials:</t>
  </si>
  <si>
    <t>Revenue:</t>
  </si>
  <si>
    <t>Reported Net Income:</t>
  </si>
  <si>
    <t>Diluted Shares Calculations:</t>
  </si>
  <si>
    <t>Common Shares Outstanding:</t>
  </si>
  <si>
    <t>Options and Warrants:</t>
  </si>
  <si>
    <t>Strike</t>
  </si>
  <si>
    <t>Dilution</t>
  </si>
  <si>
    <t>Convertible Bonds:</t>
  </si>
  <si>
    <t>$ Amount</t>
  </si>
  <si>
    <t>Par Value</t>
  </si>
  <si>
    <t>Conv. Price</t>
  </si>
  <si>
    <t># RSUs</t>
  </si>
  <si>
    <t>Restricted Stock Units (RSUs):</t>
  </si>
  <si>
    <t>Valuation Metrics:</t>
  </si>
  <si>
    <t>Valuation Multiples:</t>
  </si>
  <si>
    <t>EV / Revenue:</t>
  </si>
  <si>
    <t>EV / EBITDA:</t>
  </si>
  <si>
    <t>P / E:</t>
  </si>
  <si>
    <t>Lookup Variables:</t>
  </si>
  <si>
    <t>Corporate Website:</t>
  </si>
  <si>
    <t>https://www.lamresearch.com/</t>
  </si>
  <si>
    <t>https://www.asml.com/en</t>
  </si>
  <si>
    <t>https://www.kla.com/company</t>
  </si>
  <si>
    <t>https://www.broadcom.com/</t>
  </si>
  <si>
    <t>https://www.qualcomm.com/</t>
  </si>
  <si>
    <t>https://www.appliedmaterials.com/us/en.html</t>
  </si>
  <si>
    <t>Precedent Transactions - U.S.-Based Semiconductor Manufacturing Equipment Industry with Transaction Enterprise Value Above $1 Billion</t>
  </si>
  <si>
    <t>Announced Between January 1st, 2019 and November 1st, 2024</t>
  </si>
  <si>
    <t>Operating Metrics</t>
  </si>
  <si>
    <t>Valuation Multiples</t>
  </si>
  <si>
    <t>Share Prices</t>
  </si>
  <si>
    <t>Premiums Paid</t>
  </si>
  <si>
    <t>Transaction</t>
  </si>
  <si>
    <t xml:space="preserve">EV / </t>
  </si>
  <si>
    <t>Offer</t>
  </si>
  <si>
    <t>1-Day</t>
  </si>
  <si>
    <t>1-Week</t>
  </si>
  <si>
    <t>1-Month</t>
  </si>
  <si>
    <t>Acquirer Name</t>
  </si>
  <si>
    <t>Target Name</t>
  </si>
  <si>
    <t>Date</t>
  </si>
  <si>
    <t>Prior</t>
  </si>
  <si>
    <t>Orbotech Ltd.</t>
  </si>
  <si>
    <t>Analog Devices, Inc.</t>
  </si>
  <si>
    <t>Maxim Integrated Products, Inc.</t>
  </si>
  <si>
    <t>Advanced Micro Devices, Inc.</t>
  </si>
  <si>
    <t>Xilinx, Inc.</t>
  </si>
  <si>
    <t>Intel Corporation</t>
  </si>
  <si>
    <t>Tower Semiconductor</t>
  </si>
  <si>
    <t>Renesas Electronics Corporation</t>
  </si>
  <si>
    <t>Dialog Semiconductor</t>
  </si>
  <si>
    <t>Mellanox</t>
  </si>
  <si>
    <t>Nvidia</t>
  </si>
  <si>
    <t>EBITDA Margin:</t>
  </si>
  <si>
    <t>Nebius Group, N.V.</t>
  </si>
  <si>
    <t>Shares Outstanding:</t>
  </si>
  <si>
    <t>Quarter 1 Projected Revenue Growth:</t>
  </si>
  <si>
    <t>Quarter 1 Projected EBITDA Growth:</t>
  </si>
  <si>
    <t>Discount Rate Calculations - Assumptions:</t>
  </si>
  <si>
    <t>Risk-Free Rate:</t>
  </si>
  <si>
    <t>Equity Risk Premium:</t>
  </si>
  <si>
    <t>Pre-Tax Cost of Debt:</t>
  </si>
  <si>
    <t>Cost of Preferred Stock:</t>
  </si>
  <si>
    <t>Comparable Companies - Unlevered Beta Calculation:</t>
  </si>
  <si>
    <t>Levered</t>
  </si>
  <si>
    <t>Unlevered</t>
  </si>
  <si>
    <t>Name</t>
  </si>
  <si>
    <t>% Debt</t>
  </si>
  <si>
    <t>Stock</t>
  </si>
  <si>
    <t>% Preferred</t>
  </si>
  <si>
    <t>% Equity</t>
  </si>
  <si>
    <t>Median:</t>
  </si>
  <si>
    <t>Current Capital Structure:</t>
  </si>
  <si>
    <t>"Optimal" Capital Structure:</t>
  </si>
  <si>
    <t>Cost of Equity Based on Comparables, Current Capital Structure:</t>
  </si>
  <si>
    <t>Cost of Equity Based on Comparables, "Optimal" Capital Structure:</t>
  </si>
  <si>
    <t>Cost of Equity Based on Historical Beta:</t>
  </si>
  <si>
    <t>WACC = Cost of Equity * % Equity + Cost of Debt * % Debt * (1 - Tax Rate) + Cost of Preferred Stock * % Preferred Stock</t>
  </si>
  <si>
    <t>WACC, Current Capital Structure:</t>
  </si>
  <si>
    <t>WACC, Current Capital Structure and Historical Cost of Equity:</t>
  </si>
  <si>
    <t>WACC, "Optimal" Capital Structure:</t>
  </si>
  <si>
    <t>Average WACC Produced by All Methods:</t>
  </si>
  <si>
    <t>Net Operating Profit After Taxes (NOPAT):</t>
  </si>
  <si>
    <t>Depreciation and amortization:</t>
  </si>
  <si>
    <t>Net Change in Working Capital:</t>
  </si>
  <si>
    <t xml:space="preserve">Capital Expenditures: </t>
  </si>
  <si>
    <t>Unlevered Free Cash Flow:</t>
  </si>
  <si>
    <t>Long Term Utilization Rate:</t>
  </si>
  <si>
    <t>Revenue per MW per Quarter:</t>
  </si>
  <si>
    <t>Range of Valuation Multiples / Premiums</t>
  </si>
  <si>
    <t>Implied Per-Share Value Range</t>
  </si>
  <si>
    <t>75th</t>
  </si>
  <si>
    <t>25th</t>
  </si>
  <si>
    <t>Applicable</t>
  </si>
  <si>
    <t>Percentile</t>
  </si>
  <si>
    <t>Company</t>
  </si>
  <si>
    <t>Methodology Name</t>
  </si>
  <si>
    <t>Multiple</t>
  </si>
  <si>
    <t>Figure</t>
  </si>
  <si>
    <t>Public Company Comparables:</t>
  </si>
  <si>
    <t>Precedent Transactions:</t>
  </si>
  <si>
    <t>1-Day Premiums:</t>
  </si>
  <si>
    <t>1-Week Premiums:</t>
  </si>
  <si>
    <t>1-Month Premiums:</t>
  </si>
  <si>
    <t>Discounted Cash Flow Analysis:</t>
  </si>
  <si>
    <t>(9.9% - 11.9% WACC, 5.5% - 8.5% Free Cash Flow Growth Rate</t>
  </si>
  <si>
    <t>Enterprise Value --&gt;</t>
  </si>
  <si>
    <t>Equity Value --&gt;</t>
  </si>
  <si>
    <t>Q4 24 TEV / Revenue:</t>
  </si>
  <si>
    <t>Q4 24 TEV / EBITA:</t>
  </si>
  <si>
    <t>Q4 24 P/E:</t>
  </si>
  <si>
    <t>Min</t>
  </si>
  <si>
    <t>Max</t>
  </si>
  <si>
    <t>Min Point</t>
  </si>
  <si>
    <t>25th Point</t>
  </si>
  <si>
    <t>Median Point</t>
  </si>
  <si>
    <t>75th Point</t>
  </si>
  <si>
    <t>Max Point</t>
  </si>
  <si>
    <t>Current Region Selected:</t>
  </si>
  <si>
    <t>Status:</t>
  </si>
  <si>
    <t>Rev. Multiples:</t>
  </si>
  <si>
    <t>EBITDA Multiples:</t>
  </si>
  <si>
    <t>Data for Graphs (Sorted by revenue growth in ascending order):</t>
  </si>
  <si>
    <t>Revenue Growth:</t>
  </si>
  <si>
    <t>EBITDA Growth:</t>
  </si>
  <si>
    <t>Helper</t>
  </si>
  <si>
    <t>Quarter</t>
  </si>
  <si>
    <t>Model Name:</t>
  </si>
  <si>
    <t>Author:</t>
  </si>
  <si>
    <t>Glenn Rentrop</t>
  </si>
  <si>
    <t>File Name:</t>
  </si>
  <si>
    <t>Analysis Date:</t>
  </si>
  <si>
    <t>Navigation, Summary, or Graph Worksheet:</t>
  </si>
  <si>
    <t>Financial Model Worksheet:</t>
  </si>
  <si>
    <t>Data and Back-End Calculation Worksheet:</t>
  </si>
  <si>
    <t>#</t>
  </si>
  <si>
    <t>Sheet Name</t>
  </si>
  <si>
    <t>Link to Sheet</t>
  </si>
  <si>
    <t>Model and Valuation Summary</t>
  </si>
  <si>
    <t>Summary</t>
  </si>
  <si>
    <t>Graphs and Dashboard</t>
  </si>
  <si>
    <t>Graphs</t>
  </si>
  <si>
    <t>Model</t>
  </si>
  <si>
    <t>Discounted Cash Flow Analysis and Sensitivities</t>
  </si>
  <si>
    <t>DCF</t>
  </si>
  <si>
    <t>Weighted Average Cost of Capital (WACC) Calculations</t>
  </si>
  <si>
    <t>WACC</t>
  </si>
  <si>
    <t>Valuation Summary - Back-End Calculations</t>
  </si>
  <si>
    <t>ValSum</t>
  </si>
  <si>
    <t>Valuation "Football Field" Chart</t>
  </si>
  <si>
    <t>ValGraph</t>
  </si>
  <si>
    <t>Comparable Public Companies - Output</t>
  </si>
  <si>
    <t>PubComps</t>
  </si>
  <si>
    <t>Comparable Public Companies - Data and Calculations</t>
  </si>
  <si>
    <t>PubCompsData</t>
  </si>
  <si>
    <t>Precedent Transactions</t>
  </si>
  <si>
    <t>MAComps</t>
  </si>
  <si>
    <t>Quarter:</t>
  </si>
  <si>
    <t>Q2 EBITDA Multiple:</t>
  </si>
  <si>
    <t>Q2 Rev. Multiple:</t>
  </si>
  <si>
    <t>Share Price</t>
  </si>
  <si>
    <t>Volume</t>
  </si>
  <si>
    <t>Summary of Operational Performance:</t>
  </si>
  <si>
    <t>CAGR:</t>
  </si>
  <si>
    <t>Segment-Level Statistics:</t>
  </si>
  <si>
    <t>$ M</t>
  </si>
  <si>
    <t>Company-Wide:</t>
  </si>
  <si>
    <t>Revenue Growth</t>
  </si>
  <si>
    <t>Profit Margin</t>
  </si>
  <si>
    <t>Net income per share: Diluted</t>
  </si>
  <si>
    <t>$ as Stated</t>
  </si>
  <si>
    <t>% Revenue:</t>
  </si>
  <si>
    <t>Cash and cash equivalents</t>
  </si>
  <si>
    <t>Summary of Valuation Multiples:</t>
  </si>
  <si>
    <t>EV / Revenue - Comparables:</t>
  </si>
  <si>
    <t>x</t>
  </si>
  <si>
    <t>Projected Revenue Growth - Comparables:</t>
  </si>
  <si>
    <t>EV / EBITDA - Comparables:</t>
  </si>
  <si>
    <t>Projected EBITDA Growth - Comparables:</t>
  </si>
  <si>
    <t>P / E - Comparables:</t>
  </si>
  <si>
    <t>Quarterly Operating Model and Valuation (3-Year Forecast)</t>
  </si>
  <si>
    <t>Q4-24</t>
  </si>
  <si>
    <t>Projected EBITDA Growth - Nebius:</t>
  </si>
  <si>
    <t>MW Capacity</t>
  </si>
  <si>
    <t>H-200 Tensor Core</t>
  </si>
  <si>
    <t>H-100 Tensor Core</t>
  </si>
  <si>
    <t>Target MW Capacity</t>
  </si>
  <si>
    <t>GPU Deployment Case</t>
  </si>
  <si>
    <t>MW Capacity Deployment</t>
  </si>
  <si>
    <t>$ / hr</t>
  </si>
  <si>
    <t>Selected:</t>
  </si>
  <si>
    <t>$</t>
  </si>
  <si>
    <t>GPU Deployments: Upside</t>
  </si>
  <si>
    <t>GPU Deployments: Base</t>
  </si>
  <si>
    <t>GPU Deployments: Downside</t>
  </si>
  <si>
    <t>Deployments Summary:</t>
  </si>
  <si>
    <t>$ T / GPU</t>
  </si>
  <si>
    <t>Nebius - Regions (Compute Infrastructure, Deployments and Revenue)</t>
  </si>
  <si>
    <t>Depreciation &amp; PPE</t>
  </si>
  <si>
    <t>Deployment</t>
  </si>
  <si>
    <t>GPU Deployment, Revenue, Capex, Depreciation and PPE</t>
  </si>
  <si>
    <t>3-Statement Model</t>
  </si>
  <si>
    <t>Cover</t>
  </si>
  <si>
    <t>Capex per GPU</t>
  </si>
  <si>
    <t>B-200 Blackwell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</si>
</sst>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_);_(@_)"/>
    <numFmt numFmtId="165" formatCode="yyyy\-mm\-dd"/>
    <numFmt numFmtId="166" formatCode="_(0.0%_);\(0.0%\);_(&quot;–&quot;_)_%;_(@_)_%"/>
    <numFmt numFmtId="167" formatCode="0.0%;\(0.0%\)"/>
    <numFmt numFmtId="168" formatCode="_([$$-409]* #,##0_);_([$$-409]* \(#,##0\);_([$$-409]* &quot;-&quot;??_);_(@_)"/>
    <numFmt numFmtId="169" formatCode="&quot;FY&quot;yy"/>
    <numFmt numFmtId="170" formatCode="#,##0_);\(#,##0\);&quot;OK!&quot;;&quot;Error&quot;"/>
    <numFmt numFmtId="171" formatCode="&quot;FY&quot;\ yy"/>
    <numFmt numFmtId="172" formatCode="0.0%"/>
    <numFmt numFmtId="173" formatCode="0.00%;\(0.00%\)"/>
    <numFmt numFmtId="174" formatCode="#,##0_);\(#,##0\);\-_);@_)"/>
    <numFmt numFmtId="175" formatCode="_(0.0\ \x_);\(0.0\ \x\);_(&quot;–&quot;_);_(@_)"/>
    <numFmt numFmtId="176" formatCode="_(0.00%_);\(0.00%\);_(&quot;–&quot;_);_(@_)"/>
    <numFmt numFmtId="177" formatCode="0.000"/>
    <numFmt numFmtId="178" formatCode="_(&quot;$&quot;* #,##0.0_);_(&quot;$&quot;* \(#,##0.0\);_(&quot;$&quot;* &quot;-&quot;?_);_(@_)"/>
    <numFmt numFmtId="179" formatCode="_(&quot;$&quot;* #,##0_);_(&quot;$&quot;* \(#,##0\);_(&quot;$&quot;* &quot;-&quot;?_);_(@_)"/>
    <numFmt numFmtId="180" formatCode="_(* #,##0_);_(* \(#,##0\);_(* &quot;-&quot;?_);_(@_)"/>
    <numFmt numFmtId="181" formatCode="_(0.0%_);\(0.0%\);_(&quot;–&quot;_);_(@_)"/>
    <numFmt numFmtId="182" formatCode="_(&quot;$&quot;* #,##0_);_(&quot;$&quot;* \(#,##0\);_(&quot;$&quot;* &quot;-&quot;??_);_(@_)"/>
    <numFmt numFmtId="183" formatCode="0.0\ \x"/>
    <numFmt numFmtId="184" formatCode="_(* #,##0.000_);_(* \(#,##0.000\);_(* &quot;-&quot;???_);_(@_)"/>
    <numFmt numFmtId="185" formatCode="0.0000%"/>
    <numFmt numFmtId="186" formatCode="_(* #,##0.0_);_(* \(#,##0.0\);_(* &quot;-&quot;??_);_(@_)"/>
    <numFmt numFmtId="187" formatCode="_(* #,##0_);_(* \(#,##0\);_(* &quot;-&quot;??_);_(@_)"/>
    <numFmt numFmtId="188" formatCode="_(* #,##0.00_);_(* \(#,##0.00\);_(* &quot;-&quot;_);_(@_)"/>
    <numFmt numFmtId="189" formatCode="_(#,##0.00_)_%;\(#,##0.00\)_%;_(&quot;–&quot;_)_%;_(@_)_%"/>
    <numFmt numFmtId="190" formatCode="_(#,##0.0%_);\(#,##0.0%\);_(&quot;–&quot;_)_%;_(@_)_%"/>
    <numFmt numFmtId="191" formatCode="_(&quot;$&quot;* #,##0.0_);_(&quot;$&quot;* \(#,##0.0\);_(&quot;$&quot;* &quot;-&quot;??_);_(@_)"/>
    <numFmt numFmtId="192" formatCode="_(&quot;$&quot;* #,##0.00_);_(&quot;$&quot;* \(#,##0.00\);_(&quot;$&quot;* &quot;-&quot;_);_(@_)"/>
    <numFmt numFmtId="193" formatCode="0.0\ \x;\(0.0\ \x\)"/>
    <numFmt numFmtId="194" formatCode="#,##0.000"/>
    <numFmt numFmtId="195" formatCode="0.0\ \x;[Red]\ 0.0\ \x"/>
    <numFmt numFmtId="196" formatCode="0.0%;\(0.0%\);\-_)_%;@_)_%"/>
    <numFmt numFmtId="197" formatCode="m/d/yyyy;@"/>
    <numFmt numFmtId="198" formatCode="_(* #,##0_);[Red]_(* \(#,##0\);_(* &quot;-&quot;_);_(@_)"/>
    <numFmt numFmtId="199" formatCode="_([$$-409]* #,##0.00_);_([$$-409]* \(#,##0.00\);_([$$-409]* &quot;-&quot;??_);_(@_)"/>
    <numFmt numFmtId="200" formatCode="_([$€-2]\ * #,##0_);_([$€-2]\ * \(#,##0\);_([$€-2]\ * &quot;-&quot;??_);_(@_)"/>
    <numFmt numFmtId="201" formatCode="_(0.00%_);\(0.00%\);_(&quot;–&quot;_)_%;_(@_)_%"/>
    <numFmt numFmtId="202" formatCode="_(#,##0.00_);\(#,##0.00\);_(&quot;–&quot;_);_(@_)"/>
    <numFmt numFmtId="203" formatCode="_(&quot;$&quot;* #,##0.00_);_(&quot;$&quot;* \(#,##0.00\);_(&quot;$&quot;* &quot;-&quot;?_);_(@_)"/>
    <numFmt numFmtId="204" formatCode="0.00%_);\(0.00%\);\-_%_);@_)"/>
    <numFmt numFmtId="205" formatCode="0.00\ \x;\(0.00\ \x\)"/>
    <numFmt numFmtId="206" formatCode="_(* #,##0.00_);_(* \(#,##0.00\);_(* &quot;-&quot;???_);_(@_)"/>
    <numFmt numFmtId="207" formatCode="m/d/yy;@"/>
  </numFmts>
  <fonts count="7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7"/>
      <color rgb="FF232A31"/>
      <name val="Arial"/>
      <family val="2"/>
    </font>
    <font>
      <u/>
      <sz val="11"/>
      <color theme="1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u/>
      <sz val="12"/>
      <color theme="0"/>
      <name val="Aptos Narrow"/>
      <family val="2"/>
      <scheme val="minor"/>
    </font>
    <font>
      <b/>
      <sz val="12"/>
      <color theme="9"/>
      <name val="Aptos Narrow"/>
      <family val="2"/>
      <scheme val="minor"/>
    </font>
    <font>
      <sz val="12"/>
      <color theme="9"/>
      <name val="Aptos Narrow"/>
      <family val="2"/>
      <scheme val="minor"/>
    </font>
    <font>
      <i/>
      <sz val="12"/>
      <color theme="9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rgb="FF0000FF"/>
      <name val="Aptos Narrow"/>
      <family val="2"/>
      <scheme val="minor"/>
    </font>
    <font>
      <sz val="12"/>
      <color theme="5"/>
      <name val="Aptos Narrow"/>
      <family val="2"/>
      <scheme val="minor"/>
    </font>
    <font>
      <sz val="12"/>
      <color rgb="FF000000"/>
      <name val="Calibri"/>
      <family val="2"/>
    </font>
    <font>
      <sz val="12"/>
      <color theme="9"/>
      <name val="Calibri"/>
      <family val="2"/>
    </font>
    <font>
      <i/>
      <sz val="12"/>
      <color rgb="FF000000"/>
      <name val="Aptos Narrow"/>
      <family val="2"/>
      <scheme val="minor"/>
    </font>
    <font>
      <sz val="12"/>
      <color theme="0"/>
      <name val="Aptos Narrow"/>
      <family val="2"/>
      <scheme val="minor"/>
    </font>
    <font>
      <i/>
      <sz val="12"/>
      <color theme="0"/>
      <name val="Aptos Narrow"/>
      <family val="2"/>
      <scheme val="minor"/>
    </font>
    <font>
      <b/>
      <i/>
      <sz val="12"/>
      <color theme="0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u/>
      <sz val="12"/>
      <color indexed="9"/>
      <name val="Aptos Narrow"/>
      <family val="2"/>
      <scheme val="minor"/>
    </font>
    <font>
      <sz val="10"/>
      <name val="Arial"/>
      <family val="2"/>
    </font>
    <font>
      <sz val="12"/>
      <color rgb="FF00B050"/>
      <name val="Aptos Narrow"/>
      <family val="2"/>
      <scheme val="minor"/>
    </font>
    <font>
      <i/>
      <sz val="12"/>
      <color theme="5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2"/>
      <color rgb="FF0000FF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232A31"/>
      <name val="Arial"/>
      <family val="2"/>
    </font>
    <font>
      <u/>
      <sz val="12"/>
      <color indexed="9"/>
      <name val="Aptos Narrow"/>
      <family val="2"/>
      <scheme val="minor"/>
    </font>
    <font>
      <sz val="12"/>
      <color indexed="9"/>
      <name val="Aptos Narrow"/>
      <family val="2"/>
      <scheme val="minor"/>
    </font>
    <font>
      <b/>
      <sz val="12"/>
      <color theme="0" tint="-4.9989318521683403E-2"/>
      <name val="Aptos Narrow"/>
      <family val="2"/>
      <scheme val="minor"/>
    </font>
    <font>
      <u/>
      <sz val="12"/>
      <color theme="10"/>
      <name val="Calibri"/>
      <family val="2"/>
    </font>
    <font>
      <b/>
      <sz val="14"/>
      <color rgb="FF000000"/>
      <name val="Aptos Narrow"/>
      <family val="2"/>
      <scheme val="minor"/>
    </font>
    <font>
      <sz val="8"/>
      <color indexed="8"/>
      <name val="Arial"/>
      <family val="2"/>
    </font>
    <font>
      <sz val="12"/>
      <color theme="6"/>
      <name val="Aptos Narrow"/>
      <family val="2"/>
      <scheme val="minor"/>
    </font>
    <font>
      <sz val="10"/>
      <color rgb="FF000000"/>
      <name val="Times New Roman"/>
      <family val="1"/>
    </font>
    <font>
      <i/>
      <sz val="11"/>
      <color theme="1"/>
      <name val="Aptos Narrow"/>
      <family val="2"/>
      <scheme val="minor"/>
    </font>
    <font>
      <b/>
      <sz val="14"/>
      <color rgb="FF000000"/>
      <name val="Calibri"/>
      <family val="2"/>
    </font>
    <font>
      <b/>
      <sz val="12"/>
      <color rgb="FFFFFFFF"/>
      <name val="Calibri"/>
      <family val="2"/>
    </font>
    <font>
      <sz val="12"/>
      <color rgb="FFFFFFFF"/>
      <name val="Calibri"/>
      <family val="2"/>
    </font>
    <font>
      <sz val="12"/>
      <color rgb="FFFF0000"/>
      <name val="Calibri"/>
      <family val="2"/>
    </font>
    <font>
      <sz val="12"/>
      <color rgb="FF00B050"/>
      <name val="Calibri"/>
      <family val="2"/>
    </font>
    <font>
      <b/>
      <i/>
      <sz val="12"/>
      <color rgb="FF000000"/>
      <name val="Aptos Narrow"/>
      <family val="2"/>
      <scheme val="minor"/>
    </font>
    <font>
      <b/>
      <sz val="12"/>
      <color theme="0"/>
      <name val="Aptos Narrow"/>
      <family val="2"/>
    </font>
    <font>
      <b/>
      <i/>
      <sz val="12"/>
      <color rgb="FF0000FF"/>
      <name val="Aptos Narrow"/>
      <family val="2"/>
      <scheme val="minor"/>
    </font>
    <font>
      <b/>
      <sz val="12"/>
      <color rgb="FF0000FF"/>
      <name val="Aptos Narrow"/>
      <family val="2"/>
      <scheme val="minor"/>
    </font>
    <font>
      <b/>
      <sz val="14"/>
      <color theme="1"/>
      <name val="Calibri"/>
      <family val="2"/>
    </font>
    <font>
      <sz val="12"/>
      <color theme="6" tint="0.39997558519241921"/>
      <name val="Aptos Narrow"/>
      <family val="2"/>
      <scheme val="minor"/>
    </font>
    <font>
      <sz val="11"/>
      <color theme="6" tint="0.39997558519241921"/>
      <name val="Aptos Narrow"/>
      <family val="2"/>
      <scheme val="minor"/>
    </font>
    <font>
      <b/>
      <sz val="12"/>
      <color theme="6" tint="0.39997558519241921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i/>
      <sz val="12"/>
      <color rgb="FF00B050"/>
      <name val="Aptos Narrow"/>
      <family val="2"/>
      <scheme val="minor"/>
    </font>
    <font>
      <b/>
      <i/>
      <sz val="12"/>
      <color rgb="FF00B050"/>
      <name val="Aptos Narrow"/>
      <family val="2"/>
      <scheme val="minor"/>
    </font>
    <font>
      <sz val="12"/>
      <color theme="7"/>
      <name val="Aptos Narrow"/>
      <family val="2"/>
      <scheme val="minor"/>
    </font>
    <font>
      <sz val="12"/>
      <color rgb="FFFFFF00"/>
      <name val="Aptos Narrow"/>
      <family val="2"/>
      <scheme val="minor"/>
    </font>
    <font>
      <i/>
      <sz val="12"/>
      <color rgb="FF232A31"/>
      <name val="Arial"/>
      <family val="2"/>
    </font>
    <font>
      <sz val="12"/>
      <color rgb="FF0000FF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1F497D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3" tint="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Dashed">
        <color rgb="FFFF0000"/>
      </left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5" fillId="0" borderId="0" applyNumberFormat="0" applyFill="0" applyBorder="0" applyAlignment="0" applyProtection="0"/>
    <xf numFmtId="0" fontId="34" fillId="0" borderId="0"/>
    <xf numFmtId="0" fontId="34" fillId="0" borderId="0"/>
    <xf numFmtId="0" fontId="1" fillId="0" borderId="0"/>
    <xf numFmtId="0" fontId="50" fillId="0" borderId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</cellStyleXfs>
  <cellXfs count="708">
    <xf numFmtId="0" fontId="0" fillId="0" borderId="0" xfId="0"/>
    <xf numFmtId="3" fontId="0" fillId="0" borderId="0" xfId="0" applyNumberForma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8" fillId="0" borderId="0" xfId="0" applyFont="1"/>
    <xf numFmtId="0" fontId="7" fillId="0" borderId="0" xfId="0" applyFont="1"/>
    <xf numFmtId="0" fontId="9" fillId="0" borderId="0" xfId="0" applyFont="1"/>
    <xf numFmtId="0" fontId="10" fillId="3" borderId="2" xfId="0" applyFont="1" applyFill="1" applyBorder="1" applyAlignment="1">
      <alignment horizontal="left"/>
    </xf>
    <xf numFmtId="0" fontId="11" fillId="3" borderId="2" xfId="0" applyFont="1" applyFill="1" applyBorder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0" xfId="0" applyFont="1"/>
    <xf numFmtId="19" fontId="13" fillId="0" borderId="0" xfId="0" applyNumberFormat="1" applyFont="1"/>
    <xf numFmtId="0" fontId="15" fillId="0" borderId="0" xfId="0" applyFont="1" applyAlignment="1">
      <alignment horizontal="left"/>
    </xf>
    <xf numFmtId="49" fontId="13" fillId="0" borderId="0" xfId="2" applyNumberFormat="1" applyFont="1" applyFill="1" applyBorder="1" applyAlignment="1">
      <alignment horizontal="left"/>
    </xf>
    <xf numFmtId="0" fontId="15" fillId="0" borderId="0" xfId="0" applyFont="1"/>
    <xf numFmtId="164" fontId="13" fillId="0" borderId="0" xfId="0" applyNumberFormat="1" applyFont="1"/>
    <xf numFmtId="165" fontId="13" fillId="0" borderId="0" xfId="0" applyNumberFormat="1" applyFont="1"/>
    <xf numFmtId="49" fontId="13" fillId="0" borderId="0" xfId="2" applyNumberFormat="1" applyFont="1" applyFill="1" applyBorder="1" applyAlignment="1">
      <alignment horizontal="center"/>
    </xf>
    <xf numFmtId="37" fontId="13" fillId="0" borderId="0" xfId="2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4" fontId="13" fillId="0" borderId="0" xfId="2" applyNumberFormat="1" applyFont="1" applyFill="1" applyBorder="1"/>
    <xf numFmtId="0" fontId="17" fillId="0" borderId="0" xfId="0" applyFont="1"/>
    <xf numFmtId="167" fontId="19" fillId="0" borderId="0" xfId="2" applyNumberFormat="1" applyFont="1" applyFill="1" applyBorder="1" applyAlignment="1">
      <alignment horizontal="center"/>
    </xf>
    <xf numFmtId="167" fontId="14" fillId="0" borderId="0" xfId="0" applyNumberFormat="1" applyFont="1"/>
    <xf numFmtId="167" fontId="20" fillId="0" borderId="0" xfId="0" applyNumberFormat="1" applyFont="1"/>
    <xf numFmtId="0" fontId="21" fillId="3" borderId="0" xfId="0" applyFont="1" applyFill="1"/>
    <xf numFmtId="0" fontId="22" fillId="3" borderId="0" xfId="0" applyFont="1" applyFill="1"/>
    <xf numFmtId="0" fontId="10" fillId="3" borderId="3" xfId="0" applyFont="1" applyFill="1" applyBorder="1" applyAlignment="1">
      <alignment horizontal="centerContinuous"/>
    </xf>
    <xf numFmtId="0" fontId="10" fillId="3" borderId="4" xfId="0" applyFont="1" applyFill="1" applyBorder="1" applyAlignment="1">
      <alignment horizontal="centerContinuous"/>
    </xf>
    <xf numFmtId="0" fontId="10" fillId="3" borderId="2" xfId="0" applyFont="1" applyFill="1" applyBorder="1"/>
    <xf numFmtId="0" fontId="23" fillId="3" borderId="2" xfId="0" applyFont="1" applyFill="1" applyBorder="1" applyAlignment="1">
      <alignment horizontal="center"/>
    </xf>
    <xf numFmtId="169" fontId="10" fillId="3" borderId="2" xfId="0" applyNumberFormat="1" applyFont="1" applyFill="1" applyBorder="1" applyAlignment="1">
      <alignment horizontal="center"/>
    </xf>
    <xf numFmtId="169" fontId="10" fillId="3" borderId="5" xfId="0" applyNumberFormat="1" applyFont="1" applyFill="1" applyBorder="1" applyAlignment="1">
      <alignment horizontal="center"/>
    </xf>
    <xf numFmtId="165" fontId="16" fillId="4" borderId="0" xfId="0" applyNumberFormat="1" applyFont="1" applyFill="1" applyAlignment="1">
      <alignment horizontal="center"/>
    </xf>
    <xf numFmtId="165" fontId="15" fillId="4" borderId="0" xfId="0" applyNumberFormat="1" applyFont="1" applyFill="1" applyAlignment="1">
      <alignment horizontal="center"/>
    </xf>
    <xf numFmtId="0" fontId="7" fillId="0" borderId="0" xfId="0" applyFont="1" applyAlignment="1">
      <alignment horizontal="left" vertical="center" indent="1"/>
    </xf>
    <xf numFmtId="0" fontId="7" fillId="0" borderId="2" xfId="0" applyFont="1" applyBorder="1" applyAlignment="1">
      <alignment horizontal="left" vertical="center" indent="1"/>
    </xf>
    <xf numFmtId="42" fontId="6" fillId="0" borderId="0" xfId="0" applyNumberFormat="1" applyFont="1" applyAlignment="1">
      <alignment vertical="center"/>
    </xf>
    <xf numFmtId="41" fontId="7" fillId="0" borderId="2" xfId="0" applyNumberFormat="1" applyFont="1" applyBorder="1" applyAlignment="1">
      <alignment vertical="center"/>
    </xf>
    <xf numFmtId="0" fontId="6" fillId="0" borderId="0" xfId="0" applyFont="1" applyAlignment="1">
      <alignment vertical="center" wrapText="1"/>
    </xf>
    <xf numFmtId="41" fontId="7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42" fontId="6" fillId="0" borderId="0" xfId="0" applyNumberFormat="1" applyFont="1"/>
    <xf numFmtId="0" fontId="7" fillId="0" borderId="0" xfId="0" applyFont="1" applyAlignment="1">
      <alignment horizontal="left" vertical="center" wrapText="1" indent="1"/>
    </xf>
    <xf numFmtId="0" fontId="7" fillId="0" borderId="2" xfId="0" applyFont="1" applyBorder="1" applyAlignment="1">
      <alignment horizontal="left" vertical="center" wrapText="1" indent="1"/>
    </xf>
    <xf numFmtId="41" fontId="7" fillId="0" borderId="2" xfId="0" applyNumberFormat="1" applyFont="1" applyBorder="1" applyAlignment="1">
      <alignment vertical="center" wrapText="1"/>
    </xf>
    <xf numFmtId="41" fontId="6" fillId="0" borderId="0" xfId="0" applyNumberFormat="1" applyFont="1" applyAlignment="1">
      <alignment vertical="center" wrapText="1"/>
    </xf>
    <xf numFmtId="41" fontId="7" fillId="5" borderId="0" xfId="0" applyNumberFormat="1" applyFont="1" applyFill="1" applyAlignment="1">
      <alignment vertical="center" wrapText="1"/>
    </xf>
    <xf numFmtId="41" fontId="0" fillId="0" borderId="0" xfId="0" applyNumberFormat="1" applyAlignment="1">
      <alignment vertical="center"/>
    </xf>
    <xf numFmtId="170" fontId="26" fillId="0" borderId="0" xfId="0" applyNumberFormat="1" applyFont="1"/>
    <xf numFmtId="0" fontId="7" fillId="6" borderId="0" xfId="0" applyFont="1" applyFill="1"/>
    <xf numFmtId="0" fontId="7" fillId="6" borderId="3" xfId="0" applyFont="1" applyFill="1" applyBorder="1"/>
    <xf numFmtId="0" fontId="10" fillId="6" borderId="3" xfId="0" applyFont="1" applyFill="1" applyBorder="1"/>
    <xf numFmtId="0" fontId="7" fillId="6" borderId="7" xfId="0" applyFont="1" applyFill="1" applyBorder="1"/>
    <xf numFmtId="0" fontId="10" fillId="6" borderId="0" xfId="0" applyFont="1" applyFill="1"/>
    <xf numFmtId="171" fontId="10" fillId="6" borderId="0" xfId="0" applyNumberFormat="1" applyFont="1" applyFill="1" applyAlignment="1">
      <alignment horizontal="center"/>
    </xf>
    <xf numFmtId="0" fontId="7" fillId="0" borderId="0" xfId="0" applyFont="1" applyAlignment="1">
      <alignment horizontal="left" indent="2"/>
    </xf>
    <xf numFmtId="0" fontId="9" fillId="0" borderId="0" xfId="0" applyFont="1" applyAlignment="1">
      <alignment horizontal="center"/>
    </xf>
    <xf numFmtId="41" fontId="16" fillId="0" borderId="0" xfId="0" applyNumberFormat="1" applyFont="1"/>
    <xf numFmtId="41" fontId="27" fillId="4" borderId="0" xfId="2" applyNumberFormat="1" applyFont="1" applyFill="1" applyBorder="1" applyAlignment="1">
      <alignment horizontal="center"/>
    </xf>
    <xf numFmtId="172" fontId="27" fillId="0" borderId="0" xfId="0" applyNumberFormat="1" applyFont="1"/>
    <xf numFmtId="44" fontId="27" fillId="7" borderId="0" xfId="0" applyNumberFormat="1" applyFont="1" applyFill="1" applyAlignment="1">
      <alignment horizontal="left" vertical="center" indent="1"/>
    </xf>
    <xf numFmtId="167" fontId="27" fillId="0" borderId="0" xfId="2" applyNumberFormat="1" applyFont="1" applyFill="1" applyBorder="1" applyAlignment="1">
      <alignment horizontal="center"/>
    </xf>
    <xf numFmtId="41" fontId="27" fillId="0" borderId="0" xfId="0" applyNumberFormat="1" applyFont="1"/>
    <xf numFmtId="41" fontId="27" fillId="0" borderId="0" xfId="2" applyNumberFormat="1" applyFont="1" applyFill="1" applyBorder="1" applyAlignment="1">
      <alignment horizontal="center"/>
    </xf>
    <xf numFmtId="3" fontId="7" fillId="0" borderId="0" xfId="0" applyNumberFormat="1" applyFont="1"/>
    <xf numFmtId="41" fontId="16" fillId="0" borderId="0" xfId="0" applyNumberFormat="1" applyFont="1" applyAlignment="1">
      <alignment vertical="center"/>
    </xf>
    <xf numFmtId="44" fontId="27" fillId="7" borderId="0" xfId="0" applyNumberFormat="1" applyFont="1" applyFill="1" applyAlignment="1">
      <alignment horizontal="left" vertical="center"/>
    </xf>
    <xf numFmtId="167" fontId="16" fillId="0" borderId="0" xfId="2" applyNumberFormat="1" applyFont="1" applyFill="1" applyBorder="1" applyAlignment="1">
      <alignment horizontal="center"/>
    </xf>
    <xf numFmtId="0" fontId="7" fillId="0" borderId="0" xfId="0" applyFont="1" applyAlignment="1">
      <alignment horizontal="left" indent="1"/>
    </xf>
    <xf numFmtId="167" fontId="27" fillId="0" borderId="0" xfId="2" applyNumberFormat="1" applyFont="1" applyFill="1" applyBorder="1" applyAlignment="1">
      <alignment horizontal="right"/>
    </xf>
    <xf numFmtId="167" fontId="27" fillId="4" borderId="0" xfId="2" applyNumberFormat="1" applyFont="1" applyFill="1" applyBorder="1" applyAlignment="1"/>
    <xf numFmtId="41" fontId="16" fillId="0" borderId="0" xfId="0" applyNumberFormat="1" applyFont="1" applyAlignment="1">
      <alignment vertical="center" wrapText="1"/>
    </xf>
    <xf numFmtId="41" fontId="7" fillId="0" borderId="0" xfId="0" applyNumberFormat="1" applyFont="1"/>
    <xf numFmtId="0" fontId="6" fillId="0" borderId="6" xfId="0" applyFont="1" applyBorder="1"/>
    <xf numFmtId="41" fontId="6" fillId="0" borderId="6" xfId="0" applyNumberFormat="1" applyFont="1" applyBorder="1"/>
    <xf numFmtId="0" fontId="23" fillId="6" borderId="0" xfId="0" applyFont="1" applyFill="1" applyAlignment="1">
      <alignment horizontal="center"/>
    </xf>
    <xf numFmtId="171" fontId="10" fillId="0" borderId="0" xfId="0" applyNumberFormat="1" applyFont="1" applyAlignment="1">
      <alignment horizontal="center"/>
    </xf>
    <xf numFmtId="41" fontId="6" fillId="0" borderId="0" xfId="0" applyNumberFormat="1" applyFont="1"/>
    <xf numFmtId="171" fontId="10" fillId="6" borderId="8" xfId="0" applyNumberFormat="1" applyFont="1" applyFill="1" applyBorder="1" applyAlignment="1">
      <alignment horizontal="center"/>
    </xf>
    <xf numFmtId="9" fontId="0" fillId="0" borderId="0" xfId="1" applyFont="1"/>
    <xf numFmtId="0" fontId="27" fillId="0" borderId="0" xfId="0" applyFont="1"/>
    <xf numFmtId="0" fontId="28" fillId="0" borderId="0" xfId="0" applyFont="1"/>
    <xf numFmtId="167" fontId="29" fillId="0" borderId="0" xfId="0" applyNumberFormat="1" applyFont="1"/>
    <xf numFmtId="0" fontId="29" fillId="0" borderId="0" xfId="0" applyFont="1"/>
    <xf numFmtId="0" fontId="27" fillId="0" borderId="0" xfId="0" applyFont="1" applyAlignment="1">
      <alignment horizontal="left" indent="1"/>
    </xf>
    <xf numFmtId="0" fontId="30" fillId="0" borderId="0" xfId="0" applyFont="1"/>
    <xf numFmtId="0" fontId="27" fillId="0" borderId="0" xfId="0" applyFont="1" applyAlignment="1">
      <alignment horizontal="left" indent="2"/>
    </xf>
    <xf numFmtId="0" fontId="29" fillId="0" borderId="0" xfId="0" applyFont="1" applyAlignment="1">
      <alignment horizontal="left" indent="3"/>
    </xf>
    <xf numFmtId="0" fontId="28" fillId="0" borderId="0" xfId="0" applyFont="1" applyAlignment="1">
      <alignment horizontal="left" indent="1"/>
    </xf>
    <xf numFmtId="167" fontId="9" fillId="0" borderId="0" xfId="0" applyNumberFormat="1" applyFont="1"/>
    <xf numFmtId="0" fontId="15" fillId="0" borderId="0" xfId="4" applyFont="1"/>
    <xf numFmtId="0" fontId="6" fillId="8" borderId="2" xfId="0" applyFont="1" applyFill="1" applyBorder="1"/>
    <xf numFmtId="0" fontId="7" fillId="8" borderId="2" xfId="0" applyFont="1" applyFill="1" applyBorder="1"/>
    <xf numFmtId="0" fontId="27" fillId="0" borderId="0" xfId="4" applyFont="1"/>
    <xf numFmtId="0" fontId="36" fillId="0" borderId="0" xfId="0" applyFont="1"/>
    <xf numFmtId="0" fontId="37" fillId="0" borderId="0" xfId="4" applyFont="1"/>
    <xf numFmtId="178" fontId="38" fillId="0" borderId="0" xfId="4" applyNumberFormat="1" applyFont="1"/>
    <xf numFmtId="178" fontId="28" fillId="0" borderId="0" xfId="4" applyNumberFormat="1" applyFont="1"/>
    <xf numFmtId="0" fontId="28" fillId="8" borderId="2" xfId="4" applyFont="1" applyFill="1" applyBorder="1" applyAlignment="1">
      <alignment horizontal="left"/>
    </xf>
    <xf numFmtId="179" fontId="28" fillId="8" borderId="2" xfId="0" applyNumberFormat="1" applyFont="1" applyFill="1" applyBorder="1"/>
    <xf numFmtId="0" fontId="15" fillId="0" borderId="0" xfId="4" applyFont="1" applyAlignment="1">
      <alignment horizontal="left" indent="1"/>
    </xf>
    <xf numFmtId="180" fontId="35" fillId="0" borderId="0" xfId="0" applyNumberFormat="1" applyFont="1"/>
    <xf numFmtId="0" fontId="15" fillId="0" borderId="0" xfId="0" applyFont="1" applyAlignment="1">
      <alignment horizontal="left" indent="1"/>
    </xf>
    <xf numFmtId="175" fontId="37" fillId="0" borderId="0" xfId="0" applyNumberFormat="1" applyFont="1" applyAlignment="1">
      <alignment horizontal="center"/>
    </xf>
    <xf numFmtId="181" fontId="16" fillId="0" borderId="0" xfId="0" applyNumberFormat="1" applyFont="1" applyAlignment="1">
      <alignment horizontal="center"/>
    </xf>
    <xf numFmtId="182" fontId="15" fillId="0" borderId="0" xfId="0" applyNumberFormat="1" applyFont="1"/>
    <xf numFmtId="179" fontId="15" fillId="0" borderId="0" xfId="0" applyNumberFormat="1" applyFont="1"/>
    <xf numFmtId="173" fontId="15" fillId="0" borderId="0" xfId="4" applyNumberFormat="1" applyFont="1" applyAlignment="1">
      <alignment horizontal="center"/>
    </xf>
    <xf numFmtId="183" fontId="15" fillId="0" borderId="0" xfId="4" applyNumberFormat="1" applyFont="1" applyAlignment="1">
      <alignment horizontal="center"/>
    </xf>
    <xf numFmtId="180" fontId="15" fillId="0" borderId="0" xfId="0" applyNumberFormat="1" applyFont="1"/>
    <xf numFmtId="0" fontId="15" fillId="0" borderId="2" xfId="4" applyFont="1" applyBorder="1" applyAlignment="1">
      <alignment horizontal="left" indent="1"/>
    </xf>
    <xf numFmtId="0" fontId="37" fillId="0" borderId="2" xfId="4" applyFont="1" applyBorder="1"/>
    <xf numFmtId="180" fontId="15" fillId="0" borderId="2" xfId="0" applyNumberFormat="1" applyFont="1" applyBorder="1"/>
    <xf numFmtId="0" fontId="27" fillId="0" borderId="2" xfId="4" applyFont="1" applyBorder="1"/>
    <xf numFmtId="180" fontId="35" fillId="0" borderId="2" xfId="0" applyNumberFormat="1" applyFont="1" applyBorder="1"/>
    <xf numFmtId="0" fontId="28" fillId="8" borderId="0" xfId="4" applyFont="1" applyFill="1"/>
    <xf numFmtId="0" fontId="37" fillId="8" borderId="0" xfId="4" applyFont="1" applyFill="1"/>
    <xf numFmtId="41" fontId="39" fillId="8" borderId="0" xfId="0" applyNumberFormat="1" applyFont="1" applyFill="1"/>
    <xf numFmtId="0" fontId="27" fillId="8" borderId="0" xfId="4" applyFont="1" applyFill="1"/>
    <xf numFmtId="0" fontId="28" fillId="8" borderId="6" xfId="4" applyFont="1" applyFill="1" applyBorder="1" applyAlignment="1">
      <alignment horizontal="left"/>
    </xf>
    <xf numFmtId="42" fontId="28" fillId="8" borderId="0" xfId="4" applyNumberFormat="1" applyFont="1" applyFill="1"/>
    <xf numFmtId="0" fontId="20" fillId="0" borderId="0" xfId="4" applyFont="1"/>
    <xf numFmtId="167" fontId="20" fillId="0" borderId="0" xfId="4" applyNumberFormat="1" applyFont="1"/>
    <xf numFmtId="0" fontId="29" fillId="0" borderId="0" xfId="4" applyFont="1"/>
    <xf numFmtId="167" fontId="29" fillId="0" borderId="0" xfId="4" applyNumberFormat="1" applyFont="1"/>
    <xf numFmtId="41" fontId="15" fillId="0" borderId="0" xfId="0" applyNumberFormat="1" applyFont="1"/>
    <xf numFmtId="0" fontId="27" fillId="0" borderId="0" xfId="4" applyFont="1" applyAlignment="1">
      <alignment horizontal="left" indent="1"/>
    </xf>
    <xf numFmtId="180" fontId="27" fillId="0" borderId="0" xfId="0" applyNumberFormat="1" applyFont="1"/>
    <xf numFmtId="0" fontId="37" fillId="0" borderId="0" xfId="0" applyFont="1"/>
    <xf numFmtId="173" fontId="16" fillId="0" borderId="0" xfId="2" applyNumberFormat="1" applyFont="1" applyFill="1" applyBorder="1" applyAlignment="1">
      <alignment horizontal="center"/>
    </xf>
    <xf numFmtId="180" fontId="27" fillId="0" borderId="2" xfId="0" applyNumberFormat="1" applyFont="1" applyBorder="1"/>
    <xf numFmtId="0" fontId="37" fillId="8" borderId="6" xfId="4" applyFont="1" applyFill="1" applyBorder="1"/>
    <xf numFmtId="180" fontId="39" fillId="8" borderId="0" xfId="4" applyNumberFormat="1" applyFont="1" applyFill="1"/>
    <xf numFmtId="0" fontId="27" fillId="8" borderId="6" xfId="4" applyFont="1" applyFill="1" applyBorder="1"/>
    <xf numFmtId="180" fontId="28" fillId="8" borderId="0" xfId="4" applyNumberFormat="1" applyFont="1" applyFill="1"/>
    <xf numFmtId="184" fontId="35" fillId="0" borderId="0" xfId="0" applyNumberFormat="1" applyFont="1"/>
    <xf numFmtId="184" fontId="27" fillId="0" borderId="0" xfId="0" applyNumberFormat="1" applyFont="1"/>
    <xf numFmtId="44" fontId="37" fillId="0" borderId="0" xfId="4" applyNumberFormat="1" applyFont="1"/>
    <xf numFmtId="0" fontId="28" fillId="9" borderId="9" xfId="4" applyFont="1" applyFill="1" applyBorder="1"/>
    <xf numFmtId="0" fontId="37" fillId="9" borderId="6" xfId="4" applyFont="1" applyFill="1" applyBorder="1"/>
    <xf numFmtId="44" fontId="39" fillId="9" borderId="10" xfId="4" applyNumberFormat="1" applyFont="1" applyFill="1" applyBorder="1"/>
    <xf numFmtId="0" fontId="27" fillId="9" borderId="6" xfId="4" applyFont="1" applyFill="1" applyBorder="1"/>
    <xf numFmtId="44" fontId="28" fillId="9" borderId="10" xfId="4" applyNumberFormat="1" applyFont="1" applyFill="1" applyBorder="1"/>
    <xf numFmtId="0" fontId="28" fillId="9" borderId="11" xfId="4" applyFont="1" applyFill="1" applyBorder="1"/>
    <xf numFmtId="0" fontId="37" fillId="9" borderId="2" xfId="4" applyFont="1" applyFill="1" applyBorder="1"/>
    <xf numFmtId="167" fontId="39" fillId="9" borderId="12" xfId="4" applyNumberFormat="1" applyFont="1" applyFill="1" applyBorder="1"/>
    <xf numFmtId="0" fontId="27" fillId="9" borderId="2" xfId="4" applyFont="1" applyFill="1" applyBorder="1"/>
    <xf numFmtId="167" fontId="28" fillId="9" borderId="12" xfId="4" applyNumberFormat="1" applyFont="1" applyFill="1" applyBorder="1"/>
    <xf numFmtId="0" fontId="7" fillId="0" borderId="13" xfId="0" applyFont="1" applyBorder="1"/>
    <xf numFmtId="0" fontId="10" fillId="0" borderId="0" xfId="0" applyFont="1"/>
    <xf numFmtId="0" fontId="23" fillId="0" borderId="0" xfId="0" applyFont="1" applyAlignment="1">
      <alignment horizontal="center"/>
    </xf>
    <xf numFmtId="169" fontId="10" fillId="0" borderId="0" xfId="0" applyNumberFormat="1" applyFont="1" applyAlignment="1">
      <alignment horizontal="center"/>
    </xf>
    <xf numFmtId="0" fontId="39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166" fontId="15" fillId="0" borderId="0" xfId="0" applyNumberFormat="1" applyFont="1"/>
    <xf numFmtId="0" fontId="7" fillId="0" borderId="0" xfId="0" applyFont="1" applyAlignment="1">
      <alignment horizontal="left"/>
    </xf>
    <xf numFmtId="42" fontId="16" fillId="0" borderId="0" xfId="0" applyNumberFormat="1" applyFont="1"/>
    <xf numFmtId="174" fontId="7" fillId="0" borderId="0" xfId="0" applyNumberFormat="1" applyFont="1"/>
    <xf numFmtId="178" fontId="3" fillId="0" borderId="0" xfId="0" applyNumberFormat="1" applyFont="1"/>
    <xf numFmtId="0" fontId="42" fillId="0" borderId="0" xfId="0" applyFont="1"/>
    <xf numFmtId="0" fontId="43" fillId="0" borderId="0" xfId="0" applyFont="1"/>
    <xf numFmtId="0" fontId="29" fillId="0" borderId="0" xfId="4" applyFont="1" applyAlignment="1">
      <alignment horizontal="left" indent="1"/>
    </xf>
    <xf numFmtId="0" fontId="29" fillId="0" borderId="0" xfId="4" applyFont="1" applyAlignment="1">
      <alignment horizontal="center"/>
    </xf>
    <xf numFmtId="0" fontId="6" fillId="0" borderId="0" xfId="0" applyFont="1"/>
    <xf numFmtId="185" fontId="7" fillId="0" borderId="0" xfId="0" applyNumberFormat="1" applyFont="1"/>
    <xf numFmtId="43" fontId="7" fillId="0" borderId="0" xfId="0" applyNumberFormat="1" applyFont="1"/>
    <xf numFmtId="0" fontId="28" fillId="0" borderId="0" xfId="0" applyFont="1" applyAlignment="1">
      <alignment horizontal="left" indent="2"/>
    </xf>
    <xf numFmtId="0" fontId="27" fillId="4" borderId="0" xfId="0" applyFont="1" applyFill="1"/>
    <xf numFmtId="167" fontId="31" fillId="0" borderId="0" xfId="0" applyNumberFormat="1" applyFont="1" applyAlignment="1">
      <alignment horizontal="center"/>
    </xf>
    <xf numFmtId="167" fontId="29" fillId="0" borderId="0" xfId="0" applyNumberFormat="1" applyFont="1" applyAlignment="1">
      <alignment horizontal="center"/>
    </xf>
    <xf numFmtId="42" fontId="28" fillId="0" borderId="0" xfId="0" applyNumberFormat="1" applyFont="1"/>
    <xf numFmtId="9" fontId="27" fillId="0" borderId="0" xfId="1" applyFont="1"/>
    <xf numFmtId="187" fontId="27" fillId="0" borderId="0" xfId="0" applyNumberFormat="1" applyFont="1"/>
    <xf numFmtId="0" fontId="27" fillId="0" borderId="0" xfId="0" applyFont="1" applyAlignment="1">
      <alignment horizontal="left"/>
    </xf>
    <xf numFmtId="9" fontId="29" fillId="0" borderId="0" xfId="1" applyFont="1"/>
    <xf numFmtId="0" fontId="10" fillId="3" borderId="3" xfId="0" applyFont="1" applyFill="1" applyBorder="1" applyAlignment="1">
      <alignment horizontal="center" wrapText="1"/>
    </xf>
    <xf numFmtId="0" fontId="10" fillId="3" borderId="3" xfId="0" applyFont="1" applyFill="1" applyBorder="1" applyAlignment="1">
      <alignment horizontal="center"/>
    </xf>
    <xf numFmtId="0" fontId="6" fillId="4" borderId="0" xfId="0" applyFont="1" applyFill="1"/>
    <xf numFmtId="0" fontId="7" fillId="4" borderId="0" xfId="0" applyFont="1" applyFill="1"/>
    <xf numFmtId="187" fontId="7" fillId="0" borderId="0" xfId="0" applyNumberFormat="1" applyFont="1"/>
    <xf numFmtId="42" fontId="7" fillId="0" borderId="0" xfId="0" applyNumberFormat="1" applyFont="1"/>
    <xf numFmtId="4" fontId="44" fillId="0" borderId="0" xfId="0" applyNumberFormat="1" applyFont="1" applyAlignment="1">
      <alignment vertical="center"/>
    </xf>
    <xf numFmtId="0" fontId="10" fillId="5" borderId="0" xfId="0" applyFont="1" applyFill="1"/>
    <xf numFmtId="0" fontId="7" fillId="5" borderId="0" xfId="0" applyFont="1" applyFill="1"/>
    <xf numFmtId="0" fontId="10" fillId="5" borderId="0" xfId="0" applyFont="1" applyFill="1" applyAlignment="1">
      <alignment vertical="center" wrapText="1"/>
    </xf>
    <xf numFmtId="41" fontId="7" fillId="4" borderId="0" xfId="0" applyNumberFormat="1" applyFont="1" applyFill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9" fontId="7" fillId="0" borderId="0" xfId="1" applyFont="1"/>
    <xf numFmtId="41" fontId="7" fillId="0" borderId="2" xfId="0" applyNumberFormat="1" applyFont="1" applyBorder="1"/>
    <xf numFmtId="0" fontId="7" fillId="0" borderId="2" xfId="0" applyFont="1" applyBorder="1"/>
    <xf numFmtId="0" fontId="10" fillId="0" borderId="0" xfId="0" applyFont="1" applyAlignment="1">
      <alignment horizontal="centerContinuous"/>
    </xf>
    <xf numFmtId="41" fontId="7" fillId="0" borderId="0" xfId="1" applyNumberFormat="1" applyFont="1"/>
    <xf numFmtId="9" fontId="27" fillId="0" borderId="0" xfId="0" applyNumberFormat="1" applyFont="1"/>
    <xf numFmtId="9" fontId="7" fillId="0" borderId="0" xfId="0" applyNumberFormat="1" applyFont="1"/>
    <xf numFmtId="0" fontId="6" fillId="0" borderId="0" xfId="0" applyFont="1" applyAlignment="1">
      <alignment horizontal="left" vertical="center" indent="1"/>
    </xf>
    <xf numFmtId="0" fontId="6" fillId="0" borderId="2" xfId="0" applyFont="1" applyBorder="1" applyAlignment="1">
      <alignment horizontal="left" vertical="center" indent="1"/>
    </xf>
    <xf numFmtId="167" fontId="29" fillId="5" borderId="0" xfId="0" applyNumberFormat="1" applyFont="1" applyFill="1" applyAlignment="1">
      <alignment horizontal="center"/>
    </xf>
    <xf numFmtId="167" fontId="29" fillId="5" borderId="0" xfId="0" applyNumberFormat="1" applyFont="1" applyFill="1"/>
    <xf numFmtId="0" fontId="29" fillId="5" borderId="0" xfId="0" applyFont="1" applyFill="1"/>
    <xf numFmtId="0" fontId="27" fillId="5" borderId="0" xfId="0" applyFont="1" applyFill="1"/>
    <xf numFmtId="0" fontId="10" fillId="5" borderId="0" xfId="0" applyFont="1" applyFill="1" applyAlignment="1">
      <alignment horizontal="left" indent="1"/>
    </xf>
    <xf numFmtId="0" fontId="10" fillId="0" borderId="0" xfId="0" applyFont="1" applyAlignment="1">
      <alignment horizontal="left" indent="1"/>
    </xf>
    <xf numFmtId="9" fontId="27" fillId="5" borderId="0" xfId="1" applyFont="1" applyFill="1"/>
    <xf numFmtId="9" fontId="27" fillId="5" borderId="0" xfId="0" applyNumberFormat="1" applyFont="1" applyFill="1"/>
    <xf numFmtId="9" fontId="7" fillId="5" borderId="0" xfId="0" applyNumberFormat="1" applyFont="1" applyFill="1"/>
    <xf numFmtId="41" fontId="7" fillId="4" borderId="0" xfId="0" applyNumberFormat="1" applyFont="1" applyFill="1" applyAlignment="1">
      <alignment vertical="center" wrapText="1"/>
    </xf>
    <xf numFmtId="9" fontId="27" fillId="4" borderId="0" xfId="0" applyNumberFormat="1" applyFont="1" applyFill="1"/>
    <xf numFmtId="9" fontId="7" fillId="4" borderId="0" xfId="0" applyNumberFormat="1" applyFont="1" applyFill="1"/>
    <xf numFmtId="42" fontId="7" fillId="0" borderId="0" xfId="0" applyNumberFormat="1" applyFont="1" applyAlignment="1">
      <alignment horizontal="left" indent="1"/>
    </xf>
    <xf numFmtId="41" fontId="7" fillId="0" borderId="0" xfId="0" applyNumberFormat="1" applyFont="1" applyAlignment="1">
      <alignment horizontal="right"/>
    </xf>
    <xf numFmtId="187" fontId="27" fillId="4" borderId="0" xfId="0" applyNumberFormat="1" applyFont="1" applyFill="1"/>
    <xf numFmtId="41" fontId="7" fillId="4" borderId="2" xfId="0" applyNumberFormat="1" applyFont="1" applyFill="1" applyBorder="1" applyAlignment="1">
      <alignment vertical="center" wrapText="1"/>
    </xf>
    <xf numFmtId="9" fontId="27" fillId="4" borderId="0" xfId="1" applyFont="1" applyFill="1"/>
    <xf numFmtId="41" fontId="7" fillId="4" borderId="2" xfId="0" applyNumberFormat="1" applyFont="1" applyFill="1" applyBorder="1" applyAlignment="1">
      <alignment vertical="center"/>
    </xf>
    <xf numFmtId="0" fontId="6" fillId="0" borderId="0" xfId="4" applyFont="1"/>
    <xf numFmtId="0" fontId="28" fillId="0" borderId="0" xfId="4" applyFont="1"/>
    <xf numFmtId="0" fontId="15" fillId="0" borderId="0" xfId="5" applyFont="1"/>
    <xf numFmtId="0" fontId="18" fillId="0" borderId="0" xfId="0" applyFont="1"/>
    <xf numFmtId="1" fontId="15" fillId="0" borderId="0" xfId="5" applyNumberFormat="1" applyFont="1"/>
    <xf numFmtId="0" fontId="7" fillId="0" borderId="0" xfId="6" applyFont="1" applyAlignment="1">
      <alignment horizontal="left" indent="1"/>
    </xf>
    <xf numFmtId="0" fontId="7" fillId="0" borderId="0" xfId="6" applyFont="1"/>
    <xf numFmtId="0" fontId="15" fillId="0" borderId="0" xfId="6" applyFont="1"/>
    <xf numFmtId="0" fontId="15" fillId="0" borderId="0" xfId="6" applyFont="1" applyAlignment="1">
      <alignment horizontal="left"/>
    </xf>
    <xf numFmtId="0" fontId="39" fillId="0" borderId="0" xfId="6" applyFont="1" applyAlignment="1">
      <alignment horizontal="left"/>
    </xf>
    <xf numFmtId="0" fontId="32" fillId="6" borderId="0" xfId="6" applyFont="1" applyFill="1" applyAlignment="1">
      <alignment horizontal="left"/>
    </xf>
    <xf numFmtId="0" fontId="32" fillId="6" borderId="0" xfId="4" applyFont="1" applyFill="1"/>
    <xf numFmtId="0" fontId="33" fillId="6" borderId="0" xfId="4" applyFont="1" applyFill="1" applyAlignment="1">
      <alignment horizontal="centerContinuous"/>
    </xf>
    <xf numFmtId="0" fontId="45" fillId="6" borderId="0" xfId="4" applyFont="1" applyFill="1" applyAlignment="1">
      <alignment horizontal="centerContinuous"/>
    </xf>
    <xf numFmtId="0" fontId="46" fillId="6" borderId="0" xfId="4" applyFont="1" applyFill="1"/>
    <xf numFmtId="0" fontId="32" fillId="6" borderId="0" xfId="4" applyFont="1" applyFill="1" applyAlignment="1">
      <alignment horizontal="center"/>
    </xf>
    <xf numFmtId="0" fontId="46" fillId="6" borderId="0" xfId="4" applyFont="1" applyFill="1" applyAlignment="1">
      <alignment horizontal="centerContinuous"/>
    </xf>
    <xf numFmtId="0" fontId="32" fillId="6" borderId="2" xfId="4" applyFont="1" applyFill="1" applyBorder="1"/>
    <xf numFmtId="0" fontId="32" fillId="6" borderId="2" xfId="4" applyFont="1" applyFill="1" applyBorder="1" applyAlignment="1">
      <alignment horizontal="center"/>
    </xf>
    <xf numFmtId="14" fontId="32" fillId="6" borderId="2" xfId="4" applyNumberFormat="1" applyFont="1" applyFill="1" applyBorder="1" applyAlignment="1">
      <alignment horizontal="center"/>
    </xf>
    <xf numFmtId="169" fontId="10" fillId="6" borderId="2" xfId="0" applyNumberFormat="1" applyFont="1" applyFill="1" applyBorder="1" applyAlignment="1">
      <alignment horizontal="center"/>
    </xf>
    <xf numFmtId="0" fontId="27" fillId="0" borderId="9" xfId="4" applyFont="1" applyBorder="1"/>
    <xf numFmtId="0" fontId="27" fillId="0" borderId="6" xfId="4" applyFont="1" applyBorder="1"/>
    <xf numFmtId="44" fontId="27" fillId="0" borderId="6" xfId="4" applyNumberFormat="1" applyFont="1" applyBorder="1"/>
    <xf numFmtId="191" fontId="27" fillId="0" borderId="6" xfId="4" applyNumberFormat="1" applyFont="1" applyBorder="1"/>
    <xf numFmtId="0" fontId="27" fillId="0" borderId="16" xfId="4" applyFont="1" applyBorder="1"/>
    <xf numFmtId="43" fontId="27" fillId="0" borderId="0" xfId="4" applyNumberFormat="1" applyFont="1"/>
    <xf numFmtId="186" fontId="27" fillId="0" borderId="0" xfId="4" applyNumberFormat="1" applyFont="1"/>
    <xf numFmtId="0" fontId="28" fillId="10" borderId="18" xfId="4" applyFont="1" applyFill="1" applyBorder="1"/>
    <xf numFmtId="0" fontId="28" fillId="10" borderId="14" xfId="4" applyFont="1" applyFill="1" applyBorder="1"/>
    <xf numFmtId="0" fontId="27" fillId="0" borderId="11" xfId="4" applyFont="1" applyBorder="1"/>
    <xf numFmtId="0" fontId="28" fillId="0" borderId="2" xfId="4" applyFont="1" applyBorder="1"/>
    <xf numFmtId="43" fontId="27" fillId="0" borderId="2" xfId="4" applyNumberFormat="1" applyFont="1" applyBorder="1"/>
    <xf numFmtId="186" fontId="27" fillId="0" borderId="2" xfId="4" applyNumberFormat="1" applyFont="1" applyBorder="1"/>
    <xf numFmtId="0" fontId="10" fillId="5" borderId="14" xfId="4" applyFont="1" applyFill="1" applyBorder="1"/>
    <xf numFmtId="192" fontId="10" fillId="5" borderId="14" xfId="5" applyNumberFormat="1" applyFont="1" applyFill="1" applyBorder="1"/>
    <xf numFmtId="42" fontId="10" fillId="5" borderId="14" xfId="5" applyNumberFormat="1" applyFont="1" applyFill="1" applyBorder="1"/>
    <xf numFmtId="0" fontId="10" fillId="0" borderId="0" xfId="4" applyFont="1"/>
    <xf numFmtId="43" fontId="10" fillId="0" borderId="0" xfId="4" applyNumberFormat="1" applyFont="1" applyAlignment="1">
      <alignment horizontal="center"/>
    </xf>
    <xf numFmtId="190" fontId="10" fillId="0" borderId="0" xfId="4" applyNumberFormat="1" applyFont="1" applyAlignment="1">
      <alignment horizontal="center"/>
    </xf>
    <xf numFmtId="0" fontId="27" fillId="0" borderId="0" xfId="4" applyFont="1" applyAlignment="1">
      <alignment horizontal="center"/>
    </xf>
    <xf numFmtId="43" fontId="27" fillId="0" borderId="0" xfId="4" applyNumberFormat="1" applyFont="1" applyAlignment="1">
      <alignment horizontal="center"/>
    </xf>
    <xf numFmtId="14" fontId="32" fillId="6" borderId="0" xfId="4" applyNumberFormat="1" applyFont="1" applyFill="1" applyAlignment="1">
      <alignment horizontal="center"/>
    </xf>
    <xf numFmtId="169" fontId="10" fillId="6" borderId="0" xfId="0" applyNumberFormat="1" applyFont="1" applyFill="1" applyAlignment="1">
      <alignment horizontal="center"/>
    </xf>
    <xf numFmtId="0" fontId="28" fillId="0" borderId="0" xfId="4" applyFont="1" applyAlignment="1">
      <alignment horizontal="center"/>
    </xf>
    <xf numFmtId="183" fontId="27" fillId="0" borderId="0" xfId="4" applyNumberFormat="1" applyFont="1"/>
    <xf numFmtId="0" fontId="28" fillId="5" borderId="18" xfId="4" applyFont="1" applyFill="1" applyBorder="1"/>
    <xf numFmtId="0" fontId="28" fillId="5" borderId="14" xfId="4" applyFont="1" applyFill="1" applyBorder="1"/>
    <xf numFmtId="44" fontId="28" fillId="5" borderId="14" xfId="4" applyNumberFormat="1" applyFont="1" applyFill="1" applyBorder="1"/>
    <xf numFmtId="164" fontId="28" fillId="5" borderId="14" xfId="4" applyNumberFormat="1" applyFont="1" applyFill="1" applyBorder="1"/>
    <xf numFmtId="191" fontId="28" fillId="5" borderId="14" xfId="4" applyNumberFormat="1" applyFont="1" applyFill="1" applyBorder="1"/>
    <xf numFmtId="193" fontId="10" fillId="5" borderId="18" xfId="5" applyNumberFormat="1" applyFont="1" applyFill="1" applyBorder="1"/>
    <xf numFmtId="44" fontId="10" fillId="5" borderId="14" xfId="4" applyNumberFormat="1" applyFont="1" applyFill="1" applyBorder="1"/>
    <xf numFmtId="0" fontId="37" fillId="0" borderId="0" xfId="6" applyFont="1" applyAlignment="1">
      <alignment horizontal="center"/>
    </xf>
    <xf numFmtId="0" fontId="37" fillId="0" borderId="0" xfId="6" applyFont="1"/>
    <xf numFmtId="0" fontId="33" fillId="6" borderId="0" xfId="6" applyFont="1" applyFill="1" applyAlignment="1">
      <alignment horizontal="left"/>
    </xf>
    <xf numFmtId="0" fontId="45" fillId="6" borderId="0" xfId="6" applyFont="1" applyFill="1" applyAlignment="1">
      <alignment horizontal="left"/>
    </xf>
    <xf numFmtId="0" fontId="32" fillId="6" borderId="0" xfId="6" applyFont="1" applyFill="1" applyAlignment="1">
      <alignment horizontal="right"/>
    </xf>
    <xf numFmtId="0" fontId="32" fillId="0" borderId="0" xfId="6" applyFont="1" applyAlignment="1">
      <alignment horizontal="right"/>
    </xf>
    <xf numFmtId="0" fontId="47" fillId="6" borderId="0" xfId="4" applyFont="1" applyFill="1" applyAlignment="1">
      <alignment horizontal="right"/>
    </xf>
    <xf numFmtId="0" fontId="47" fillId="0" borderId="0" xfId="4" applyFont="1" applyAlignment="1">
      <alignment horizontal="right"/>
    </xf>
    <xf numFmtId="0" fontId="28" fillId="5" borderId="0" xfId="6" applyFont="1" applyFill="1" applyAlignment="1">
      <alignment horizontal="centerContinuous"/>
    </xf>
    <xf numFmtId="0" fontId="7" fillId="5" borderId="0" xfId="6" applyFont="1" applyFill="1" applyAlignment="1">
      <alignment horizontal="centerContinuous"/>
    </xf>
    <xf numFmtId="0" fontId="7" fillId="0" borderId="0" xfId="6" applyFont="1" applyAlignment="1">
      <alignment horizontal="centerContinuous"/>
    </xf>
    <xf numFmtId="14" fontId="27" fillId="5" borderId="0" xfId="0" applyNumberFormat="1" applyFont="1" applyFill="1" applyAlignment="1">
      <alignment horizontal="center"/>
    </xf>
    <xf numFmtId="14" fontId="27" fillId="0" borderId="0" xfId="0" applyNumberFormat="1" applyFont="1" applyAlignment="1">
      <alignment horizontal="center"/>
    </xf>
    <xf numFmtId="180" fontId="16" fillId="0" borderId="0" xfId="6" applyNumberFormat="1" applyFont="1"/>
    <xf numFmtId="179" fontId="15" fillId="0" borderId="0" xfId="6" applyNumberFormat="1" applyFont="1"/>
    <xf numFmtId="0" fontId="37" fillId="0" borderId="0" xfId="6" applyFont="1" applyAlignment="1">
      <alignment horizontal="left" indent="1"/>
    </xf>
    <xf numFmtId="180" fontId="15" fillId="0" borderId="0" xfId="6" applyNumberFormat="1" applyFont="1"/>
    <xf numFmtId="41" fontId="15" fillId="0" borderId="0" xfId="6" applyNumberFormat="1" applyFont="1"/>
    <xf numFmtId="0" fontId="15" fillId="0" borderId="0" xfId="6" applyFont="1" applyAlignment="1">
      <alignment horizontal="left" indent="1"/>
    </xf>
    <xf numFmtId="0" fontId="39" fillId="0" borderId="6" xfId="6" applyFont="1" applyBorder="1" applyAlignment="1">
      <alignment horizontal="left"/>
    </xf>
    <xf numFmtId="0" fontId="37" fillId="0" borderId="6" xfId="6" applyFont="1" applyBorder="1" applyAlignment="1">
      <alignment horizontal="left" indent="1"/>
    </xf>
    <xf numFmtId="179" fontId="39" fillId="0" borderId="0" xfId="6" applyNumberFormat="1" applyFont="1"/>
    <xf numFmtId="0" fontId="37" fillId="0" borderId="0" xfId="6" applyFont="1" applyAlignment="1">
      <alignment horizontal="left"/>
    </xf>
    <xf numFmtId="164" fontId="37" fillId="0" borderId="0" xfId="6" applyNumberFormat="1" applyFont="1"/>
    <xf numFmtId="9" fontId="37" fillId="0" borderId="0" xfId="6" applyNumberFormat="1" applyFont="1"/>
    <xf numFmtId="166" fontId="15" fillId="0" borderId="0" xfId="6" applyNumberFormat="1" applyFont="1"/>
    <xf numFmtId="172" fontId="7" fillId="0" borderId="0" xfId="6" applyNumberFormat="1" applyFont="1"/>
    <xf numFmtId="6" fontId="37" fillId="0" borderId="0" xfId="6" applyNumberFormat="1" applyFont="1"/>
    <xf numFmtId="0" fontId="10" fillId="6" borderId="0" xfId="6" applyFont="1" applyFill="1" applyAlignment="1">
      <alignment horizontal="centerContinuous"/>
    </xf>
    <xf numFmtId="0" fontId="2" fillId="6" borderId="0" xfId="6" applyFont="1" applyFill="1" applyAlignment="1">
      <alignment horizontal="centerContinuous"/>
    </xf>
    <xf numFmtId="0" fontId="2" fillId="0" borderId="0" xfId="6" applyFont="1" applyAlignment="1">
      <alignment horizontal="centerContinuous"/>
    </xf>
    <xf numFmtId="0" fontId="38" fillId="0" borderId="0" xfId="6" applyFont="1" applyAlignment="1">
      <alignment horizontal="centerContinuous"/>
    </xf>
    <xf numFmtId="0" fontId="37" fillId="0" borderId="0" xfId="6" applyFont="1" applyAlignment="1">
      <alignment horizontal="centerContinuous"/>
    </xf>
    <xf numFmtId="179" fontId="16" fillId="0" borderId="0" xfId="6" applyNumberFormat="1" applyFont="1"/>
    <xf numFmtId="41" fontId="16" fillId="0" borderId="0" xfId="6" applyNumberFormat="1" applyFont="1"/>
    <xf numFmtId="164" fontId="7" fillId="0" borderId="0" xfId="6" applyNumberFormat="1" applyFont="1"/>
    <xf numFmtId="0" fontId="21" fillId="6" borderId="0" xfId="6" applyFont="1" applyFill="1" applyAlignment="1">
      <alignment horizontal="centerContinuous"/>
    </xf>
    <xf numFmtId="0" fontId="37" fillId="6" borderId="0" xfId="6" applyFont="1" applyFill="1" applyAlignment="1">
      <alignment horizontal="centerContinuous"/>
    </xf>
    <xf numFmtId="0" fontId="37" fillId="11" borderId="0" xfId="6" applyFont="1" applyFill="1" applyAlignment="1">
      <alignment horizontal="centerContinuous"/>
    </xf>
    <xf numFmtId="42" fontId="15" fillId="0" borderId="0" xfId="6" applyNumberFormat="1" applyFont="1"/>
    <xf numFmtId="0" fontId="7" fillId="0" borderId="0" xfId="6" applyFont="1" applyAlignment="1">
      <alignment horizontal="center"/>
    </xf>
    <xf numFmtId="9" fontId="7" fillId="0" borderId="0" xfId="1" applyFont="1" applyBorder="1"/>
    <xf numFmtId="0" fontId="21" fillId="0" borderId="0" xfId="6" applyFont="1" applyAlignment="1">
      <alignment horizontal="centerContinuous"/>
    </xf>
    <xf numFmtId="0" fontId="6" fillId="0" borderId="0" xfId="6" applyFont="1" applyAlignment="1">
      <alignment horizontal="centerContinuous"/>
    </xf>
    <xf numFmtId="44" fontId="16" fillId="0" borderId="0" xfId="6" applyNumberFormat="1" applyFont="1"/>
    <xf numFmtId="3" fontId="16" fillId="0" borderId="0" xfId="6" applyNumberFormat="1" applyFont="1" applyAlignment="1">
      <alignment horizontal="right"/>
    </xf>
    <xf numFmtId="4" fontId="16" fillId="0" borderId="0" xfId="6" applyNumberFormat="1" applyFont="1" applyAlignment="1">
      <alignment horizontal="right"/>
    </xf>
    <xf numFmtId="0" fontId="6" fillId="5" borderId="0" xfId="6" applyFont="1" applyFill="1" applyAlignment="1">
      <alignment horizontal="center"/>
    </xf>
    <xf numFmtId="0" fontId="6" fillId="0" borderId="0" xfId="6" applyFont="1" applyAlignment="1">
      <alignment horizontal="center"/>
    </xf>
    <xf numFmtId="194" fontId="16" fillId="0" borderId="0" xfId="6" applyNumberFormat="1" applyFont="1"/>
    <xf numFmtId="44" fontId="16" fillId="0" borderId="0" xfId="6" applyNumberFormat="1" applyFont="1" applyAlignment="1">
      <alignment horizontal="right"/>
    </xf>
    <xf numFmtId="194" fontId="7" fillId="0" borderId="0" xfId="6" applyNumberFormat="1" applyFont="1"/>
    <xf numFmtId="4" fontId="7" fillId="0" borderId="0" xfId="6" applyNumberFormat="1" applyFont="1"/>
    <xf numFmtId="0" fontId="10" fillId="6" borderId="0" xfId="6" applyFont="1" applyFill="1" applyAlignment="1">
      <alignment horizontal="center"/>
    </xf>
    <xf numFmtId="0" fontId="10" fillId="0" borderId="0" xfId="6" applyFont="1" applyAlignment="1">
      <alignment horizontal="center"/>
    </xf>
    <xf numFmtId="178" fontId="16" fillId="0" borderId="0" xfId="6" applyNumberFormat="1" applyFont="1"/>
    <xf numFmtId="42" fontId="16" fillId="0" borderId="0" xfId="6" applyNumberFormat="1" applyFont="1"/>
    <xf numFmtId="44" fontId="7" fillId="0" borderId="0" xfId="6" applyNumberFormat="1" applyFont="1"/>
    <xf numFmtId="4" fontId="6" fillId="0" borderId="0" xfId="6" applyNumberFormat="1" applyFont="1"/>
    <xf numFmtId="44" fontId="7" fillId="0" borderId="0" xfId="6" applyNumberFormat="1" applyFont="1" applyAlignment="1">
      <alignment horizontal="centerContinuous"/>
    </xf>
    <xf numFmtId="42" fontId="7" fillId="0" borderId="0" xfId="6" applyNumberFormat="1" applyFont="1"/>
    <xf numFmtId="41" fontId="7" fillId="0" borderId="0" xfId="6" applyNumberFormat="1" applyFont="1"/>
    <xf numFmtId="4" fontId="16" fillId="0" borderId="0" xfId="6" applyNumberFormat="1" applyFont="1"/>
    <xf numFmtId="165" fontId="27" fillId="5" borderId="0" xfId="0" applyNumberFormat="1" applyFont="1" applyFill="1" applyAlignment="1">
      <alignment horizontal="center"/>
    </xf>
    <xf numFmtId="165" fontId="27" fillId="0" borderId="0" xfId="0" applyNumberFormat="1" applyFont="1" applyAlignment="1">
      <alignment horizontal="center"/>
    </xf>
    <xf numFmtId="195" fontId="27" fillId="0" borderId="0" xfId="6" applyNumberFormat="1" applyFont="1"/>
    <xf numFmtId="0" fontId="7" fillId="11" borderId="0" xfId="6" applyFont="1" applyFill="1"/>
    <xf numFmtId="179" fontId="27" fillId="0" borderId="0" xfId="6" applyNumberFormat="1" applyFont="1"/>
    <xf numFmtId="180" fontId="27" fillId="0" borderId="0" xfId="6" applyNumberFormat="1" applyFont="1"/>
    <xf numFmtId="41" fontId="27" fillId="0" borderId="0" xfId="6" applyNumberFormat="1" applyFont="1"/>
    <xf numFmtId="166" fontId="27" fillId="0" borderId="0" xfId="6" applyNumberFormat="1" applyFont="1"/>
    <xf numFmtId="0" fontId="48" fillId="0" borderId="0" xfId="3" applyFont="1"/>
    <xf numFmtId="0" fontId="48" fillId="0" borderId="0" xfId="3" applyFont="1" applyAlignment="1">
      <alignment horizontal="right"/>
    </xf>
    <xf numFmtId="0" fontId="48" fillId="0" borderId="0" xfId="3" applyFont="1" applyFill="1" applyBorder="1" applyAlignment="1">
      <alignment horizontal="right"/>
    </xf>
    <xf numFmtId="0" fontId="49" fillId="0" borderId="0" xfId="5" applyFont="1"/>
    <xf numFmtId="0" fontId="28" fillId="0" borderId="0" xfId="5" applyFont="1"/>
    <xf numFmtId="0" fontId="27" fillId="0" borderId="0" xfId="5" applyFont="1"/>
    <xf numFmtId="44" fontId="27" fillId="0" borderId="0" xfId="5" applyNumberFormat="1" applyFont="1"/>
    <xf numFmtId="0" fontId="32" fillId="6" borderId="0" xfId="5" applyFont="1" applyFill="1"/>
    <xf numFmtId="0" fontId="32" fillId="6" borderId="0" xfId="5" applyFont="1" applyFill="1" applyAlignment="1">
      <alignment horizontal="center"/>
    </xf>
    <xf numFmtId="0" fontId="33" fillId="6" borderId="0" xfId="5" applyFont="1" applyFill="1" applyAlignment="1">
      <alignment horizontal="centerContinuous"/>
    </xf>
    <xf numFmtId="0" fontId="32" fillId="6" borderId="0" xfId="5" applyFont="1" applyFill="1" applyAlignment="1">
      <alignment horizontal="centerContinuous"/>
    </xf>
    <xf numFmtId="0" fontId="33" fillId="6" borderId="0" xfId="5" applyFont="1" applyFill="1"/>
    <xf numFmtId="0" fontId="46" fillId="6" borderId="0" xfId="5" applyFont="1" applyFill="1"/>
    <xf numFmtId="0" fontId="32" fillId="6" borderId="2" xfId="5" applyFont="1" applyFill="1" applyBorder="1" applyAlignment="1">
      <alignment horizontal="center"/>
    </xf>
    <xf numFmtId="0" fontId="27" fillId="0" borderId="0" xfId="5" applyFont="1" applyAlignment="1">
      <alignment horizontal="left"/>
    </xf>
    <xf numFmtId="0" fontId="27" fillId="0" borderId="0" xfId="5" applyFont="1" applyAlignment="1">
      <alignment horizontal="center"/>
    </xf>
    <xf numFmtId="14" fontId="15" fillId="0" borderId="0" xfId="7" applyNumberFormat="1" applyFont="1" applyAlignment="1">
      <alignment horizontal="left" vertical="top"/>
    </xf>
    <xf numFmtId="180" fontId="16" fillId="0" borderId="0" xfId="0" applyNumberFormat="1" applyFont="1" applyAlignment="1">
      <alignment vertical="top" wrapText="1"/>
    </xf>
    <xf numFmtId="179" fontId="16" fillId="0" borderId="0" xfId="0" applyNumberFormat="1" applyFont="1" applyAlignment="1">
      <alignment vertical="top" wrapText="1"/>
    </xf>
    <xf numFmtId="195" fontId="15" fillId="0" borderId="0" xfId="8" applyNumberFormat="1" applyFont="1" applyAlignment="1">
      <alignment vertical="top" wrapText="1"/>
    </xf>
    <xf numFmtId="44" fontId="16" fillId="0" borderId="0" xfId="8" applyNumberFormat="1" applyFont="1" applyAlignment="1">
      <alignment vertical="top" wrapText="1"/>
    </xf>
    <xf numFmtId="196" fontId="15" fillId="0" borderId="0" xfId="8" applyNumberFormat="1" applyFont="1" applyAlignment="1">
      <alignment vertical="top" wrapText="1"/>
    </xf>
    <xf numFmtId="0" fontId="15" fillId="0" borderId="0" xfId="7" applyFont="1" applyAlignment="1">
      <alignment horizontal="left" vertical="top"/>
    </xf>
    <xf numFmtId="0" fontId="15" fillId="0" borderId="0" xfId="7" applyFont="1" applyAlignment="1">
      <alignment horizontal="center" vertical="top"/>
    </xf>
    <xf numFmtId="168" fontId="16" fillId="0" borderId="0" xfId="0" applyNumberFormat="1" applyFont="1" applyAlignment="1">
      <alignment vertical="top" wrapText="1"/>
    </xf>
    <xf numFmtId="43" fontId="16" fillId="0" borderId="0" xfId="8" applyNumberFormat="1" applyFont="1" applyAlignment="1">
      <alignment vertical="top" wrapText="1"/>
    </xf>
    <xf numFmtId="0" fontId="51" fillId="0" borderId="0" xfId="5" applyFont="1"/>
    <xf numFmtId="197" fontId="51" fillId="0" borderId="0" xfId="5" applyNumberFormat="1" applyFont="1" applyAlignment="1">
      <alignment horizontal="right"/>
    </xf>
    <xf numFmtId="198" fontId="51" fillId="0" borderId="0" xfId="5" applyNumberFormat="1" applyFont="1"/>
    <xf numFmtId="195" fontId="51" fillId="0" borderId="0" xfId="5" applyNumberFormat="1" applyFont="1" applyAlignment="1">
      <alignment horizontal="right"/>
    </xf>
    <xf numFmtId="0" fontId="15" fillId="0" borderId="9" xfId="5" applyFont="1" applyBorder="1" applyAlignment="1">
      <alignment horizontal="left"/>
    </xf>
    <xf numFmtId="0" fontId="15" fillId="0" borderId="6" xfId="5" applyFont="1" applyBorder="1" applyAlignment="1">
      <alignment horizontal="left"/>
    </xf>
    <xf numFmtId="0" fontId="51" fillId="0" borderId="6" xfId="5" applyFont="1" applyBorder="1" applyAlignment="1">
      <alignment horizontal="right"/>
    </xf>
    <xf numFmtId="42" fontId="15" fillId="0" borderId="6" xfId="5" applyNumberFormat="1" applyFont="1" applyBorder="1"/>
    <xf numFmtId="195" fontId="15" fillId="0" borderId="6" xfId="5" applyNumberFormat="1" applyFont="1" applyBorder="1"/>
    <xf numFmtId="195" fontId="51" fillId="0" borderId="6" xfId="5" applyNumberFormat="1" applyFont="1" applyBorder="1"/>
    <xf numFmtId="196" fontId="15" fillId="0" borderId="6" xfId="5" applyNumberFormat="1" applyFont="1" applyBorder="1"/>
    <xf numFmtId="196" fontId="15" fillId="0" borderId="10" xfId="5" applyNumberFormat="1" applyFont="1" applyBorder="1"/>
    <xf numFmtId="0" fontId="15" fillId="0" borderId="16" xfId="5" applyFont="1" applyBorder="1" applyAlignment="1">
      <alignment horizontal="left"/>
    </xf>
    <xf numFmtId="0" fontId="15" fillId="0" borderId="0" xfId="5" applyFont="1" applyAlignment="1">
      <alignment horizontal="left"/>
    </xf>
    <xf numFmtId="0" fontId="51" fillId="0" borderId="0" xfId="5" applyFont="1" applyAlignment="1">
      <alignment horizontal="right"/>
    </xf>
    <xf numFmtId="180" fontId="15" fillId="0" borderId="0" xfId="5" applyNumberFormat="1" applyFont="1"/>
    <xf numFmtId="195" fontId="15" fillId="0" borderId="0" xfId="5" applyNumberFormat="1" applyFont="1"/>
    <xf numFmtId="195" fontId="51" fillId="0" borderId="0" xfId="5" applyNumberFormat="1" applyFont="1"/>
    <xf numFmtId="196" fontId="15" fillId="0" borderId="0" xfId="5" applyNumberFormat="1" applyFont="1"/>
    <xf numFmtId="196" fontId="15" fillId="0" borderId="17" xfId="5" applyNumberFormat="1" applyFont="1" applyBorder="1"/>
    <xf numFmtId="0" fontId="28" fillId="5" borderId="18" xfId="5" applyFont="1" applyFill="1" applyBorder="1" applyAlignment="1">
      <alignment horizontal="left"/>
    </xf>
    <xf numFmtId="0" fontId="28" fillId="5" borderId="14" xfId="5" applyFont="1" applyFill="1" applyBorder="1" applyAlignment="1">
      <alignment horizontal="left"/>
    </xf>
    <xf numFmtId="0" fontId="28" fillId="5" borderId="14" xfId="5" applyFont="1" applyFill="1" applyBorder="1" applyAlignment="1">
      <alignment horizontal="right"/>
    </xf>
    <xf numFmtId="180" fontId="28" fillId="5" borderId="14" xfId="5" applyNumberFormat="1" applyFont="1" applyFill="1" applyBorder="1"/>
    <xf numFmtId="195" fontId="28" fillId="5" borderId="14" xfId="5" applyNumberFormat="1" applyFont="1" applyFill="1" applyBorder="1"/>
    <xf numFmtId="196" fontId="28" fillId="5" borderId="14" xfId="5" applyNumberFormat="1" applyFont="1" applyFill="1" applyBorder="1"/>
    <xf numFmtId="196" fontId="28" fillId="5" borderId="15" xfId="5" applyNumberFormat="1" applyFont="1" applyFill="1" applyBorder="1"/>
    <xf numFmtId="0" fontId="15" fillId="0" borderId="11" xfId="5" applyFont="1" applyBorder="1" applyAlignment="1">
      <alignment horizontal="left"/>
    </xf>
    <xf numFmtId="0" fontId="15" fillId="0" borderId="2" xfId="5" applyFont="1" applyBorder="1" applyAlignment="1">
      <alignment horizontal="left"/>
    </xf>
    <xf numFmtId="0" fontId="51" fillId="0" borderId="2" xfId="5" applyFont="1" applyBorder="1" applyAlignment="1">
      <alignment horizontal="right"/>
    </xf>
    <xf numFmtId="180" fontId="15" fillId="0" borderId="2" xfId="5" applyNumberFormat="1" applyFont="1" applyBorder="1"/>
    <xf numFmtId="195" fontId="15" fillId="0" borderId="2" xfId="5" applyNumberFormat="1" applyFont="1" applyBorder="1"/>
    <xf numFmtId="195" fontId="51" fillId="0" borderId="2" xfId="5" applyNumberFormat="1" applyFont="1" applyBorder="1"/>
    <xf numFmtId="196" fontId="15" fillId="0" borderId="2" xfId="5" applyNumberFormat="1" applyFont="1" applyBorder="1"/>
    <xf numFmtId="196" fontId="15" fillId="0" borderId="12" xfId="5" applyNumberFormat="1" applyFont="1" applyBorder="1"/>
    <xf numFmtId="3" fontId="52" fillId="0" borderId="0" xfId="0" applyNumberFormat="1" applyFont="1"/>
    <xf numFmtId="199" fontId="0" fillId="0" borderId="0" xfId="0" applyNumberFormat="1"/>
    <xf numFmtId="9" fontId="0" fillId="0" borderId="0" xfId="0" applyNumberFormat="1"/>
    <xf numFmtId="180" fontId="16" fillId="0" borderId="2" xfId="6" applyNumberFormat="1" applyFont="1" applyBorder="1"/>
    <xf numFmtId="0" fontId="27" fillId="0" borderId="2" xfId="0" applyFont="1" applyBorder="1"/>
    <xf numFmtId="49" fontId="16" fillId="2" borderId="0" xfId="2" applyNumberFormat="1" applyFont="1" applyBorder="1" applyAlignment="1">
      <alignment horizontal="center"/>
    </xf>
    <xf numFmtId="3" fontId="16" fillId="2" borderId="0" xfId="2" applyNumberFormat="1" applyFont="1" applyBorder="1" applyAlignment="1">
      <alignment horizontal="center"/>
    </xf>
    <xf numFmtId="44" fontId="16" fillId="2" borderId="0" xfId="2" applyNumberFormat="1" applyFont="1" applyBorder="1" applyAlignment="1">
      <alignment horizontal="center"/>
    </xf>
    <xf numFmtId="166" fontId="18" fillId="2" borderId="0" xfId="2" applyNumberFormat="1" applyFont="1" applyBorder="1" applyAlignment="1">
      <alignment horizontal="center"/>
    </xf>
    <xf numFmtId="3" fontId="37" fillId="0" borderId="0" xfId="6" applyNumberFormat="1" applyFont="1" applyAlignment="1">
      <alignment horizontal="centerContinuous"/>
    </xf>
    <xf numFmtId="43" fontId="7" fillId="0" borderId="0" xfId="6" applyNumberFormat="1" applyFont="1"/>
    <xf numFmtId="9" fontId="7" fillId="0" borderId="0" xfId="6" applyNumberFormat="1" applyFont="1"/>
    <xf numFmtId="9" fontId="53" fillId="0" borderId="0" xfId="1" applyFont="1"/>
    <xf numFmtId="200" fontId="39" fillId="0" borderId="0" xfId="6" applyNumberFormat="1" applyFont="1"/>
    <xf numFmtId="9" fontId="53" fillId="0" borderId="0" xfId="1" applyFont="1" applyAlignment="1">
      <alignment horizontal="right"/>
    </xf>
    <xf numFmtId="9" fontId="53" fillId="0" borderId="0" xfId="1" applyFont="1" applyAlignment="1"/>
    <xf numFmtId="165" fontId="16" fillId="0" borderId="0" xfId="0" applyNumberFormat="1" applyFont="1" applyAlignment="1">
      <alignment horizontal="center"/>
    </xf>
    <xf numFmtId="43" fontId="16" fillId="2" borderId="0" xfId="2" applyNumberFormat="1" applyFont="1" applyBorder="1" applyAlignment="1">
      <alignment horizontal="center"/>
    </xf>
    <xf numFmtId="0" fontId="54" fillId="0" borderId="0" xfId="0" applyFont="1"/>
    <xf numFmtId="0" fontId="56" fillId="0" borderId="0" xfId="0" applyFont="1"/>
    <xf numFmtId="201" fontId="40" fillId="0" borderId="0" xfId="0" applyNumberFormat="1" applyFont="1"/>
    <xf numFmtId="166" fontId="41" fillId="0" borderId="0" xfId="0" applyNumberFormat="1" applyFont="1"/>
    <xf numFmtId="0" fontId="57" fillId="0" borderId="0" xfId="0" applyFont="1"/>
    <xf numFmtId="1" fontId="18" fillId="0" borderId="0" xfId="0" applyNumberFormat="1" applyFont="1"/>
    <xf numFmtId="0" fontId="58" fillId="0" borderId="0" xfId="0" applyFont="1"/>
    <xf numFmtId="1" fontId="58" fillId="0" borderId="0" xfId="0" applyNumberFormat="1" applyFont="1"/>
    <xf numFmtId="189" fontId="18" fillId="0" borderId="0" xfId="0" applyNumberFormat="1" applyFont="1"/>
    <xf numFmtId="179" fontId="18" fillId="0" borderId="0" xfId="0" applyNumberFormat="1" applyFont="1"/>
    <xf numFmtId="166" fontId="18" fillId="0" borderId="0" xfId="0" applyNumberFormat="1" applyFont="1"/>
    <xf numFmtId="202" fontId="18" fillId="0" borderId="0" xfId="0" applyNumberFormat="1" applyFont="1"/>
    <xf numFmtId="180" fontId="18" fillId="0" borderId="0" xfId="0" applyNumberFormat="1" applyFont="1"/>
    <xf numFmtId="189" fontId="15" fillId="0" borderId="0" xfId="4" applyNumberFormat="1" applyFont="1"/>
    <xf numFmtId="180" fontId="15" fillId="0" borderId="0" xfId="4" applyNumberFormat="1" applyFont="1"/>
    <xf numFmtId="166" fontId="15" fillId="0" borderId="0" xfId="4" applyNumberFormat="1" applyFont="1"/>
    <xf numFmtId="172" fontId="15" fillId="0" borderId="0" xfId="4" applyNumberFormat="1" applyFont="1"/>
    <xf numFmtId="43" fontId="15" fillId="0" borderId="0" xfId="4" applyNumberFormat="1" applyFont="1"/>
    <xf numFmtId="0" fontId="55" fillId="6" borderId="0" xfId="0" applyFont="1" applyFill="1"/>
    <xf numFmtId="0" fontId="56" fillId="6" borderId="0" xfId="0" applyFont="1" applyFill="1"/>
    <xf numFmtId="201" fontId="16" fillId="4" borderId="0" xfId="0" applyNumberFormat="1" applyFont="1" applyFill="1" applyAlignment="1">
      <alignment horizontal="center"/>
    </xf>
    <xf numFmtId="201" fontId="15" fillId="4" borderId="0" xfId="0" applyNumberFormat="1" applyFont="1" applyFill="1" applyAlignment="1">
      <alignment horizontal="center"/>
    </xf>
    <xf numFmtId="0" fontId="10" fillId="6" borderId="0" xfId="4" applyFont="1" applyFill="1"/>
    <xf numFmtId="173" fontId="10" fillId="6" borderId="0" xfId="4" applyNumberFormat="1" applyFont="1" applyFill="1"/>
    <xf numFmtId="179" fontId="15" fillId="0" borderId="0" xfId="4" applyNumberFormat="1" applyFont="1"/>
    <xf numFmtId="0" fontId="28" fillId="12" borderId="0" xfId="4" applyFont="1" applyFill="1" applyAlignment="1">
      <alignment horizontal="left"/>
    </xf>
    <xf numFmtId="0" fontId="28" fillId="12" borderId="0" xfId="4" applyFont="1" applyFill="1"/>
    <xf numFmtId="189" fontId="28" fillId="12" borderId="0" xfId="4" applyNumberFormat="1" applyFont="1" applyFill="1"/>
    <xf numFmtId="179" fontId="28" fillId="12" borderId="0" xfId="4" applyNumberFormat="1" applyFont="1" applyFill="1"/>
    <xf numFmtId="166" fontId="28" fillId="12" borderId="0" xfId="4" applyNumberFormat="1" applyFont="1" applyFill="1"/>
    <xf numFmtId="43" fontId="28" fillId="12" borderId="0" xfId="4" applyNumberFormat="1" applyFont="1" applyFill="1"/>
    <xf numFmtId="0" fontId="10" fillId="13" borderId="0" xfId="4" applyFont="1" applyFill="1"/>
    <xf numFmtId="189" fontId="10" fillId="13" borderId="0" xfId="4" applyNumberFormat="1" applyFont="1" applyFill="1"/>
    <xf numFmtId="201" fontId="10" fillId="6" borderId="0" xfId="4" applyNumberFormat="1" applyFont="1" applyFill="1"/>
    <xf numFmtId="9" fontId="10" fillId="13" borderId="0" xfId="1" applyFont="1" applyFill="1" applyBorder="1"/>
    <xf numFmtId="188" fontId="10" fillId="13" borderId="0" xfId="1" applyNumberFormat="1" applyFont="1" applyFill="1" applyBorder="1"/>
    <xf numFmtId="173" fontId="35" fillId="2" borderId="0" xfId="2" applyNumberFormat="1" applyFont="1" applyBorder="1" applyAlignment="1">
      <alignment horizontal="center"/>
    </xf>
    <xf numFmtId="42" fontId="3" fillId="0" borderId="0" xfId="0" applyNumberFormat="1" applyFont="1"/>
    <xf numFmtId="0" fontId="9" fillId="6" borderId="0" xfId="0" applyFont="1" applyFill="1"/>
    <xf numFmtId="0" fontId="32" fillId="6" borderId="0" xfId="0" applyFont="1" applyFill="1" applyAlignment="1">
      <alignment horizontal="left"/>
    </xf>
    <xf numFmtId="0" fontId="33" fillId="6" borderId="0" xfId="0" applyFont="1" applyFill="1" applyAlignment="1">
      <alignment horizontal="left"/>
    </xf>
    <xf numFmtId="41" fontId="7" fillId="0" borderId="0" xfId="0" applyNumberFormat="1" applyFont="1" applyAlignment="1">
      <alignment horizontal="center"/>
    </xf>
    <xf numFmtId="0" fontId="59" fillId="0" borderId="0" xfId="0" applyFont="1" applyAlignment="1">
      <alignment horizontal="center"/>
    </xf>
    <xf numFmtId="179" fontId="26" fillId="0" borderId="0" xfId="0" applyNumberFormat="1" applyFont="1" applyAlignment="1">
      <alignment horizontal="center"/>
    </xf>
    <xf numFmtId="42" fontId="26" fillId="0" borderId="0" xfId="0" applyNumberFormat="1" applyFont="1" applyAlignment="1">
      <alignment horizontal="center"/>
    </xf>
    <xf numFmtId="10" fontId="15" fillId="0" borderId="0" xfId="1" applyNumberFormat="1" applyFont="1" applyBorder="1" applyAlignment="1">
      <alignment horizontal="center"/>
    </xf>
    <xf numFmtId="176" fontId="16" fillId="4" borderId="0" xfId="0" applyNumberFormat="1" applyFont="1" applyFill="1" applyAlignment="1">
      <alignment horizontal="center"/>
    </xf>
    <xf numFmtId="175" fontId="16" fillId="4" borderId="0" xfId="0" applyNumberFormat="1" applyFont="1" applyFill="1" applyAlignment="1">
      <alignment horizontal="center"/>
    </xf>
    <xf numFmtId="175" fontId="15" fillId="0" borderId="0" xfId="0" applyNumberFormat="1" applyFont="1" applyAlignment="1">
      <alignment horizontal="center"/>
    </xf>
    <xf numFmtId="173" fontId="27" fillId="2" borderId="0" xfId="2" applyNumberFormat="1" applyFont="1" applyBorder="1" applyAlignment="1">
      <alignment horizontal="center"/>
    </xf>
    <xf numFmtId="1" fontId="10" fillId="13" borderId="0" xfId="4" applyNumberFormat="1" applyFont="1" applyFill="1" applyAlignment="1">
      <alignment horizontal="center"/>
    </xf>
    <xf numFmtId="0" fontId="7" fillId="10" borderId="9" xfId="0" applyFont="1" applyFill="1" applyBorder="1"/>
    <xf numFmtId="0" fontId="7" fillId="10" borderId="6" xfId="0" applyFont="1" applyFill="1" applyBorder="1"/>
    <xf numFmtId="0" fontId="60" fillId="10" borderId="6" xfId="4" applyFont="1" applyFill="1" applyBorder="1" applyAlignment="1">
      <alignment horizontal="center"/>
    </xf>
    <xf numFmtId="0" fontId="10" fillId="10" borderId="6" xfId="0" applyFont="1" applyFill="1" applyBorder="1"/>
    <xf numFmtId="0" fontId="7" fillId="10" borderId="10" xfId="0" applyFont="1" applyFill="1" applyBorder="1"/>
    <xf numFmtId="203" fontId="10" fillId="10" borderId="16" xfId="0" applyNumberFormat="1" applyFont="1" applyFill="1" applyBorder="1" applyAlignment="1">
      <alignment horizontal="center"/>
    </xf>
    <xf numFmtId="43" fontId="6" fillId="8" borderId="0" xfId="0" applyNumberFormat="1" applyFont="1" applyFill="1"/>
    <xf numFmtId="43" fontId="7" fillId="0" borderId="17" xfId="0" applyNumberFormat="1" applyFont="1" applyBorder="1"/>
    <xf numFmtId="43" fontId="6" fillId="8" borderId="17" xfId="0" applyNumberFormat="1" applyFont="1" applyFill="1" applyBorder="1"/>
    <xf numFmtId="43" fontId="7" fillId="0" borderId="2" xfId="0" applyNumberFormat="1" applyFont="1" applyBorder="1"/>
    <xf numFmtId="43" fontId="6" fillId="8" borderId="2" xfId="0" applyNumberFormat="1" applyFont="1" applyFill="1" applyBorder="1"/>
    <xf numFmtId="43" fontId="7" fillId="0" borderId="12" xfId="0" applyNumberFormat="1" applyFont="1" applyBorder="1"/>
    <xf numFmtId="193" fontId="23" fillId="0" borderId="0" xfId="4" applyNumberFormat="1" applyFont="1" applyAlignment="1">
      <alignment horizontal="center"/>
    </xf>
    <xf numFmtId="43" fontId="6" fillId="0" borderId="0" xfId="0" applyNumberFormat="1" applyFont="1"/>
    <xf numFmtId="193" fontId="23" fillId="10" borderId="11" xfId="4" applyNumberFormat="1" applyFont="1" applyFill="1" applyBorder="1" applyAlignment="1">
      <alignment horizontal="center"/>
    </xf>
    <xf numFmtId="204" fontId="61" fillId="10" borderId="0" xfId="0" applyNumberFormat="1" applyFont="1" applyFill="1"/>
    <xf numFmtId="204" fontId="23" fillId="10" borderId="0" xfId="0" applyNumberFormat="1" applyFont="1" applyFill="1"/>
    <xf numFmtId="10" fontId="61" fillId="10" borderId="16" xfId="1" applyNumberFormat="1" applyFont="1" applyFill="1" applyBorder="1" applyAlignment="1">
      <alignment horizontal="center"/>
    </xf>
    <xf numFmtId="10" fontId="23" fillId="10" borderId="16" xfId="1" applyNumberFormat="1" applyFont="1" applyFill="1" applyBorder="1" applyAlignment="1">
      <alignment horizontal="center"/>
    </xf>
    <xf numFmtId="205" fontId="61" fillId="10" borderId="16" xfId="4" applyNumberFormat="1" applyFont="1" applyFill="1" applyBorder="1" applyAlignment="1">
      <alignment horizontal="center"/>
    </xf>
    <xf numFmtId="205" fontId="23" fillId="10" borderId="16" xfId="4" applyNumberFormat="1" applyFont="1" applyFill="1" applyBorder="1" applyAlignment="1">
      <alignment horizontal="center"/>
    </xf>
    <xf numFmtId="177" fontId="15" fillId="0" borderId="0" xfId="0" applyNumberFormat="1" applyFont="1" applyAlignment="1">
      <alignment horizontal="center"/>
    </xf>
    <xf numFmtId="167" fontId="16" fillId="2" borderId="0" xfId="2" applyNumberFormat="1" applyFont="1" applyBorder="1" applyAlignment="1">
      <alignment horizontal="center"/>
    </xf>
    <xf numFmtId="42" fontId="16" fillId="2" borderId="0" xfId="2" applyNumberFormat="1" applyFont="1" applyBorder="1" applyAlignment="1">
      <alignment horizontal="center"/>
    </xf>
    <xf numFmtId="41" fontId="6" fillId="0" borderId="2" xfId="0" applyNumberFormat="1" applyFont="1" applyBorder="1" applyAlignment="1">
      <alignment vertical="center"/>
    </xf>
    <xf numFmtId="0" fontId="63" fillId="0" borderId="0" xfId="9" applyFont="1"/>
    <xf numFmtId="0" fontId="7" fillId="0" borderId="0" xfId="9" applyFont="1"/>
    <xf numFmtId="183" fontId="35" fillId="0" borderId="0" xfId="0" applyNumberFormat="1" applyFont="1" applyAlignment="1">
      <alignment horizontal="center"/>
    </xf>
    <xf numFmtId="42" fontId="35" fillId="0" borderId="0" xfId="0" applyNumberFormat="1" applyFont="1" applyAlignment="1">
      <alignment horizontal="center"/>
    </xf>
    <xf numFmtId="41" fontId="35" fillId="0" borderId="0" xfId="0" applyNumberFormat="1" applyFont="1" applyAlignment="1">
      <alignment horizontal="center"/>
    </xf>
    <xf numFmtId="44" fontId="0" fillId="0" borderId="0" xfId="0" applyNumberFormat="1"/>
    <xf numFmtId="44" fontId="15" fillId="0" borderId="0" xfId="5" applyNumberFormat="1" applyFont="1"/>
    <xf numFmtId="178" fontId="27" fillId="0" borderId="0" xfId="4" applyNumberFormat="1" applyFont="1"/>
    <xf numFmtId="183" fontId="28" fillId="0" borderId="0" xfId="4" applyNumberFormat="1" applyFont="1"/>
    <xf numFmtId="0" fontId="27" fillId="0" borderId="0" xfId="5" applyFont="1" applyAlignment="1">
      <alignment horizontal="left" indent="1"/>
    </xf>
    <xf numFmtId="196" fontId="35" fillId="0" borderId="0" xfId="5" applyNumberFormat="1" applyFont="1" applyAlignment="1">
      <alignment horizontal="center"/>
    </xf>
    <xf numFmtId="188" fontId="35" fillId="0" borderId="0" xfId="0" applyNumberFormat="1" applyFont="1" applyAlignment="1">
      <alignment horizontal="center"/>
    </xf>
    <xf numFmtId="195" fontId="28" fillId="0" borderId="0" xfId="5" applyNumberFormat="1" applyFont="1"/>
    <xf numFmtId="188" fontId="16" fillId="0" borderId="0" xfId="0" applyNumberFormat="1" applyFont="1" applyAlignment="1">
      <alignment horizontal="center"/>
    </xf>
    <xf numFmtId="199" fontId="35" fillId="0" borderId="0" xfId="0" applyNumberFormat="1" applyFont="1" applyAlignment="1">
      <alignment horizontal="center"/>
    </xf>
    <xf numFmtId="0" fontId="28" fillId="8" borderId="2" xfId="4" applyFont="1" applyFill="1" applyBorder="1"/>
    <xf numFmtId="178" fontId="6" fillId="8" borderId="2" xfId="0" applyNumberFormat="1" applyFont="1" applyFill="1" applyBorder="1"/>
    <xf numFmtId="164" fontId="35" fillId="0" borderId="0" xfId="0" applyNumberFormat="1" applyFont="1"/>
    <xf numFmtId="0" fontId="7" fillId="0" borderId="0" xfId="0" applyFont="1" applyAlignment="1">
      <alignment wrapText="1"/>
    </xf>
    <xf numFmtId="164" fontId="28" fillId="8" borderId="0" xfId="4" applyNumberFormat="1" applyFont="1" applyFill="1"/>
    <xf numFmtId="206" fontId="35" fillId="0" borderId="0" xfId="0" applyNumberFormat="1" applyFont="1"/>
    <xf numFmtId="183" fontId="27" fillId="0" borderId="0" xfId="4" applyNumberFormat="1" applyFont="1" applyAlignment="1">
      <alignment horizontal="center"/>
    </xf>
    <xf numFmtId="42" fontId="15" fillId="0" borderId="0" xfId="5" applyNumberFormat="1" applyFont="1" applyAlignment="1">
      <alignment horizontal="center"/>
    </xf>
    <xf numFmtId="191" fontId="27" fillId="0" borderId="6" xfId="4" applyNumberFormat="1" applyFont="1" applyBorder="1" applyAlignment="1">
      <alignment horizontal="center"/>
    </xf>
    <xf numFmtId="183" fontId="27" fillId="0" borderId="6" xfId="4" applyNumberFormat="1" applyFont="1" applyBorder="1" applyAlignment="1">
      <alignment horizontal="center"/>
    </xf>
    <xf numFmtId="183" fontId="27" fillId="0" borderId="10" xfId="4" applyNumberFormat="1" applyFont="1" applyBorder="1" applyAlignment="1">
      <alignment horizontal="center"/>
    </xf>
    <xf numFmtId="186" fontId="27" fillId="0" borderId="0" xfId="4" applyNumberFormat="1" applyFont="1" applyAlignment="1">
      <alignment horizontal="center"/>
    </xf>
    <xf numFmtId="183" fontId="27" fillId="0" borderId="17" xfId="4" applyNumberFormat="1" applyFont="1" applyBorder="1" applyAlignment="1">
      <alignment horizontal="center"/>
    </xf>
    <xf numFmtId="164" fontId="28" fillId="5" borderId="14" xfId="4" applyNumberFormat="1" applyFont="1" applyFill="1" applyBorder="1" applyAlignment="1">
      <alignment horizontal="center"/>
    </xf>
    <xf numFmtId="183" fontId="28" fillId="5" borderId="14" xfId="4" applyNumberFormat="1" applyFont="1" applyFill="1" applyBorder="1" applyAlignment="1">
      <alignment horizontal="center"/>
    </xf>
    <xf numFmtId="183" fontId="28" fillId="5" borderId="15" xfId="4" applyNumberFormat="1" applyFont="1" applyFill="1" applyBorder="1" applyAlignment="1">
      <alignment horizontal="center"/>
    </xf>
    <xf numFmtId="186" fontId="27" fillId="0" borderId="2" xfId="4" applyNumberFormat="1" applyFont="1" applyBorder="1" applyAlignment="1">
      <alignment horizontal="center"/>
    </xf>
    <xf numFmtId="183" fontId="27" fillId="0" borderId="2" xfId="4" applyNumberFormat="1" applyFont="1" applyBorder="1" applyAlignment="1">
      <alignment horizontal="center"/>
    </xf>
    <xf numFmtId="183" fontId="27" fillId="0" borderId="12" xfId="4" applyNumberFormat="1" applyFont="1" applyBorder="1" applyAlignment="1">
      <alignment horizontal="center"/>
    </xf>
    <xf numFmtId="42" fontId="10" fillId="5" borderId="14" xfId="5" applyNumberFormat="1" applyFont="1" applyFill="1" applyBorder="1" applyAlignment="1">
      <alignment horizontal="center"/>
    </xf>
    <xf numFmtId="193" fontId="10" fillId="5" borderId="14" xfId="5" applyNumberFormat="1" applyFont="1" applyFill="1" applyBorder="1" applyAlignment="1">
      <alignment horizontal="center"/>
    </xf>
    <xf numFmtId="193" fontId="10" fillId="5" borderId="15" xfId="5" applyNumberFormat="1" applyFont="1" applyFill="1" applyBorder="1" applyAlignment="1">
      <alignment horizontal="center"/>
    </xf>
    <xf numFmtId="0" fontId="15" fillId="0" borderId="0" xfId="5" applyFont="1" applyAlignment="1">
      <alignment horizontal="center"/>
    </xf>
    <xf numFmtId="172" fontId="15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44" fontId="27" fillId="0" borderId="6" xfId="4" applyNumberFormat="1" applyFont="1" applyBorder="1" applyAlignment="1">
      <alignment horizontal="center"/>
    </xf>
    <xf numFmtId="190" fontId="27" fillId="0" borderId="6" xfId="4" applyNumberFormat="1" applyFont="1" applyBorder="1" applyAlignment="1">
      <alignment horizontal="center"/>
    </xf>
    <xf numFmtId="190" fontId="27" fillId="0" borderId="10" xfId="4" applyNumberFormat="1" applyFont="1" applyBorder="1" applyAlignment="1">
      <alignment horizontal="center"/>
    </xf>
    <xf numFmtId="190" fontId="27" fillId="0" borderId="0" xfId="4" applyNumberFormat="1" applyFont="1" applyAlignment="1">
      <alignment horizontal="center"/>
    </xf>
    <xf numFmtId="190" fontId="27" fillId="0" borderId="17" xfId="4" applyNumberFormat="1" applyFont="1" applyBorder="1" applyAlignment="1">
      <alignment horizontal="center"/>
    </xf>
    <xf numFmtId="44" fontId="28" fillId="10" borderId="14" xfId="4" applyNumberFormat="1" applyFont="1" applyFill="1" applyBorder="1" applyAlignment="1">
      <alignment horizontal="center"/>
    </xf>
    <xf numFmtId="164" fontId="28" fillId="10" borderId="14" xfId="4" applyNumberFormat="1" applyFont="1" applyFill="1" applyBorder="1" applyAlignment="1">
      <alignment horizontal="center"/>
    </xf>
    <xf numFmtId="191" fontId="28" fillId="10" borderId="14" xfId="4" applyNumberFormat="1" applyFont="1" applyFill="1" applyBorder="1" applyAlignment="1">
      <alignment horizontal="center"/>
    </xf>
    <xf numFmtId="190" fontId="28" fillId="10" borderId="14" xfId="4" applyNumberFormat="1" applyFont="1" applyFill="1" applyBorder="1" applyAlignment="1">
      <alignment horizontal="center"/>
    </xf>
    <xf numFmtId="190" fontId="28" fillId="10" borderId="15" xfId="4" applyNumberFormat="1" applyFont="1" applyFill="1" applyBorder="1" applyAlignment="1">
      <alignment horizontal="center"/>
    </xf>
    <xf numFmtId="43" fontId="27" fillId="0" borderId="2" xfId="4" applyNumberFormat="1" applyFont="1" applyBorder="1" applyAlignment="1">
      <alignment horizontal="center"/>
    </xf>
    <xf numFmtId="190" fontId="27" fillId="0" borderId="2" xfId="4" applyNumberFormat="1" applyFont="1" applyBorder="1" applyAlignment="1">
      <alignment horizontal="center"/>
    </xf>
    <xf numFmtId="190" fontId="27" fillId="0" borderId="12" xfId="4" applyNumberFormat="1" applyFont="1" applyBorder="1" applyAlignment="1">
      <alignment horizontal="center"/>
    </xf>
    <xf numFmtId="192" fontId="10" fillId="5" borderId="14" xfId="5" applyNumberFormat="1" applyFont="1" applyFill="1" applyBorder="1" applyAlignment="1">
      <alignment horizontal="center"/>
    </xf>
    <xf numFmtId="0" fontId="10" fillId="5" borderId="14" xfId="5" applyFont="1" applyFill="1" applyBorder="1" applyAlignment="1">
      <alignment horizontal="center"/>
    </xf>
    <xf numFmtId="188" fontId="10" fillId="5" borderId="14" xfId="5" applyNumberFormat="1" applyFont="1" applyFill="1" applyBorder="1" applyAlignment="1">
      <alignment horizontal="center"/>
    </xf>
    <xf numFmtId="9" fontId="10" fillId="5" borderId="14" xfId="1" applyFont="1" applyFill="1" applyBorder="1" applyAlignment="1">
      <alignment horizontal="center"/>
    </xf>
    <xf numFmtId="190" fontId="10" fillId="5" borderId="14" xfId="4" applyNumberFormat="1" applyFont="1" applyFill="1" applyBorder="1" applyAlignment="1">
      <alignment horizontal="center"/>
    </xf>
    <xf numFmtId="190" fontId="10" fillId="5" borderId="15" xfId="4" applyNumberFormat="1" applyFont="1" applyFill="1" applyBorder="1" applyAlignment="1">
      <alignment horizontal="center"/>
    </xf>
    <xf numFmtId="44" fontId="10" fillId="0" borderId="0" xfId="4" applyNumberFormat="1" applyFont="1" applyAlignment="1">
      <alignment horizontal="center"/>
    </xf>
    <xf numFmtId="186" fontId="10" fillId="0" borderId="0" xfId="4" applyNumberFormat="1" applyFont="1" applyAlignment="1">
      <alignment horizontal="center"/>
    </xf>
    <xf numFmtId="178" fontId="10" fillId="0" borderId="0" xfId="4" applyNumberFormat="1" applyFont="1" applyAlignment="1">
      <alignment horizontal="center"/>
    </xf>
    <xf numFmtId="172" fontId="10" fillId="0" borderId="0" xfId="4" applyNumberFormat="1" applyFont="1" applyAlignment="1">
      <alignment horizontal="center"/>
    </xf>
    <xf numFmtId="1" fontId="15" fillId="0" borderId="0" xfId="5" applyNumberFormat="1" applyFont="1" applyAlignment="1">
      <alignment horizontal="center"/>
    </xf>
    <xf numFmtId="0" fontId="33" fillId="6" borderId="0" xfId="4" applyFont="1" applyFill="1" applyAlignment="1">
      <alignment horizontal="center"/>
    </xf>
    <xf numFmtId="0" fontId="45" fillId="6" borderId="0" xfId="4" applyFont="1" applyFill="1" applyAlignment="1">
      <alignment horizontal="center"/>
    </xf>
    <xf numFmtId="0" fontId="46" fillId="6" borderId="0" xfId="4" applyFont="1" applyFill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42" fontId="15" fillId="0" borderId="0" xfId="5" applyNumberFormat="1" applyFont="1"/>
    <xf numFmtId="188" fontId="15" fillId="0" borderId="0" xfId="5" applyNumberFormat="1" applyFont="1"/>
    <xf numFmtId="172" fontId="15" fillId="0" borderId="0" xfId="1" applyNumberFormat="1" applyFont="1" applyAlignment="1"/>
    <xf numFmtId="41" fontId="15" fillId="0" borderId="0" xfId="5" applyNumberFormat="1" applyFont="1"/>
    <xf numFmtId="0" fontId="7" fillId="0" borderId="0" xfId="10" applyFont="1"/>
    <xf numFmtId="0" fontId="7" fillId="0" borderId="0" xfId="10" applyFont="1" applyAlignment="1">
      <alignment horizontal="center"/>
    </xf>
    <xf numFmtId="0" fontId="64" fillId="0" borderId="0" xfId="0" applyFont="1" applyAlignment="1">
      <alignment horizontal="left" indent="1"/>
    </xf>
    <xf numFmtId="44" fontId="65" fillId="0" borderId="0" xfId="0" applyNumberFormat="1" applyFont="1"/>
    <xf numFmtId="0" fontId="66" fillId="0" borderId="0" xfId="0" applyFont="1" applyAlignment="1">
      <alignment horizontal="left" indent="1"/>
    </xf>
    <xf numFmtId="0" fontId="3" fillId="0" borderId="0" xfId="0" applyFont="1"/>
    <xf numFmtId="0" fontId="32" fillId="0" borderId="0" xfId="11" applyFont="1" applyAlignment="1">
      <alignment horizontal="left"/>
    </xf>
    <xf numFmtId="0" fontId="32" fillId="6" borderId="0" xfId="11" applyFont="1" applyFill="1" applyAlignment="1">
      <alignment horizontal="left"/>
    </xf>
    <xf numFmtId="0" fontId="6" fillId="0" borderId="2" xfId="11" applyFont="1" applyBorder="1" applyAlignment="1">
      <alignment horizontal="center"/>
    </xf>
    <xf numFmtId="207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172" fontId="0" fillId="0" borderId="0" xfId="0" applyNumberFormat="1" applyAlignment="1">
      <alignment horizontal="center"/>
    </xf>
    <xf numFmtId="207" fontId="0" fillId="0" borderId="0" xfId="0" applyNumberFormat="1"/>
    <xf numFmtId="42" fontId="0" fillId="0" borderId="0" xfId="0" applyNumberFormat="1"/>
    <xf numFmtId="0" fontId="6" fillId="0" borderId="0" xfId="11" applyFont="1"/>
    <xf numFmtId="0" fontId="7" fillId="0" borderId="0" xfId="11" applyFont="1" applyAlignment="1">
      <alignment horizontal="center"/>
    </xf>
    <xf numFmtId="0" fontId="7" fillId="0" borderId="0" xfId="11" applyFont="1"/>
    <xf numFmtId="0" fontId="7" fillId="0" borderId="18" xfId="11" applyFont="1" applyBorder="1"/>
    <xf numFmtId="0" fontId="7" fillId="0" borderId="19" xfId="11" applyFont="1" applyBorder="1"/>
    <xf numFmtId="0" fontId="7" fillId="0" borderId="15" xfId="11" applyFont="1" applyBorder="1"/>
    <xf numFmtId="165" fontId="7" fillId="0" borderId="0" xfId="11" applyNumberFormat="1" applyFont="1" applyAlignment="1">
      <alignment horizontal="center"/>
    </xf>
    <xf numFmtId="0" fontId="6" fillId="0" borderId="0" xfId="11" applyFont="1" applyAlignment="1">
      <alignment horizontal="centerContinuous"/>
    </xf>
    <xf numFmtId="0" fontId="7" fillId="0" borderId="0" xfId="11" applyFont="1" applyAlignment="1">
      <alignment horizontal="centerContinuous"/>
    </xf>
    <xf numFmtId="14" fontId="35" fillId="0" borderId="2" xfId="11" applyNumberFormat="1" applyFont="1" applyBorder="1"/>
    <xf numFmtId="1" fontId="35" fillId="0" borderId="2" xfId="5" applyNumberFormat="1" applyFont="1" applyBorder="1"/>
    <xf numFmtId="42" fontId="7" fillId="0" borderId="0" xfId="11" applyNumberFormat="1" applyFont="1"/>
    <xf numFmtId="9" fontId="7" fillId="0" borderId="0" xfId="11" applyNumberFormat="1" applyFont="1"/>
    <xf numFmtId="0" fontId="35" fillId="0" borderId="2" xfId="5" applyFont="1" applyBorder="1"/>
    <xf numFmtId="0" fontId="7" fillId="0" borderId="2" xfId="11" applyFont="1" applyBorder="1" applyAlignment="1">
      <alignment horizontal="center"/>
    </xf>
    <xf numFmtId="166" fontId="27" fillId="0" borderId="0" xfId="6" applyNumberFormat="1" applyFont="1" applyAlignment="1">
      <alignment horizontal="center"/>
    </xf>
    <xf numFmtId="183" fontId="27" fillId="0" borderId="0" xfId="12" applyNumberFormat="1" applyFont="1" applyAlignment="1">
      <alignment horizontal="center"/>
    </xf>
    <xf numFmtId="4" fontId="7" fillId="0" borderId="0" xfId="11" applyNumberFormat="1" applyFont="1"/>
    <xf numFmtId="165" fontId="27" fillId="0" borderId="0" xfId="0" applyNumberFormat="1" applyFont="1" applyAlignment="1">
      <alignment horizontal="left"/>
    </xf>
    <xf numFmtId="0" fontId="7" fillId="14" borderId="0" xfId="11" applyFont="1" applyFill="1"/>
    <xf numFmtId="0" fontId="7" fillId="4" borderId="0" xfId="11" applyFont="1" applyFill="1"/>
    <xf numFmtId="0" fontId="7" fillId="15" borderId="0" xfId="11" applyFont="1" applyFill="1"/>
    <xf numFmtId="0" fontId="6" fillId="16" borderId="2" xfId="11" applyFont="1" applyFill="1" applyBorder="1" applyAlignment="1">
      <alignment horizontal="center"/>
    </xf>
    <xf numFmtId="0" fontId="6" fillId="16" borderId="2" xfId="11" applyFont="1" applyFill="1" applyBorder="1"/>
    <xf numFmtId="9" fontId="26" fillId="0" borderId="0" xfId="1" applyFont="1" applyAlignment="1"/>
    <xf numFmtId="0" fontId="10" fillId="6" borderId="2" xfId="0" applyFont="1" applyFill="1" applyBorder="1"/>
    <xf numFmtId="0" fontId="23" fillId="6" borderId="2" xfId="0" applyFont="1" applyFill="1" applyBorder="1"/>
    <xf numFmtId="0" fontId="22" fillId="6" borderId="2" xfId="0" applyFont="1" applyFill="1" applyBorder="1"/>
    <xf numFmtId="0" fontId="21" fillId="6" borderId="2" xfId="0" applyFont="1" applyFill="1" applyBorder="1"/>
    <xf numFmtId="43" fontId="7" fillId="0" borderId="0" xfId="0" applyNumberFormat="1" applyFont="1" applyAlignment="1">
      <alignment horizontal="center"/>
    </xf>
    <xf numFmtId="43" fontId="6" fillId="8" borderId="0" xfId="0" applyNumberFormat="1" applyFont="1" applyFill="1" applyAlignment="1">
      <alignment horizontal="center"/>
    </xf>
    <xf numFmtId="43" fontId="7" fillId="0" borderId="17" xfId="0" applyNumberFormat="1" applyFont="1" applyBorder="1" applyAlignment="1">
      <alignment horizontal="center"/>
    </xf>
    <xf numFmtId="43" fontId="6" fillId="8" borderId="17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1" fontId="7" fillId="0" borderId="0" xfId="11" applyNumberFormat="1" applyFont="1" applyAlignment="1">
      <alignment horizontal="center"/>
    </xf>
    <xf numFmtId="9" fontId="7" fillId="0" borderId="0" xfId="1" applyFont="1" applyAlignment="1">
      <alignment horizontal="center"/>
    </xf>
    <xf numFmtId="183" fontId="0" fillId="0" borderId="0" xfId="0" applyNumberFormat="1"/>
    <xf numFmtId="0" fontId="7" fillId="0" borderId="0" xfId="11" applyFont="1" applyAlignment="1">
      <alignment horizontal="right"/>
    </xf>
    <xf numFmtId="15" fontId="4" fillId="7" borderId="0" xfId="0" applyNumberFormat="1" applyFont="1" applyFill="1" applyAlignment="1">
      <alignment horizontal="left" vertical="center"/>
    </xf>
    <xf numFmtId="0" fontId="4" fillId="7" borderId="0" xfId="0" applyFont="1" applyFill="1" applyAlignment="1">
      <alignment horizontal="right" vertical="center"/>
    </xf>
    <xf numFmtId="3" fontId="4" fillId="7" borderId="0" xfId="0" applyNumberFormat="1" applyFont="1" applyFill="1" applyAlignment="1">
      <alignment horizontal="right" vertical="center"/>
    </xf>
    <xf numFmtId="0" fontId="21" fillId="6" borderId="0" xfId="0" applyFont="1" applyFill="1"/>
    <xf numFmtId="0" fontId="22" fillId="6" borderId="0" xfId="0" applyFont="1" applyFill="1"/>
    <xf numFmtId="0" fontId="10" fillId="6" borderId="3" xfId="0" applyFont="1" applyFill="1" applyBorder="1" applyAlignment="1">
      <alignment horizontal="centerContinuous"/>
    </xf>
    <xf numFmtId="0" fontId="10" fillId="6" borderId="7" xfId="0" applyFont="1" applyFill="1" applyBorder="1" applyAlignment="1">
      <alignment horizontal="centerContinuous"/>
    </xf>
    <xf numFmtId="0" fontId="10" fillId="6" borderId="0" xfId="0" applyFont="1" applyFill="1" applyAlignment="1">
      <alignment horizontal="centerContinuous"/>
    </xf>
    <xf numFmtId="0" fontId="27" fillId="0" borderId="0" xfId="11" applyFont="1"/>
    <xf numFmtId="0" fontId="28" fillId="16" borderId="0" xfId="0" applyFont="1" applyFill="1"/>
    <xf numFmtId="0" fontId="29" fillId="16" borderId="0" xfId="0" applyFont="1" applyFill="1"/>
    <xf numFmtId="169" fontId="28" fillId="16" borderId="0" xfId="0" applyNumberFormat="1" applyFont="1" applyFill="1" applyAlignment="1">
      <alignment horizontal="center"/>
    </xf>
    <xf numFmtId="0" fontId="27" fillId="7" borderId="0" xfId="0" applyFont="1" applyFill="1" applyAlignment="1">
      <alignment horizontal="center" vertical="center"/>
    </xf>
    <xf numFmtId="42" fontId="15" fillId="0" borderId="0" xfId="0" applyNumberFormat="1" applyFont="1"/>
    <xf numFmtId="0" fontId="27" fillId="7" borderId="0" xfId="0" applyFont="1" applyFill="1" applyAlignment="1">
      <alignment horizontal="left" vertical="center" indent="1"/>
    </xf>
    <xf numFmtId="182" fontId="67" fillId="0" borderId="0" xfId="0" applyNumberFormat="1" applyFont="1" applyAlignment="1">
      <alignment horizontal="right"/>
    </xf>
    <xf numFmtId="166" fontId="9" fillId="0" borderId="0" xfId="0" applyNumberFormat="1" applyFont="1" applyAlignment="1">
      <alignment horizontal="center"/>
    </xf>
    <xf numFmtId="0" fontId="29" fillId="7" borderId="0" xfId="0" applyFont="1" applyFill="1" applyAlignment="1">
      <alignment horizontal="left" vertical="center" indent="1"/>
    </xf>
    <xf numFmtId="9" fontId="68" fillId="0" borderId="0" xfId="1" applyFont="1"/>
    <xf numFmtId="42" fontId="35" fillId="0" borderId="0" xfId="1" applyNumberFormat="1" applyFont="1"/>
    <xf numFmtId="9" fontId="35" fillId="0" borderId="0" xfId="1" applyFont="1"/>
    <xf numFmtId="169" fontId="28" fillId="0" borderId="0" xfId="0" applyNumberFormat="1" applyFont="1" applyAlignment="1">
      <alignment horizontal="center"/>
    </xf>
    <xf numFmtId="0" fontId="39" fillId="0" borderId="0" xfId="11" applyFont="1"/>
    <xf numFmtId="42" fontId="67" fillId="0" borderId="0" xfId="0" applyNumberFormat="1" applyFont="1"/>
    <xf numFmtId="0" fontId="20" fillId="0" borderId="0" xfId="11" applyFont="1" applyAlignment="1">
      <alignment horizontal="left" indent="1"/>
    </xf>
    <xf numFmtId="0" fontId="70" fillId="0" borderId="0" xfId="11" applyFont="1"/>
    <xf numFmtId="0" fontId="71" fillId="0" borderId="0" xfId="11" applyFont="1"/>
    <xf numFmtId="0" fontId="15" fillId="0" borderId="0" xfId="11" applyFont="1"/>
    <xf numFmtId="0" fontId="9" fillId="0" borderId="0" xfId="0" applyFont="1" applyAlignment="1">
      <alignment horizontal="left" indent="1"/>
    </xf>
    <xf numFmtId="0" fontId="10" fillId="6" borderId="4" xfId="0" applyFont="1" applyFill="1" applyBorder="1" applyAlignment="1">
      <alignment horizontal="centerContinuous"/>
    </xf>
    <xf numFmtId="0" fontId="23" fillId="6" borderId="2" xfId="0" applyFont="1" applyFill="1" applyBorder="1" applyAlignment="1">
      <alignment horizontal="center"/>
    </xf>
    <xf numFmtId="0" fontId="20" fillId="0" borderId="0" xfId="11" applyFont="1" applyAlignment="1">
      <alignment horizontal="center"/>
    </xf>
    <xf numFmtId="183" fontId="35" fillId="0" borderId="0" xfId="5" applyNumberFormat="1" applyFont="1"/>
    <xf numFmtId="42" fontId="6" fillId="0" borderId="0" xfId="0" applyNumberFormat="1" applyFont="1" applyAlignment="1">
      <alignment vertical="center" wrapText="1"/>
    </xf>
    <xf numFmtId="9" fontId="9" fillId="0" borderId="0" xfId="1" applyFont="1" applyAlignment="1">
      <alignment vertical="center"/>
    </xf>
    <xf numFmtId="0" fontId="9" fillId="0" borderId="0" xfId="0" applyFont="1" applyAlignment="1">
      <alignment horizontal="left" vertical="center" indent="1"/>
    </xf>
    <xf numFmtId="9" fontId="67" fillId="0" borderId="0" xfId="1" applyFont="1" applyAlignment="1">
      <alignment horizontal="right"/>
    </xf>
    <xf numFmtId="9" fontId="67" fillId="0" borderId="0" xfId="1" applyFont="1"/>
    <xf numFmtId="9" fontId="72" fillId="0" borderId="0" xfId="1" applyFont="1" applyAlignment="1">
      <alignment vertical="center"/>
    </xf>
    <xf numFmtId="9" fontId="69" fillId="0" borderId="0" xfId="1" applyFont="1"/>
    <xf numFmtId="183" fontId="35" fillId="0" borderId="0" xfId="5" applyNumberFormat="1" applyFont="1" applyAlignment="1">
      <alignment horizontal="center"/>
    </xf>
    <xf numFmtId="166" fontId="68" fillId="0" borderId="0" xfId="0" applyNumberFormat="1" applyFont="1" applyAlignment="1">
      <alignment horizontal="center"/>
    </xf>
    <xf numFmtId="0" fontId="7" fillId="17" borderId="0" xfId="0" applyFont="1" applyFill="1"/>
    <xf numFmtId="0" fontId="7" fillId="17" borderId="3" xfId="0" applyFont="1" applyFill="1" applyBorder="1"/>
    <xf numFmtId="0" fontId="10" fillId="17" borderId="3" xfId="0" applyFont="1" applyFill="1" applyBorder="1"/>
    <xf numFmtId="0" fontId="7" fillId="17" borderId="7" xfId="0" applyFont="1" applyFill="1" applyBorder="1"/>
    <xf numFmtId="0" fontId="10" fillId="17" borderId="0" xfId="0" applyFont="1" applyFill="1"/>
    <xf numFmtId="0" fontId="23" fillId="17" borderId="0" xfId="0" applyFont="1" applyFill="1" applyAlignment="1">
      <alignment horizontal="center"/>
    </xf>
    <xf numFmtId="171" fontId="10" fillId="17" borderId="0" xfId="0" applyNumberFormat="1" applyFont="1" applyFill="1" applyAlignment="1">
      <alignment horizontal="center"/>
    </xf>
    <xf numFmtId="171" fontId="10" fillId="17" borderId="8" xfId="0" applyNumberFormat="1" applyFont="1" applyFill="1" applyBorder="1" applyAlignment="1">
      <alignment horizontal="center"/>
    </xf>
    <xf numFmtId="0" fontId="27" fillId="0" borderId="0" xfId="0" applyFont="1" applyAlignment="1">
      <alignment horizontal="left" indent="3"/>
    </xf>
    <xf numFmtId="41" fontId="27" fillId="0" borderId="0" xfId="0" applyNumberFormat="1" applyFont="1" applyAlignment="1">
      <alignment horizontal="center"/>
    </xf>
    <xf numFmtId="41" fontId="7" fillId="4" borderId="0" xfId="0" applyNumberFormat="1" applyFont="1" applyFill="1"/>
    <xf numFmtId="173" fontId="27" fillId="4" borderId="0" xfId="2" applyNumberFormat="1" applyFont="1" applyFill="1" applyBorder="1" applyAlignment="1"/>
    <xf numFmtId="42" fontId="7" fillId="4" borderId="0" xfId="0" applyNumberFormat="1" applyFont="1" applyFill="1"/>
    <xf numFmtId="42" fontId="6" fillId="4" borderId="0" xfId="0" applyNumberFormat="1" applyFont="1" applyFill="1"/>
    <xf numFmtId="199" fontId="27" fillId="4" borderId="0" xfId="0" applyNumberFormat="1" applyFont="1" applyFill="1"/>
    <xf numFmtId="182" fontId="29" fillId="4" borderId="0" xfId="0" applyNumberFormat="1" applyFont="1" applyFill="1"/>
    <xf numFmtId="167" fontId="31" fillId="5" borderId="0" xfId="0" applyNumberFormat="1" applyFont="1" applyFill="1" applyAlignment="1">
      <alignment horizontal="center"/>
    </xf>
    <xf numFmtId="0" fontId="0" fillId="5" borderId="0" xfId="0" applyFill="1"/>
    <xf numFmtId="0" fontId="6" fillId="5" borderId="0" xfId="0" applyFont="1" applyFill="1"/>
    <xf numFmtId="182" fontId="29" fillId="0" borderId="0" xfId="0" applyNumberFormat="1" applyFont="1"/>
    <xf numFmtId="0" fontId="21" fillId="0" borderId="0" xfId="0" applyFont="1"/>
    <xf numFmtId="192" fontId="10" fillId="0" borderId="0" xfId="0" applyNumberFormat="1" applyFont="1"/>
    <xf numFmtId="42" fontId="62" fillId="0" borderId="0" xfId="0" applyNumberFormat="1" applyFont="1" applyAlignment="1">
      <alignment horizontal="center"/>
    </xf>
    <xf numFmtId="42" fontId="10" fillId="0" borderId="0" xfId="0" applyNumberFormat="1" applyFont="1" applyAlignment="1">
      <alignment horizontal="center"/>
    </xf>
    <xf numFmtId="167" fontId="62" fillId="0" borderId="0" xfId="0" applyNumberFormat="1" applyFont="1" applyAlignment="1">
      <alignment horizontal="center"/>
    </xf>
    <xf numFmtId="43" fontId="42" fillId="0" borderId="0" xfId="0" applyNumberFormat="1" applyFont="1"/>
    <xf numFmtId="43" fontId="43" fillId="0" borderId="0" xfId="0" applyNumberFormat="1" applyFont="1"/>
    <xf numFmtId="0" fontId="0" fillId="0" borderId="0" xfId="0" applyAlignment="1">
      <alignment horizontal="centerContinuous" vertical="center"/>
    </xf>
    <xf numFmtId="167" fontId="10" fillId="0" borderId="0" xfId="0" applyNumberFormat="1" applyFont="1" applyAlignment="1">
      <alignment horizontal="center"/>
    </xf>
    <xf numFmtId="0" fontId="28" fillId="0" borderId="0" xfId="0" applyFont="1" applyAlignment="1">
      <alignment horizontal="centerContinuous" vertical="center" wrapText="1"/>
    </xf>
    <xf numFmtId="164" fontId="35" fillId="0" borderId="2" xfId="0" applyNumberFormat="1" applyFont="1" applyBorder="1"/>
    <xf numFmtId="41" fontId="0" fillId="0" borderId="0" xfId="0" applyNumberFormat="1"/>
    <xf numFmtId="41" fontId="62" fillId="0" borderId="0" xfId="0" applyNumberFormat="1" applyFont="1" applyAlignment="1">
      <alignment vertical="center"/>
    </xf>
    <xf numFmtId="41" fontId="16" fillId="0" borderId="2" xfId="0" applyNumberFormat="1" applyFont="1" applyBorder="1" applyAlignment="1">
      <alignment vertical="center"/>
    </xf>
    <xf numFmtId="42" fontId="16" fillId="0" borderId="0" xfId="0" applyNumberFormat="1" applyFont="1" applyAlignment="1">
      <alignment vertical="center"/>
    </xf>
    <xf numFmtId="41" fontId="62" fillId="0" borderId="0" xfId="0" applyNumberFormat="1" applyFont="1" applyAlignment="1">
      <alignment vertical="center" wrapText="1"/>
    </xf>
    <xf numFmtId="41" fontId="16" fillId="0" borderId="2" xfId="0" applyNumberFormat="1" applyFont="1" applyBorder="1" applyAlignment="1">
      <alignment vertical="center" wrapText="1"/>
    </xf>
    <xf numFmtId="41" fontId="16" fillId="4" borderId="2" xfId="0" applyNumberFormat="1" applyFont="1" applyFill="1" applyBorder="1" applyAlignment="1">
      <alignment vertical="center" wrapText="1"/>
    </xf>
    <xf numFmtId="0" fontId="16" fillId="0" borderId="0" xfId="0" applyFont="1"/>
    <xf numFmtId="4" fontId="73" fillId="0" borderId="0" xfId="0" applyNumberFormat="1" applyFont="1" applyAlignment="1">
      <alignment vertical="center"/>
    </xf>
    <xf numFmtId="41" fontId="16" fillId="0" borderId="2" xfId="0" applyNumberFormat="1" applyFont="1" applyBorder="1"/>
    <xf numFmtId="41" fontId="16" fillId="0" borderId="0" xfId="1" applyNumberFormat="1" applyFont="1"/>
  </cellXfs>
  <cellStyles count="13">
    <cellStyle name="Hyperlink" xfId="3" builtinId="8"/>
    <cellStyle name="Normal" xfId="0" builtinId="0"/>
    <cellStyle name="Normal 2" xfId="4" xr:uid="{5DAF5E9D-CB09-4CBA-B525-843D4232FA4D}"/>
    <cellStyle name="Normal 2 2" xfId="5" xr:uid="{A9A627D5-19B8-4468-A92D-C27DE844B20C}"/>
    <cellStyle name="Normal 2 2 2" xfId="12" xr:uid="{76D42F03-18AA-43E6-9D2E-EE7A485BC765}"/>
    <cellStyle name="Normal 3 2" xfId="6" xr:uid="{29384610-1529-49E8-AA06-9125F3AFA037}"/>
    <cellStyle name="Normal 3 2 2" xfId="11" xr:uid="{4237C42D-A06D-4F45-ACE0-7D4522B1E988}"/>
    <cellStyle name="Normal 3 3" xfId="8" xr:uid="{8C043DF5-7BC1-4C46-84BE-960530B11655}"/>
    <cellStyle name="Normal 3 4" xfId="10" xr:uid="{CFD8E84C-CD79-4033-949B-1967A831E3FC}"/>
    <cellStyle name="Normal 5 2" xfId="9" xr:uid="{A4265D06-F45A-48D8-AA17-F22B2D4143E8}"/>
    <cellStyle name="Note" xfId="2" builtinId="10"/>
    <cellStyle name="Percent" xfId="1" builtinId="5"/>
    <cellStyle name="TextNormal" xfId="7" xr:uid="{33FC190D-924F-4336-A4AD-7078039D59F8}"/>
  </cellStyles>
  <dxfs count="0"/>
  <tableStyles count="0" defaultTableStyle="TableStyleMedium2" defaultPivotStyle="PivotStyleLight16"/>
  <colors>
    <mruColors>
      <color rgb="FF0000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Graphs!$R$32</c:f>
          <c:strCache>
            <c:ptCount val="1"/>
            <c:pt idx="0">
              <c:v>Nebius, N.V.: Revenue, EBITDA, and Margins, Q2 to Q1-25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Graphs!$R$26:$R$29</c:f>
              <c:strCache>
                <c:ptCount val="4"/>
                <c:pt idx="0">
                  <c:v>Q2</c:v>
                </c:pt>
                <c:pt idx="1">
                  <c:v>Q3</c:v>
                </c:pt>
                <c:pt idx="2">
                  <c:v>Q4</c:v>
                </c:pt>
                <c:pt idx="3">
                  <c:v>Q1-25</c:v>
                </c:pt>
              </c:strCache>
            </c:strRef>
          </c:cat>
          <c:val>
            <c:numRef>
              <c:f>Graphs!$S$26:$S$29</c:f>
              <c:numCache>
                <c:formatCode>_(* #,##0_);_(* \(#,##0\);_(* "-"_);_(@_)</c:formatCode>
                <c:ptCount val="4"/>
                <c:pt idx="0">
                  <c:v>24900</c:v>
                </c:pt>
                <c:pt idx="1">
                  <c:v>28125</c:v>
                </c:pt>
                <c:pt idx="2">
                  <c:v>84753</c:v>
                </c:pt>
                <c:pt idx="3">
                  <c:v>159256.80000000002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0-4CDD-B1D4-4C0AD8C632AB}"/>
            </c:ext>
          </c:extLst>
        </c:ser>
        <c:ser>
          <c:idx val="1"/>
          <c:order val="1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Graphs!$R$26:$R$29</c:f>
              <c:strCache>
                <c:ptCount val="4"/>
                <c:pt idx="0">
                  <c:v>Q2</c:v>
                </c:pt>
                <c:pt idx="1">
                  <c:v>Q3</c:v>
                </c:pt>
                <c:pt idx="2">
                  <c:v>Q4</c:v>
                </c:pt>
                <c:pt idx="3">
                  <c:v>Q1-25</c:v>
                </c:pt>
              </c:strCache>
            </c:strRef>
          </c:cat>
          <c:val>
            <c:numRef>
              <c:f>Graphs!$T$26:$T$29</c:f>
              <c:numCache>
                <c:formatCode>_(* #,##0_);_(* \(#,##0\);_(* "-"_);_(@_)</c:formatCode>
                <c:ptCount val="4"/>
                <c:pt idx="0">
                  <c:v>-85998.793726741103</c:v>
                </c:pt>
                <c:pt idx="1">
                  <c:v>-30835.993104635636</c:v>
                </c:pt>
                <c:pt idx="2">
                  <c:v>74055.751472736476</c:v>
                </c:pt>
                <c:pt idx="3">
                  <c:v>172109.45894217817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A0-4CDD-B1D4-4C0AD8C63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1487615"/>
        <c:axId val="749342927"/>
      </c:barChart>
      <c:lineChart>
        <c:grouping val="standard"/>
        <c:varyColors val="0"/>
        <c:ser>
          <c:idx val="2"/>
          <c:order val="2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Graphs!$R$26:$R$29</c:f>
              <c:strCache>
                <c:ptCount val="4"/>
                <c:pt idx="0">
                  <c:v>Q2</c:v>
                </c:pt>
                <c:pt idx="1">
                  <c:v>Q3</c:v>
                </c:pt>
                <c:pt idx="2">
                  <c:v>Q4</c:v>
                </c:pt>
                <c:pt idx="3">
                  <c:v>Q1-25</c:v>
                </c:pt>
              </c:strCache>
            </c:strRef>
          </c:cat>
          <c:val>
            <c:numRef>
              <c:f>Graphs!$U$26:$U$29</c:f>
              <c:numCache>
                <c:formatCode>0%</c:formatCode>
                <c:ptCount val="4"/>
                <c:pt idx="0">
                  <c:v>-3.4537668163349839</c:v>
                </c:pt>
                <c:pt idx="1">
                  <c:v>-0.81186360829952287</c:v>
                </c:pt>
                <c:pt idx="2">
                  <c:v>0.64459419808209151</c:v>
                </c:pt>
                <c:pt idx="3">
                  <c:v>0.90157849253767752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A0-4CDD-B1D4-4C0AD8C63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4534991"/>
        <c:axId val="704534511"/>
      </c:lineChart>
      <c:catAx>
        <c:axId val="651487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342927"/>
        <c:crosses val="autoZero"/>
        <c:auto val="1"/>
        <c:lblAlgn val="ctr"/>
        <c:lblOffset val="100"/>
        <c:noMultiLvlLbl val="0"/>
      </c:catAx>
      <c:valAx>
        <c:axId val="749342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1487615"/>
        <c:crosses val="autoZero"/>
        <c:crossBetween val="between"/>
      </c:valAx>
      <c:valAx>
        <c:axId val="704534511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4534991"/>
        <c:crosses val="max"/>
        <c:crossBetween val="between"/>
      </c:valAx>
      <c:catAx>
        <c:axId val="7045349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45345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ValGraph!$O$1</c:f>
          <c:strCache>
            <c:ptCount val="1"/>
            <c:pt idx="0">
              <c:v>Nebius, N.V. Valuation - Base Case - Range of Implied Share Prices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889710691505289E-2"/>
          <c:y val="8.9983637546260625E-2"/>
          <c:w val="0.93979034383936011"/>
          <c:h val="0.80879737174018052"/>
        </c:manualLayout>
      </c:layout>
      <c:barChart>
        <c:barDir val="bar"/>
        <c:grouping val="stacked"/>
        <c:varyColors val="0"/>
        <c:ser>
          <c:idx val="0"/>
          <c:order val="1"/>
          <c:tx>
            <c:strRef>
              <c:f>ValGraph!$H$32</c:f>
              <c:strCache>
                <c:ptCount val="1"/>
                <c:pt idx="0">
                  <c:v>Min Point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ValGraph!$A$34:$A$53</c:f>
              <c:strCache>
                <c:ptCount val="20"/>
                <c:pt idx="0">
                  <c:v>(9.9% - 11.9% WACC, 5.5% - 8.5% Free Cash Flow Growth Rate</c:v>
                </c:pt>
                <c:pt idx="1">
                  <c:v>Discounted Cash Flow Analysis:</c:v>
                </c:pt>
                <c:pt idx="3">
                  <c:v>1-Month Premiums:</c:v>
                </c:pt>
                <c:pt idx="4">
                  <c:v>1-Week Premiums:</c:v>
                </c:pt>
                <c:pt idx="5">
                  <c:v>1-Day Premiums:</c:v>
                </c:pt>
                <c:pt idx="6">
                  <c:v>2024-09-29 EV / EBITDA:</c:v>
                </c:pt>
                <c:pt idx="7">
                  <c:v>2024-09-29 EV / Revenue:</c:v>
                </c:pt>
                <c:pt idx="8">
                  <c:v>Precedent Transactions:</c:v>
                </c:pt>
                <c:pt idx="10">
                  <c:v>Q2 25 P/E:</c:v>
                </c:pt>
                <c:pt idx="11">
                  <c:v>Q1 25 P/E:</c:v>
                </c:pt>
                <c:pt idx="12">
                  <c:v>Q4 24 P/E:</c:v>
                </c:pt>
                <c:pt idx="13">
                  <c:v>Q2 25 TEV / EBITA:</c:v>
                </c:pt>
                <c:pt idx="14">
                  <c:v>Q1 25 TEV / EBITA:</c:v>
                </c:pt>
                <c:pt idx="15">
                  <c:v>Q4 24 TEV / EBITA:</c:v>
                </c:pt>
                <c:pt idx="16">
                  <c:v>Q2 25 TEV / Revenue:</c:v>
                </c:pt>
                <c:pt idx="17">
                  <c:v>Q1 25 TEV / Revenue:</c:v>
                </c:pt>
                <c:pt idx="18">
                  <c:v>Q4 24 TEV / Revenue:</c:v>
                </c:pt>
                <c:pt idx="19">
                  <c:v>Public Company Comparables:</c:v>
                </c:pt>
              </c:strCache>
            </c:strRef>
          </c:cat>
          <c:val>
            <c:numRef>
              <c:f>ValGraph!$H$34:$H$52</c:f>
              <c:numCache>
                <c:formatCode>_("$"* #,##0.00_);_("$"* \(#,##0.00\);_("$"* "-"??_);_(@_)</c:formatCode>
                <c:ptCount val="19"/>
                <c:pt idx="0">
                  <c:v>53.934448206257166</c:v>
                </c:pt>
                <c:pt idx="3">
                  <c:v>15.58134128468186</c:v>
                </c:pt>
                <c:pt idx="4">
                  <c:v>20.946747251701328</c:v>
                </c:pt>
                <c:pt idx="5">
                  <c:v>19.067842738025984</c:v>
                </c:pt>
                <c:pt idx="6">
                  <c:v>10.484080990480713</c:v>
                </c:pt>
                <c:pt idx="7">
                  <c:v>12.402454732976716</c:v>
                </c:pt>
                <c:pt idx="10">
                  <c:v>21.65925333490198</c:v>
                </c:pt>
                <c:pt idx="11">
                  <c:v>16.363704239363781</c:v>
                </c:pt>
                <c:pt idx="12">
                  <c:v>16.049567284534273</c:v>
                </c:pt>
                <c:pt idx="13">
                  <c:v>21.614106140571074</c:v>
                </c:pt>
                <c:pt idx="14">
                  <c:v>16.582286906007777</c:v>
                </c:pt>
                <c:pt idx="15">
                  <c:v>9.5982887058232382</c:v>
                </c:pt>
                <c:pt idx="16">
                  <c:v>17.21710733348781</c:v>
                </c:pt>
                <c:pt idx="17">
                  <c:v>15.802445110092354</c:v>
                </c:pt>
                <c:pt idx="18">
                  <c:v>12.683662394300576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CB-4A49-B9BD-73389FD582D9}"/>
            </c:ext>
          </c:extLst>
        </c:ser>
        <c:ser>
          <c:idx val="1"/>
          <c:order val="2"/>
          <c:tx>
            <c:strRef>
              <c:f>ValGraph!$I$32</c:f>
              <c:strCache>
                <c:ptCount val="1"/>
                <c:pt idx="0">
                  <c:v>25th Point</c:v>
                </c:pt>
              </c:strCache>
            </c:strRef>
          </c:tx>
          <c:spPr>
            <a:solidFill>
              <a:schemeClr val="accent4">
                <a:shade val="7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ValGraph!$A$34:$A$53</c:f>
              <c:strCache>
                <c:ptCount val="20"/>
                <c:pt idx="0">
                  <c:v>(9.9% - 11.9% WACC, 5.5% - 8.5% Free Cash Flow Growth Rate</c:v>
                </c:pt>
                <c:pt idx="1">
                  <c:v>Discounted Cash Flow Analysis:</c:v>
                </c:pt>
                <c:pt idx="3">
                  <c:v>1-Month Premiums:</c:v>
                </c:pt>
                <c:pt idx="4">
                  <c:v>1-Week Premiums:</c:v>
                </c:pt>
                <c:pt idx="5">
                  <c:v>1-Day Premiums:</c:v>
                </c:pt>
                <c:pt idx="6">
                  <c:v>2024-09-29 EV / EBITDA:</c:v>
                </c:pt>
                <c:pt idx="7">
                  <c:v>2024-09-29 EV / Revenue:</c:v>
                </c:pt>
                <c:pt idx="8">
                  <c:v>Precedent Transactions:</c:v>
                </c:pt>
                <c:pt idx="10">
                  <c:v>Q2 25 P/E:</c:v>
                </c:pt>
                <c:pt idx="11">
                  <c:v>Q1 25 P/E:</c:v>
                </c:pt>
                <c:pt idx="12">
                  <c:v>Q4 24 P/E:</c:v>
                </c:pt>
                <c:pt idx="13">
                  <c:v>Q2 25 TEV / EBITA:</c:v>
                </c:pt>
                <c:pt idx="14">
                  <c:v>Q1 25 TEV / EBITA:</c:v>
                </c:pt>
                <c:pt idx="15">
                  <c:v>Q4 24 TEV / EBITA:</c:v>
                </c:pt>
                <c:pt idx="16">
                  <c:v>Q2 25 TEV / Revenue:</c:v>
                </c:pt>
                <c:pt idx="17">
                  <c:v>Q1 25 TEV / Revenue:</c:v>
                </c:pt>
                <c:pt idx="18">
                  <c:v>Q4 24 TEV / Revenue:</c:v>
                </c:pt>
                <c:pt idx="19">
                  <c:v>Public Company Comparables:</c:v>
                </c:pt>
              </c:strCache>
            </c:strRef>
          </c:cat>
          <c:val>
            <c:numRef>
              <c:f>ValGraph!$I$34:$I$52</c:f>
              <c:numCache>
                <c:formatCode>_("$"* #,##0.00_);_("$"* \(#,##0.00\);_("$"* "-"??_);_(@_)</c:formatCode>
                <c:ptCount val="19"/>
                <c:pt idx="0">
                  <c:v>0.88192078685692366</c:v>
                </c:pt>
                <c:pt idx="3">
                  <c:v>0.56946551153341751</c:v>
                </c:pt>
                <c:pt idx="4">
                  <c:v>2.073378700558699</c:v>
                </c:pt>
                <c:pt idx="5">
                  <c:v>0.52752972247063212</c:v>
                </c:pt>
                <c:pt idx="6">
                  <c:v>-1.2253215191109827</c:v>
                </c:pt>
                <c:pt idx="7">
                  <c:v>1.4245239490637829E-3</c:v>
                </c:pt>
                <c:pt idx="10">
                  <c:v>1.5041602400928156</c:v>
                </c:pt>
                <c:pt idx="11">
                  <c:v>1.2150873145083807</c:v>
                </c:pt>
                <c:pt idx="12">
                  <c:v>1.8938936495824557</c:v>
                </c:pt>
                <c:pt idx="13">
                  <c:v>2.3745121350457516</c:v>
                </c:pt>
                <c:pt idx="14">
                  <c:v>0.6191184351002974</c:v>
                </c:pt>
                <c:pt idx="15">
                  <c:v>-7.8369575619610998E-2</c:v>
                </c:pt>
                <c:pt idx="16">
                  <c:v>0.30906600808912899</c:v>
                </c:pt>
                <c:pt idx="17">
                  <c:v>0.3834106958583412</c:v>
                </c:pt>
                <c:pt idx="18">
                  <c:v>0.12363432637600447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CB-4A49-B9BD-73389FD582D9}"/>
            </c:ext>
          </c:extLst>
        </c:ser>
        <c:ser>
          <c:idx val="2"/>
          <c:order val="3"/>
          <c:tx>
            <c:strRef>
              <c:f>ValGraph!$J$32</c:f>
              <c:strCache>
                <c:ptCount val="1"/>
                <c:pt idx="0">
                  <c:v>Median Point</c:v>
                </c:pt>
              </c:strCache>
            </c:strRef>
          </c:tx>
          <c:spPr>
            <a:solidFill>
              <a:schemeClr val="accent4">
                <a:shade val="9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ValGraph!$A$34:$A$53</c:f>
              <c:strCache>
                <c:ptCount val="20"/>
                <c:pt idx="0">
                  <c:v>(9.9% - 11.9% WACC, 5.5% - 8.5% Free Cash Flow Growth Rate</c:v>
                </c:pt>
                <c:pt idx="1">
                  <c:v>Discounted Cash Flow Analysis:</c:v>
                </c:pt>
                <c:pt idx="3">
                  <c:v>1-Month Premiums:</c:v>
                </c:pt>
                <c:pt idx="4">
                  <c:v>1-Week Premiums:</c:v>
                </c:pt>
                <c:pt idx="5">
                  <c:v>1-Day Premiums:</c:v>
                </c:pt>
                <c:pt idx="6">
                  <c:v>2024-09-29 EV / EBITDA:</c:v>
                </c:pt>
                <c:pt idx="7">
                  <c:v>2024-09-29 EV / Revenue:</c:v>
                </c:pt>
                <c:pt idx="8">
                  <c:v>Precedent Transactions:</c:v>
                </c:pt>
                <c:pt idx="10">
                  <c:v>Q2 25 P/E:</c:v>
                </c:pt>
                <c:pt idx="11">
                  <c:v>Q1 25 P/E:</c:v>
                </c:pt>
                <c:pt idx="12">
                  <c:v>Q4 24 P/E:</c:v>
                </c:pt>
                <c:pt idx="13">
                  <c:v>Q2 25 TEV / EBITA:</c:v>
                </c:pt>
                <c:pt idx="14">
                  <c:v>Q1 25 TEV / EBITA:</c:v>
                </c:pt>
                <c:pt idx="15">
                  <c:v>Q4 24 TEV / EBITA:</c:v>
                </c:pt>
                <c:pt idx="16">
                  <c:v>Q2 25 TEV / Revenue:</c:v>
                </c:pt>
                <c:pt idx="17">
                  <c:v>Q1 25 TEV / Revenue:</c:v>
                </c:pt>
                <c:pt idx="18">
                  <c:v>Q4 24 TEV / Revenue:</c:v>
                </c:pt>
                <c:pt idx="19">
                  <c:v>Public Company Comparables:</c:v>
                </c:pt>
              </c:strCache>
            </c:strRef>
          </c:cat>
          <c:val>
            <c:numRef>
              <c:f>ValGraph!$J$34:$J$52</c:f>
              <c:numCache>
                <c:formatCode>_("$"* #,##0.00_);_("$"* \(#,##0.00\);_("$"* "-"??_);_(@_)</c:formatCode>
                <c:ptCount val="19"/>
                <c:pt idx="0">
                  <c:v>3.8662571971677551E-2</c:v>
                </c:pt>
                <c:pt idx="3">
                  <c:v>6.2936719206261778</c:v>
                </c:pt>
                <c:pt idx="4">
                  <c:v>7.823846731825487</c:v>
                </c:pt>
                <c:pt idx="5">
                  <c:v>7.1463213988922902</c:v>
                </c:pt>
                <c:pt idx="6">
                  <c:v>-0.47467672663765903</c:v>
                </c:pt>
                <c:pt idx="7">
                  <c:v>9.4017717616365459E-2</c:v>
                </c:pt>
                <c:pt idx="10">
                  <c:v>1.1286332650867088</c:v>
                </c:pt>
                <c:pt idx="11">
                  <c:v>0.14174244793149526</c:v>
                </c:pt>
                <c:pt idx="12">
                  <c:v>8.5284893946070639E-2</c:v>
                </c:pt>
                <c:pt idx="13">
                  <c:v>0.66660749431877164</c:v>
                </c:pt>
                <c:pt idx="14">
                  <c:v>0.38951196971177282</c:v>
                </c:pt>
                <c:pt idx="15">
                  <c:v>-0.22245248595210576</c:v>
                </c:pt>
                <c:pt idx="16">
                  <c:v>1.6825693066376175</c:v>
                </c:pt>
                <c:pt idx="17">
                  <c:v>1.2793042580696898</c:v>
                </c:pt>
                <c:pt idx="18">
                  <c:v>0.33234392848596883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CB-4A49-B9BD-73389FD582D9}"/>
            </c:ext>
          </c:extLst>
        </c:ser>
        <c:ser>
          <c:idx val="3"/>
          <c:order val="4"/>
          <c:tx>
            <c:strRef>
              <c:f>ValGraph!$K$32</c:f>
              <c:strCache>
                <c:ptCount val="1"/>
                <c:pt idx="0">
                  <c:v>75th Point</c:v>
                </c:pt>
              </c:strCache>
            </c:strRef>
          </c:tx>
          <c:spPr>
            <a:solidFill>
              <a:schemeClr val="accent4">
                <a:tint val="9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ValGraph!$A$34:$A$53</c:f>
              <c:strCache>
                <c:ptCount val="20"/>
                <c:pt idx="0">
                  <c:v>(9.9% - 11.9% WACC, 5.5% - 8.5% Free Cash Flow Growth Rate</c:v>
                </c:pt>
                <c:pt idx="1">
                  <c:v>Discounted Cash Flow Analysis:</c:v>
                </c:pt>
                <c:pt idx="3">
                  <c:v>1-Month Premiums:</c:v>
                </c:pt>
                <c:pt idx="4">
                  <c:v>1-Week Premiums:</c:v>
                </c:pt>
                <c:pt idx="5">
                  <c:v>1-Day Premiums:</c:v>
                </c:pt>
                <c:pt idx="6">
                  <c:v>2024-09-29 EV / EBITDA:</c:v>
                </c:pt>
                <c:pt idx="7">
                  <c:v>2024-09-29 EV / Revenue:</c:v>
                </c:pt>
                <c:pt idx="8">
                  <c:v>Precedent Transactions:</c:v>
                </c:pt>
                <c:pt idx="10">
                  <c:v>Q2 25 P/E:</c:v>
                </c:pt>
                <c:pt idx="11">
                  <c:v>Q1 25 P/E:</c:v>
                </c:pt>
                <c:pt idx="12">
                  <c:v>Q4 24 P/E:</c:v>
                </c:pt>
                <c:pt idx="13">
                  <c:v>Q2 25 TEV / EBITA:</c:v>
                </c:pt>
                <c:pt idx="14">
                  <c:v>Q1 25 TEV / EBITA:</c:v>
                </c:pt>
                <c:pt idx="15">
                  <c:v>Q4 24 TEV / EBITA:</c:v>
                </c:pt>
                <c:pt idx="16">
                  <c:v>Q2 25 TEV / Revenue:</c:v>
                </c:pt>
                <c:pt idx="17">
                  <c:v>Q1 25 TEV / Revenue:</c:v>
                </c:pt>
                <c:pt idx="18">
                  <c:v>Q4 24 TEV / Revenue:</c:v>
                </c:pt>
                <c:pt idx="19">
                  <c:v>Public Company Comparables:</c:v>
                </c:pt>
              </c:strCache>
            </c:strRef>
          </c:cat>
          <c:val>
            <c:numRef>
              <c:f>ValGraph!$K$34:$K$52</c:f>
              <c:numCache>
                <c:formatCode>_("$"* #,##0.00_);_("$"* \(#,##0.00\);_("$"* "-"??_);_(@_)</c:formatCode>
                <c:ptCount val="19"/>
                <c:pt idx="0">
                  <c:v>2.3581334810145904E-2</c:v>
                </c:pt>
                <c:pt idx="3">
                  <c:v>3.0274692461849035</c:v>
                </c:pt>
                <c:pt idx="4">
                  <c:v>3.5042181000696928</c:v>
                </c:pt>
                <c:pt idx="5">
                  <c:v>1.2881708205563562</c:v>
                </c:pt>
                <c:pt idx="6">
                  <c:v>-0.61512039360157367</c:v>
                </c:pt>
                <c:pt idx="7">
                  <c:v>0.82414418814738433</c:v>
                </c:pt>
                <c:pt idx="10">
                  <c:v>4.2266959156606134</c:v>
                </c:pt>
                <c:pt idx="11">
                  <c:v>2.1525040716689787</c:v>
                </c:pt>
                <c:pt idx="12">
                  <c:v>0.53575254304356434</c:v>
                </c:pt>
                <c:pt idx="13">
                  <c:v>4.6453068612326618</c:v>
                </c:pt>
                <c:pt idx="14">
                  <c:v>2.1128421913630682</c:v>
                </c:pt>
                <c:pt idx="15">
                  <c:v>-0.92375224402985445</c:v>
                </c:pt>
                <c:pt idx="16">
                  <c:v>2.0519853761035804</c:v>
                </c:pt>
                <c:pt idx="17">
                  <c:v>1.5434508996987297</c:v>
                </c:pt>
                <c:pt idx="18">
                  <c:v>0.24125345246167385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CB-4A49-B9BD-73389FD582D9}"/>
            </c:ext>
          </c:extLst>
        </c:ser>
        <c:ser>
          <c:idx val="4"/>
          <c:order val="5"/>
          <c:tx>
            <c:strRef>
              <c:f>ValGraph!$L$32</c:f>
              <c:strCache>
                <c:ptCount val="1"/>
                <c:pt idx="0">
                  <c:v>Max Point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ValGraph!$A$34:$A$53</c:f>
              <c:strCache>
                <c:ptCount val="20"/>
                <c:pt idx="0">
                  <c:v>(9.9% - 11.9% WACC, 5.5% - 8.5% Free Cash Flow Growth Rate</c:v>
                </c:pt>
                <c:pt idx="1">
                  <c:v>Discounted Cash Flow Analysis:</c:v>
                </c:pt>
                <c:pt idx="3">
                  <c:v>1-Month Premiums:</c:v>
                </c:pt>
                <c:pt idx="4">
                  <c:v>1-Week Premiums:</c:v>
                </c:pt>
                <c:pt idx="5">
                  <c:v>1-Day Premiums:</c:v>
                </c:pt>
                <c:pt idx="6">
                  <c:v>2024-09-29 EV / EBITDA:</c:v>
                </c:pt>
                <c:pt idx="7">
                  <c:v>2024-09-29 EV / Revenue:</c:v>
                </c:pt>
                <c:pt idx="8">
                  <c:v>Precedent Transactions:</c:v>
                </c:pt>
                <c:pt idx="10">
                  <c:v>Q2 25 P/E:</c:v>
                </c:pt>
                <c:pt idx="11">
                  <c:v>Q1 25 P/E:</c:v>
                </c:pt>
                <c:pt idx="12">
                  <c:v>Q4 24 P/E:</c:v>
                </c:pt>
                <c:pt idx="13">
                  <c:v>Q2 25 TEV / EBITA:</c:v>
                </c:pt>
                <c:pt idx="14">
                  <c:v>Q1 25 TEV / EBITA:</c:v>
                </c:pt>
                <c:pt idx="15">
                  <c:v>Q4 24 TEV / EBITA:</c:v>
                </c:pt>
                <c:pt idx="16">
                  <c:v>Q2 25 TEV / Revenue:</c:v>
                </c:pt>
                <c:pt idx="17">
                  <c:v>Q1 25 TEV / Revenue:</c:v>
                </c:pt>
                <c:pt idx="18">
                  <c:v>Q4 24 TEV / Revenue:</c:v>
                </c:pt>
                <c:pt idx="19">
                  <c:v>Public Company Comparables:</c:v>
                </c:pt>
              </c:strCache>
            </c:strRef>
          </c:cat>
          <c:val>
            <c:numRef>
              <c:f>ValGraph!$L$34:$L$52</c:f>
              <c:numCache>
                <c:formatCode>_("$"* #,##0.00_);_("$"* \(#,##0.00\);_("$"* "-"??_);_(@_)</c:formatCode>
                <c:ptCount val="19"/>
                <c:pt idx="0">
                  <c:v>0.74581493143490007</c:v>
                </c:pt>
                <c:pt idx="3">
                  <c:v>5.0239153943261883</c:v>
                </c:pt>
                <c:pt idx="4">
                  <c:v>9.7182597831057294</c:v>
                </c:pt>
                <c:pt idx="5">
                  <c:v>13.31446943220427</c:v>
                </c:pt>
                <c:pt idx="6">
                  <c:v>-3.175098383655552</c:v>
                </c:pt>
                <c:pt idx="7">
                  <c:v>0.99705540335660992</c:v>
                </c:pt>
                <c:pt idx="10">
                  <c:v>12.631902893085616</c:v>
                </c:pt>
                <c:pt idx="11">
                  <c:v>5.8896010720144218</c:v>
                </c:pt>
                <c:pt idx="12">
                  <c:v>2.6354661777141395</c:v>
                </c:pt>
                <c:pt idx="13">
                  <c:v>1.9712989937455774</c:v>
                </c:pt>
                <c:pt idx="14">
                  <c:v>0.90473343050665278</c:v>
                </c:pt>
                <c:pt idx="15">
                  <c:v>-2.4081548070048564</c:v>
                </c:pt>
                <c:pt idx="16">
                  <c:v>3.4786673713733798</c:v>
                </c:pt>
                <c:pt idx="17">
                  <c:v>2.7218007925363707</c:v>
                </c:pt>
                <c:pt idx="18">
                  <c:v>1.4174773442765591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CB-4A49-B9BD-73389FD58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3665135"/>
        <c:axId val="753660815"/>
      </c:barChart>
      <c:scatterChart>
        <c:scatterStyle val="smoothMarker"/>
        <c:varyColors val="0"/>
        <c:ser>
          <c:idx val="5"/>
          <c:order val="0"/>
          <c:tx>
            <c:strRef>
              <c:f>ValGraph!$A$54</c:f>
              <c:strCache>
                <c:ptCount val="1"/>
                <c:pt idx="0">
                  <c:v>Current Share Price: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ValGraph!$B$54:$F$54</c:f>
              <c:numCache>
                <c:formatCode>_("$"* #,##0.00_);_("$"* \(#,##0.00\);_("$"* "-"??_);_(@_)</c:formatCode>
                <c:ptCount val="5"/>
                <c:pt idx="0">
                  <c:v>26.71</c:v>
                </c:pt>
                <c:pt idx="1">
                  <c:v>26.71</c:v>
                </c:pt>
                <c:pt idx="2">
                  <c:v>26.71</c:v>
                </c:pt>
                <c:pt idx="3">
                  <c:v>26.71</c:v>
                </c:pt>
                <c:pt idx="4">
                  <c:v>26.71</c:v>
                </c:pt>
              </c:numCache>
            </c:numRef>
          </c:xVal>
          <c:yVal>
            <c:numRef>
              <c:f>ValGraph!$H$54:$L$54</c:f>
              <c:numCache>
                <c:formatCode>_("$"* #,##0.00_);_("$"* \(#,##0.00\);_("$"* "-"??_);_(@_)</c:formatCode>
                <c:ptCount val="5"/>
                <c:pt idx="0">
                  <c:v>1000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1CB-4A49-B9BD-73389FD58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6475135"/>
        <c:axId val="1766489055"/>
      </c:scatterChart>
      <c:catAx>
        <c:axId val="7536651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660815"/>
        <c:crosses val="autoZero"/>
        <c:auto val="1"/>
        <c:lblAlgn val="ctr"/>
        <c:lblOffset val="100"/>
        <c:noMultiLvlLbl val="0"/>
      </c:catAx>
      <c:valAx>
        <c:axId val="75366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665135"/>
        <c:crosses val="autoZero"/>
        <c:crossBetween val="between"/>
      </c:valAx>
      <c:valAx>
        <c:axId val="1766489055"/>
        <c:scaling>
          <c:orientation val="minMax"/>
          <c:max val="1000"/>
          <c:min val="0"/>
        </c:scaling>
        <c:delete val="1"/>
        <c:axPos val="r"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766475135"/>
        <c:crosses val="max"/>
        <c:crossBetween val="midCat"/>
      </c:valAx>
      <c:valAx>
        <c:axId val="1766475135"/>
        <c:scaling>
          <c:orientation val="minMax"/>
        </c:scaling>
        <c:delete val="1"/>
        <c:axPos val="b"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7664890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Graphs!$R$62</c:f>
          <c:strCache>
            <c:ptCount val="1"/>
            <c:pt idx="0">
              <c:v>Annual Revenue,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Graphs!$R$36:$R$42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Graphs!$S$36:$S$42</c:f>
              <c:numCache>
                <c:formatCode>_("$"* #,##0_);_("$"* \(#,##0\);_("$"* "-"_);_(@_)</c:formatCode>
                <c:ptCount val="7"/>
                <c:pt idx="0">
                  <c:v>4334.6950399999996</c:v>
                </c:pt>
                <c:pt idx="1">
                  <c:v>7765.9920000000002</c:v>
                </c:pt>
                <c:pt idx="2">
                  <c:v>2983.6180500000005</c:v>
                </c:pt>
                <c:pt idx="3">
                  <c:v>18300.8</c:v>
                </c:pt>
                <c:pt idx="4">
                  <c:v>10346.44</c:v>
                </c:pt>
                <c:pt idx="5">
                  <c:v>7185.9000000000005</c:v>
                </c:pt>
                <c:pt idx="6">
                  <c:v>176.952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9-40EB-9885-053C065ADBD9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Graphs!$R$36:$R$42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Graphs!$T$36:$T$42</c:f>
              <c:numCache>
                <c:formatCode>_("$"* #,##0_);_("$"* \(#,##0\);_("$"* "-"_);_(@_)</c:formatCode>
                <c:ptCount val="7"/>
                <c:pt idx="0">
                  <c:v>4508.0828415999995</c:v>
                </c:pt>
                <c:pt idx="1">
                  <c:v>8076.6316800000004</c:v>
                </c:pt>
                <c:pt idx="2">
                  <c:v>3132.7989525000007</c:v>
                </c:pt>
                <c:pt idx="3">
                  <c:v>19215.84</c:v>
                </c:pt>
                <c:pt idx="4">
                  <c:v>10449.904400000001</c:v>
                </c:pt>
                <c:pt idx="5">
                  <c:v>7545.1950000000006</c:v>
                </c:pt>
                <c:pt idx="6">
                  <c:v>242.214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79-40EB-9885-053C065AD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4904815"/>
        <c:axId val="704911535"/>
      </c:barChart>
      <c:catAx>
        <c:axId val="704904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4911535"/>
        <c:crosses val="autoZero"/>
        <c:auto val="1"/>
        <c:lblAlgn val="ctr"/>
        <c:lblOffset val="100"/>
        <c:noMultiLvlLbl val="0"/>
      </c:catAx>
      <c:valAx>
        <c:axId val="704911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4904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Graphs!$R$63</c:f>
          <c:strCache>
            <c:ptCount val="1"/>
            <c:pt idx="0">
              <c:v>Annual EBITDA,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Graphs!$R$36:$R$42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Graphs!$V$36:$V$42</c:f>
              <c:numCache>
                <c:formatCode>_("$"* #,##0_);_("$"* \(#,##0\);_("$"* "-"_);_(@_)</c:formatCode>
                <c:ptCount val="7"/>
                <c:pt idx="0">
                  <c:v>1513.31565</c:v>
                </c:pt>
                <c:pt idx="1">
                  <c:v>2810.7449999999999</c:v>
                </c:pt>
                <c:pt idx="2">
                  <c:v>1719.4678899999999</c:v>
                </c:pt>
                <c:pt idx="3">
                  <c:v>8636.8000000000011</c:v>
                </c:pt>
                <c:pt idx="4">
                  <c:v>3263.31</c:v>
                </c:pt>
                <c:pt idx="5">
                  <c:v>2174.5500000000002</c:v>
                </c:pt>
                <c:pt idx="6">
                  <c:v>74.055751472736475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09-4775-A293-85E269B81971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Graphs!$R$36:$R$42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Graphs!$W$36:$W$42</c:f>
              <c:numCache>
                <c:formatCode>_("$"* #,##0_);_("$"* \(#,##0\);_("$"* "-"_);_(@_)</c:formatCode>
                <c:ptCount val="7"/>
                <c:pt idx="0">
                  <c:v>1588.9814325</c:v>
                </c:pt>
                <c:pt idx="1">
                  <c:v>2951.2822500000002</c:v>
                </c:pt>
                <c:pt idx="2">
                  <c:v>1942.9987156999996</c:v>
                </c:pt>
                <c:pt idx="3">
                  <c:v>9068.6400000000012</c:v>
                </c:pt>
                <c:pt idx="4">
                  <c:v>3328.5762</c:v>
                </c:pt>
                <c:pt idx="5">
                  <c:v>2261.5320000000002</c:v>
                </c:pt>
                <c:pt idx="6">
                  <c:v>172.10945894217818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09-4775-A293-85E269B81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2922719"/>
        <c:axId val="1782923679"/>
      </c:barChart>
      <c:catAx>
        <c:axId val="1782922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2923679"/>
        <c:crosses val="autoZero"/>
        <c:auto val="1"/>
        <c:lblAlgn val="ctr"/>
        <c:lblOffset val="100"/>
        <c:noMultiLvlLbl val="0"/>
      </c:catAx>
      <c:valAx>
        <c:axId val="1782923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2922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Multiples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615-46ED-9497-77666AA7674F}"/>
              </c:ext>
            </c:extLst>
          </c:dPt>
          <c:cat>
            <c:strRef>
              <c:f>Graphs!$R$36:$R$42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Graphs!$Y$36:$Y$42</c:f>
              <c:numCache>
                <c:formatCode>0.0\ \x</c:formatCode>
                <c:ptCount val="7"/>
                <c:pt idx="0">
                  <c:v>5.3959076265259025</c:v>
                </c:pt>
                <c:pt idx="1">
                  <c:v>8.4361779667040597</c:v>
                </c:pt>
                <c:pt idx="2">
                  <c:v>7.4770222766952337</c:v>
                </c:pt>
                <c:pt idx="3">
                  <c:v>11.299929811811504</c:v>
                </c:pt>
                <c:pt idx="4">
                  <c:v>4.5405496963206664</c:v>
                </c:pt>
                <c:pt idx="5">
                  <c:v>4.8383438400200394</c:v>
                </c:pt>
                <c:pt idx="6">
                  <c:v>4.2444797176635474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15-46ED-9497-77666AA7674F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615-46ED-9497-77666AA7674F}"/>
              </c:ext>
            </c:extLst>
          </c:dPt>
          <c:cat>
            <c:strRef>
              <c:f>Graphs!$R$36:$R$42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Graphs!$Z$36:$Z$42</c:f>
              <c:numCache>
                <c:formatCode>0.0\ \x</c:formatCode>
                <c:ptCount val="7"/>
                <c:pt idx="0">
                  <c:v>5.1883727178133681</c:v>
                </c:pt>
                <c:pt idx="1">
                  <c:v>8.1117095833692883</c:v>
                </c:pt>
                <c:pt idx="2">
                  <c:v>7.1209735968526031</c:v>
                </c:pt>
                <c:pt idx="3">
                  <c:v>10.761837916010956</c:v>
                </c:pt>
                <c:pt idx="4">
                  <c:v>4.4955937587333326</c:v>
                </c:pt>
                <c:pt idx="5">
                  <c:v>4.6079465143047997</c:v>
                </c:pt>
                <c:pt idx="6">
                  <c:v>3.1008495586547435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15-46ED-9497-77666AA767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6495615"/>
        <c:axId val="756496095"/>
      </c:barChart>
      <c:catAx>
        <c:axId val="756495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496095"/>
        <c:crosses val="autoZero"/>
        <c:auto val="1"/>
        <c:lblAlgn val="ctr"/>
        <c:lblOffset val="100"/>
        <c:noMultiLvlLbl val="0"/>
      </c:catAx>
      <c:valAx>
        <c:axId val="756496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495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EBITDA Multiples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E51-4563-A789-F3D9297539E1}"/>
              </c:ext>
            </c:extLst>
          </c:dPt>
          <c:cat>
            <c:strRef>
              <c:f>Graphs!$R$36:$R$42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Graphs!$AC$36:$AC$42</c:f>
              <c:numCache>
                <c:formatCode>0.0\ \x</c:formatCode>
                <c:ptCount val="7"/>
                <c:pt idx="0">
                  <c:v>14.719878751635443</c:v>
                </c:pt>
                <c:pt idx="1">
                  <c:v>22.198924077830913</c:v>
                </c:pt>
                <c:pt idx="2">
                  <c:v>11.481520005515257</c:v>
                </c:pt>
                <c:pt idx="3">
                  <c:v>22.80361283500061</c:v>
                </c:pt>
                <c:pt idx="4">
                  <c:v>14.113699725426143</c:v>
                </c:pt>
                <c:pt idx="5">
                  <c:v>15.373585251059902</c:v>
                </c:pt>
                <c:pt idx="6">
                  <c:v>4.3639041085611048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51-4563-A789-F3D9297539E1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val>
            <c:numRef>
              <c:f>Graphs!$AB$36:$AB$42</c:f>
              <c:numCache>
                <c:formatCode>0.0\ \x</c:formatCode>
                <c:ptCount val="7"/>
                <c:pt idx="0">
                  <c:v>15.455872689217216</c:v>
                </c:pt>
                <c:pt idx="1">
                  <c:v>23.308870281722459</c:v>
                </c:pt>
                <c:pt idx="2">
                  <c:v>12.974117606232239</c:v>
                </c:pt>
                <c:pt idx="3">
                  <c:v>23.943793476750642</c:v>
                </c:pt>
                <c:pt idx="4">
                  <c:v>14.395973719934666</c:v>
                </c:pt>
                <c:pt idx="5">
                  <c:v>15.988528661102297</c:v>
                </c:pt>
                <c:pt idx="6">
                  <c:v>10.141942523890332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51-4563-A789-F3D929753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824111"/>
        <c:axId val="707824591"/>
      </c:barChart>
      <c:catAx>
        <c:axId val="707824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7824591"/>
        <c:crosses val="autoZero"/>
        <c:auto val="1"/>
        <c:lblAlgn val="ctr"/>
        <c:lblOffset val="100"/>
        <c:noMultiLvlLbl val="0"/>
      </c:catAx>
      <c:valAx>
        <c:axId val="707824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782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Graphs!$R$65</c:f>
          <c:strCache>
            <c:ptCount val="1"/>
            <c:pt idx="0">
              <c:v>Projected Revenue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E99-4782-8EDF-DE04D615D2A2}"/>
              </c:ext>
            </c:extLst>
          </c:dPt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Graphs!$S$47:$S$53</c:f>
              <c:numCache>
                <c:formatCode>0%</c:formatCode>
                <c:ptCount val="7"/>
                <c:pt idx="0">
                  <c:v>4.0000000000000036E-2</c:v>
                </c:pt>
                <c:pt idx="1">
                  <c:v>4.0000000000000036E-2</c:v>
                </c:pt>
                <c:pt idx="2">
                  <c:v>5.0000000000000044E-2</c:v>
                </c:pt>
                <c:pt idx="3">
                  <c:v>5.0000000000000044E-2</c:v>
                </c:pt>
                <c:pt idx="4">
                  <c:v>1.0000000000000009E-2</c:v>
                </c:pt>
                <c:pt idx="5">
                  <c:v>5.0000000000000044E-2</c:v>
                </c:pt>
                <c:pt idx="6">
                  <c:v>0.36881188118811892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99-4782-8EDF-DE04D615D2A2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E99-4782-8EDF-DE04D615D2A2}"/>
              </c:ext>
            </c:extLst>
          </c:dPt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Graphs!$T$47:$T$53</c:f>
              <c:numCache>
                <c:formatCode>_(0.0%_);\(0.0%\);_("–"_)_%;_(@_)_%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 formatCode="0%">
                  <c:v>0.36881188118811892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99-4782-8EDF-DE04D615D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50862223"/>
        <c:axId val="750862703"/>
      </c:barChart>
      <c:catAx>
        <c:axId val="75086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862703"/>
        <c:crosses val="autoZero"/>
        <c:auto val="1"/>
        <c:lblAlgn val="ctr"/>
        <c:lblOffset val="100"/>
        <c:noMultiLvlLbl val="0"/>
      </c:catAx>
      <c:valAx>
        <c:axId val="750862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862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Graphs!$R$66</c:f>
          <c:strCache>
            <c:ptCount val="1"/>
            <c:pt idx="0">
              <c:v>Projected EBITDA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834-48AA-915C-758BF165113C}"/>
              </c:ext>
            </c:extLst>
          </c:dPt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Graphs!$V$47:$V$53</c:f>
              <c:numCache>
                <c:formatCode>0%</c:formatCode>
                <c:ptCount val="7"/>
                <c:pt idx="0">
                  <c:v>5.0000000000000044E-2</c:v>
                </c:pt>
                <c:pt idx="1">
                  <c:v>5.0000000000000044E-2</c:v>
                </c:pt>
                <c:pt idx="2">
                  <c:v>0.12999999999999989</c:v>
                </c:pt>
                <c:pt idx="3">
                  <c:v>5.0000000000000044E-2</c:v>
                </c:pt>
                <c:pt idx="4">
                  <c:v>2.0000000000000018E-2</c:v>
                </c:pt>
                <c:pt idx="5">
                  <c:v>4.0000000000000036E-2</c:v>
                </c:pt>
                <c:pt idx="6">
                  <c:v>1.3240525620152548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34-48AA-915C-758BF165113C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Graphs!$W$47:$W$53</c:f>
              <c:numCache>
                <c:formatCode>_(0.0%_);\(0.0%\);_("–"_)_%;_(@_)_%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6" formatCode="0%">
                  <c:v>1.3240525620152548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34-48AA-915C-758BF1651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092194639"/>
        <c:axId val="1092195119"/>
      </c:barChart>
      <c:catAx>
        <c:axId val="1092194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195119"/>
        <c:crosses val="autoZero"/>
        <c:auto val="1"/>
        <c:lblAlgn val="ctr"/>
        <c:lblOffset val="100"/>
        <c:noMultiLvlLbl val="0"/>
      </c:catAx>
      <c:valAx>
        <c:axId val="1092195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194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Graphs!$R$68</c:f>
          <c:strCache>
            <c:ptCount val="1"/>
            <c:pt idx="0">
              <c:v>FY26 Revenue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53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3A7-46B8-A44D-FE91B2F7D7A6}"/>
              </c:ext>
            </c:extLst>
          </c:dPt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Graphs!$Y$47:$Y$53</c:f>
              <c:numCache>
                <c:formatCode>0.0\ \x</c:formatCode>
                <c:ptCount val="7"/>
                <c:pt idx="0">
                  <c:v>5.1883727178133681</c:v>
                </c:pt>
                <c:pt idx="1">
                  <c:v>8.1117095833692883</c:v>
                </c:pt>
                <c:pt idx="2">
                  <c:v>7.1209735968526031</c:v>
                </c:pt>
                <c:pt idx="3">
                  <c:v>10.761837916010956</c:v>
                </c:pt>
                <c:pt idx="4">
                  <c:v>4.4955937587333326</c:v>
                </c:pt>
                <c:pt idx="5">
                  <c:v>4.6079465143047997</c:v>
                </c:pt>
                <c:pt idx="6">
                  <c:v>3.1008495586547435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A7-46B8-A44D-FE91B2F7D7A6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3A7-46B8-A44D-FE91B2F7D7A6}"/>
              </c:ext>
            </c:extLst>
          </c:dPt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Graphs!$Z$47:$Z$53</c:f>
              <c:numCache>
                <c:formatCode>0.0\ \x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3.1008495586547435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A7-46B8-A44D-FE91B2F7D7A6}"/>
            </c:ext>
          </c:extLst>
        </c:ser>
        <c:ser>
          <c:idx val="2"/>
          <c:order val="2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Graphs!$AA$47:$AA$53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2-33A7-46B8-A44D-FE91B2F7D7A6}"/>
            </c:ext>
          </c:extLst>
        </c:ser>
        <c:ser>
          <c:idx val="3"/>
          <c:order val="3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33A7-46B8-A44D-FE91B2F7D7A6}"/>
              </c:ext>
            </c:extLst>
          </c:dPt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Graphs!$AB$47:$AB$53</c:f>
              <c:numCache>
                <c:formatCode>0.0\ \x</c:formatCode>
                <c:ptCount val="7"/>
                <c:pt idx="0">
                  <c:v>14.719878751635443</c:v>
                </c:pt>
                <c:pt idx="1">
                  <c:v>22.198924077830913</c:v>
                </c:pt>
                <c:pt idx="2">
                  <c:v>11.481520005515257</c:v>
                </c:pt>
                <c:pt idx="3">
                  <c:v>22.80361283500061</c:v>
                </c:pt>
                <c:pt idx="4">
                  <c:v>14.113699725426143</c:v>
                </c:pt>
                <c:pt idx="5">
                  <c:v>15.373585251059902</c:v>
                </c:pt>
                <c:pt idx="6">
                  <c:v>4.3639041085611048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A7-46B8-A44D-FE91B2F7D7A6}"/>
            </c:ext>
          </c:extLst>
        </c:ser>
        <c:ser>
          <c:idx val="4"/>
          <c:order val="4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Graphs!$R$47:$R$53</c:f>
              <c:strCache>
                <c:ptCount val="7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  <c:pt idx="6">
                  <c:v>NBIS</c:v>
                </c:pt>
              </c:strCache>
            </c:strRef>
          </c:cat>
          <c:val>
            <c:numRef>
              <c:f>Graphs!$AC$47:$AC$53</c:f>
              <c:numCache>
                <c:formatCode>0.0\ \x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4.3639041085611048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A7-46B8-A44D-FE91B2F7D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1274111"/>
        <c:axId val="1091277951"/>
      </c:barChart>
      <c:catAx>
        <c:axId val="1091274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277951"/>
        <c:crosses val="autoZero"/>
        <c:auto val="1"/>
        <c:lblAlgn val="ctr"/>
        <c:lblOffset val="100"/>
        <c:noMultiLvlLbl val="0"/>
      </c:catAx>
      <c:valAx>
        <c:axId val="1091277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274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NBIS Price / Volume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Graphs!$T$76</c:f>
              <c:strCache>
                <c:ptCount val="1"/>
                <c:pt idx="0">
                  <c:v>Volume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Graphs!$R$77:$R$122</c:f>
              <c:numCache>
                <c:formatCode>d\-mmm\-yy</c:formatCode>
                <c:ptCount val="46"/>
                <c:pt idx="0">
                  <c:v>45650</c:v>
                </c:pt>
                <c:pt idx="1">
                  <c:v>45649</c:v>
                </c:pt>
                <c:pt idx="2">
                  <c:v>45646</c:v>
                </c:pt>
                <c:pt idx="3">
                  <c:v>45645</c:v>
                </c:pt>
                <c:pt idx="4">
                  <c:v>45644</c:v>
                </c:pt>
                <c:pt idx="5">
                  <c:v>45643</c:v>
                </c:pt>
                <c:pt idx="6">
                  <c:v>45642</c:v>
                </c:pt>
                <c:pt idx="7">
                  <c:v>45639</c:v>
                </c:pt>
                <c:pt idx="8">
                  <c:v>45638</c:v>
                </c:pt>
                <c:pt idx="9">
                  <c:v>45637</c:v>
                </c:pt>
                <c:pt idx="10">
                  <c:v>45636</c:v>
                </c:pt>
                <c:pt idx="11">
                  <c:v>45635</c:v>
                </c:pt>
                <c:pt idx="12">
                  <c:v>45632</c:v>
                </c:pt>
                <c:pt idx="13">
                  <c:v>45631</c:v>
                </c:pt>
                <c:pt idx="14">
                  <c:v>45630</c:v>
                </c:pt>
                <c:pt idx="15">
                  <c:v>45629</c:v>
                </c:pt>
                <c:pt idx="16">
                  <c:v>45628</c:v>
                </c:pt>
                <c:pt idx="17">
                  <c:v>45625</c:v>
                </c:pt>
                <c:pt idx="18">
                  <c:v>45623</c:v>
                </c:pt>
                <c:pt idx="19">
                  <c:v>45622</c:v>
                </c:pt>
                <c:pt idx="20">
                  <c:v>45621</c:v>
                </c:pt>
                <c:pt idx="21">
                  <c:v>45618</c:v>
                </c:pt>
                <c:pt idx="22">
                  <c:v>45617</c:v>
                </c:pt>
                <c:pt idx="23">
                  <c:v>45616</c:v>
                </c:pt>
                <c:pt idx="24">
                  <c:v>45615</c:v>
                </c:pt>
                <c:pt idx="25">
                  <c:v>45614</c:v>
                </c:pt>
                <c:pt idx="26">
                  <c:v>45611</c:v>
                </c:pt>
                <c:pt idx="27">
                  <c:v>45610</c:v>
                </c:pt>
                <c:pt idx="28">
                  <c:v>45609</c:v>
                </c:pt>
                <c:pt idx="29">
                  <c:v>45608</c:v>
                </c:pt>
                <c:pt idx="30">
                  <c:v>45607</c:v>
                </c:pt>
                <c:pt idx="31">
                  <c:v>45604</c:v>
                </c:pt>
                <c:pt idx="32">
                  <c:v>45603</c:v>
                </c:pt>
                <c:pt idx="33">
                  <c:v>45602</c:v>
                </c:pt>
                <c:pt idx="34">
                  <c:v>45601</c:v>
                </c:pt>
                <c:pt idx="35">
                  <c:v>45600</c:v>
                </c:pt>
                <c:pt idx="36">
                  <c:v>45597</c:v>
                </c:pt>
                <c:pt idx="37">
                  <c:v>45596</c:v>
                </c:pt>
                <c:pt idx="38">
                  <c:v>45595</c:v>
                </c:pt>
                <c:pt idx="39">
                  <c:v>45594</c:v>
                </c:pt>
                <c:pt idx="40">
                  <c:v>45593</c:v>
                </c:pt>
                <c:pt idx="41">
                  <c:v>45590</c:v>
                </c:pt>
                <c:pt idx="42">
                  <c:v>45589</c:v>
                </c:pt>
                <c:pt idx="43">
                  <c:v>45588</c:v>
                </c:pt>
                <c:pt idx="44">
                  <c:v>45587</c:v>
                </c:pt>
                <c:pt idx="45">
                  <c:v>45586</c:v>
                </c:pt>
              </c:numCache>
            </c:numRef>
          </c:cat>
          <c:val>
            <c:numRef>
              <c:f>Graphs!$T$77:$T$122</c:f>
              <c:numCache>
                <c:formatCode>#,##0</c:formatCode>
                <c:ptCount val="46"/>
                <c:pt idx="0">
                  <c:v>2872609</c:v>
                </c:pt>
                <c:pt idx="1">
                  <c:v>5599000</c:v>
                </c:pt>
                <c:pt idx="2">
                  <c:v>5560000</c:v>
                </c:pt>
                <c:pt idx="3">
                  <c:v>6797700</c:v>
                </c:pt>
                <c:pt idx="4">
                  <c:v>8765100</c:v>
                </c:pt>
                <c:pt idx="5">
                  <c:v>7593500</c:v>
                </c:pt>
                <c:pt idx="6">
                  <c:v>7562000</c:v>
                </c:pt>
                <c:pt idx="7">
                  <c:v>7228800</c:v>
                </c:pt>
                <c:pt idx="8">
                  <c:v>5684700</c:v>
                </c:pt>
                <c:pt idx="9">
                  <c:v>6029900</c:v>
                </c:pt>
                <c:pt idx="10">
                  <c:v>9979100</c:v>
                </c:pt>
                <c:pt idx="11">
                  <c:v>16659000</c:v>
                </c:pt>
                <c:pt idx="12">
                  <c:v>14708300</c:v>
                </c:pt>
                <c:pt idx="13">
                  <c:v>10374700</c:v>
                </c:pt>
                <c:pt idx="14">
                  <c:v>24007700</c:v>
                </c:pt>
                <c:pt idx="15">
                  <c:v>22322100</c:v>
                </c:pt>
                <c:pt idx="16">
                  <c:v>17142200</c:v>
                </c:pt>
                <c:pt idx="17">
                  <c:v>2856200</c:v>
                </c:pt>
                <c:pt idx="18">
                  <c:v>2595100</c:v>
                </c:pt>
                <c:pt idx="19">
                  <c:v>2444200</c:v>
                </c:pt>
                <c:pt idx="20">
                  <c:v>6115800</c:v>
                </c:pt>
                <c:pt idx="21">
                  <c:v>4336900</c:v>
                </c:pt>
                <c:pt idx="22">
                  <c:v>3639800</c:v>
                </c:pt>
                <c:pt idx="23">
                  <c:v>3861700</c:v>
                </c:pt>
                <c:pt idx="24">
                  <c:v>4774000</c:v>
                </c:pt>
                <c:pt idx="25">
                  <c:v>1782300</c:v>
                </c:pt>
                <c:pt idx="26">
                  <c:v>2010600</c:v>
                </c:pt>
                <c:pt idx="27">
                  <c:v>2164500</c:v>
                </c:pt>
                <c:pt idx="28">
                  <c:v>2088900</c:v>
                </c:pt>
                <c:pt idx="29">
                  <c:v>2125500</c:v>
                </c:pt>
                <c:pt idx="30">
                  <c:v>2907500</c:v>
                </c:pt>
                <c:pt idx="31">
                  <c:v>2355700</c:v>
                </c:pt>
                <c:pt idx="32">
                  <c:v>2570100</c:v>
                </c:pt>
                <c:pt idx="33">
                  <c:v>4143700</c:v>
                </c:pt>
                <c:pt idx="34">
                  <c:v>12434700</c:v>
                </c:pt>
                <c:pt idx="35">
                  <c:v>4185000</c:v>
                </c:pt>
                <c:pt idx="36">
                  <c:v>3981500</c:v>
                </c:pt>
                <c:pt idx="37">
                  <c:v>4580400</c:v>
                </c:pt>
                <c:pt idx="38">
                  <c:v>22991900</c:v>
                </c:pt>
                <c:pt idx="39">
                  <c:v>7398100</c:v>
                </c:pt>
                <c:pt idx="40">
                  <c:v>13233100</c:v>
                </c:pt>
                <c:pt idx="41">
                  <c:v>6748200</c:v>
                </c:pt>
                <c:pt idx="42">
                  <c:v>7851700</c:v>
                </c:pt>
                <c:pt idx="43">
                  <c:v>9849800</c:v>
                </c:pt>
                <c:pt idx="44">
                  <c:v>6444000</c:v>
                </c:pt>
                <c:pt idx="45">
                  <c:v>13616800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C3-4F3C-929C-26E79772AE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2"/>
        <c:axId val="753657935"/>
        <c:axId val="753658895"/>
      </c:barChart>
      <c:lineChart>
        <c:grouping val="standard"/>
        <c:varyColors val="0"/>
        <c:ser>
          <c:idx val="0"/>
          <c:order val="0"/>
          <c:tx>
            <c:strRef>
              <c:f>Graphs!$S$76</c:f>
              <c:strCache>
                <c:ptCount val="1"/>
                <c:pt idx="0">
                  <c:v>Share Price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Graphs!$R$77:$R$122</c:f>
              <c:numCache>
                <c:formatCode>d\-mmm\-yy</c:formatCode>
                <c:ptCount val="46"/>
                <c:pt idx="0">
                  <c:v>45650</c:v>
                </c:pt>
                <c:pt idx="1">
                  <c:v>45649</c:v>
                </c:pt>
                <c:pt idx="2">
                  <c:v>45646</c:v>
                </c:pt>
                <c:pt idx="3">
                  <c:v>45645</c:v>
                </c:pt>
                <c:pt idx="4">
                  <c:v>45644</c:v>
                </c:pt>
                <c:pt idx="5">
                  <c:v>45643</c:v>
                </c:pt>
                <c:pt idx="6">
                  <c:v>45642</c:v>
                </c:pt>
                <c:pt idx="7">
                  <c:v>45639</c:v>
                </c:pt>
                <c:pt idx="8">
                  <c:v>45638</c:v>
                </c:pt>
                <c:pt idx="9">
                  <c:v>45637</c:v>
                </c:pt>
                <c:pt idx="10">
                  <c:v>45636</c:v>
                </c:pt>
                <c:pt idx="11">
                  <c:v>45635</c:v>
                </c:pt>
                <c:pt idx="12">
                  <c:v>45632</c:v>
                </c:pt>
                <c:pt idx="13">
                  <c:v>45631</c:v>
                </c:pt>
                <c:pt idx="14">
                  <c:v>45630</c:v>
                </c:pt>
                <c:pt idx="15">
                  <c:v>45629</c:v>
                </c:pt>
                <c:pt idx="16">
                  <c:v>45628</c:v>
                </c:pt>
                <c:pt idx="17">
                  <c:v>45625</c:v>
                </c:pt>
                <c:pt idx="18">
                  <c:v>45623</c:v>
                </c:pt>
                <c:pt idx="19">
                  <c:v>45622</c:v>
                </c:pt>
                <c:pt idx="20">
                  <c:v>45621</c:v>
                </c:pt>
                <c:pt idx="21">
                  <c:v>45618</c:v>
                </c:pt>
                <c:pt idx="22">
                  <c:v>45617</c:v>
                </c:pt>
                <c:pt idx="23">
                  <c:v>45616</c:v>
                </c:pt>
                <c:pt idx="24">
                  <c:v>45615</c:v>
                </c:pt>
                <c:pt idx="25">
                  <c:v>45614</c:v>
                </c:pt>
                <c:pt idx="26">
                  <c:v>45611</c:v>
                </c:pt>
                <c:pt idx="27">
                  <c:v>45610</c:v>
                </c:pt>
                <c:pt idx="28">
                  <c:v>45609</c:v>
                </c:pt>
                <c:pt idx="29">
                  <c:v>45608</c:v>
                </c:pt>
                <c:pt idx="30">
                  <c:v>45607</c:v>
                </c:pt>
                <c:pt idx="31">
                  <c:v>45604</c:v>
                </c:pt>
                <c:pt idx="32">
                  <c:v>45603</c:v>
                </c:pt>
                <c:pt idx="33">
                  <c:v>45602</c:v>
                </c:pt>
                <c:pt idx="34">
                  <c:v>45601</c:v>
                </c:pt>
                <c:pt idx="35">
                  <c:v>45600</c:v>
                </c:pt>
                <c:pt idx="36">
                  <c:v>45597</c:v>
                </c:pt>
                <c:pt idx="37">
                  <c:v>45596</c:v>
                </c:pt>
                <c:pt idx="38">
                  <c:v>45595</c:v>
                </c:pt>
                <c:pt idx="39">
                  <c:v>45594</c:v>
                </c:pt>
                <c:pt idx="40">
                  <c:v>45593</c:v>
                </c:pt>
                <c:pt idx="41">
                  <c:v>45590</c:v>
                </c:pt>
                <c:pt idx="42">
                  <c:v>45589</c:v>
                </c:pt>
                <c:pt idx="43">
                  <c:v>45588</c:v>
                </c:pt>
                <c:pt idx="44">
                  <c:v>45587</c:v>
                </c:pt>
                <c:pt idx="45">
                  <c:v>45586</c:v>
                </c:pt>
              </c:numCache>
            </c:numRef>
          </c:cat>
          <c:val>
            <c:numRef>
              <c:f>Graphs!$S$77:$S$122</c:f>
              <c:numCache>
                <c:formatCode>General</c:formatCode>
                <c:ptCount val="46"/>
                <c:pt idx="0">
                  <c:v>28.77</c:v>
                </c:pt>
                <c:pt idx="1">
                  <c:v>27.04</c:v>
                </c:pt>
                <c:pt idx="2">
                  <c:v>26.49</c:v>
                </c:pt>
                <c:pt idx="3">
                  <c:v>27.74</c:v>
                </c:pt>
                <c:pt idx="4">
                  <c:v>28.94</c:v>
                </c:pt>
                <c:pt idx="5">
                  <c:v>33</c:v>
                </c:pt>
                <c:pt idx="6">
                  <c:v>30.78</c:v>
                </c:pt>
                <c:pt idx="7">
                  <c:v>31.63</c:v>
                </c:pt>
                <c:pt idx="8">
                  <c:v>32.36</c:v>
                </c:pt>
                <c:pt idx="9">
                  <c:v>34.4</c:v>
                </c:pt>
                <c:pt idx="10">
                  <c:v>32.71</c:v>
                </c:pt>
                <c:pt idx="11">
                  <c:v>38.57</c:v>
                </c:pt>
                <c:pt idx="12">
                  <c:v>31.98</c:v>
                </c:pt>
                <c:pt idx="13">
                  <c:v>33.94</c:v>
                </c:pt>
                <c:pt idx="14">
                  <c:v>30.5</c:v>
                </c:pt>
                <c:pt idx="15">
                  <c:v>25.8</c:v>
                </c:pt>
                <c:pt idx="16">
                  <c:v>26.12</c:v>
                </c:pt>
                <c:pt idx="17">
                  <c:v>22</c:v>
                </c:pt>
                <c:pt idx="18">
                  <c:v>22.01</c:v>
                </c:pt>
                <c:pt idx="19">
                  <c:v>23.16</c:v>
                </c:pt>
                <c:pt idx="20">
                  <c:v>24</c:v>
                </c:pt>
                <c:pt idx="21">
                  <c:v>21.56</c:v>
                </c:pt>
                <c:pt idx="22">
                  <c:v>20.65</c:v>
                </c:pt>
                <c:pt idx="23">
                  <c:v>20.53</c:v>
                </c:pt>
                <c:pt idx="24">
                  <c:v>19.100000000000001</c:v>
                </c:pt>
                <c:pt idx="25">
                  <c:v>17.73</c:v>
                </c:pt>
                <c:pt idx="26">
                  <c:v>18</c:v>
                </c:pt>
                <c:pt idx="27">
                  <c:v>19</c:v>
                </c:pt>
                <c:pt idx="28">
                  <c:v>19.43</c:v>
                </c:pt>
                <c:pt idx="29">
                  <c:v>20.5</c:v>
                </c:pt>
                <c:pt idx="30">
                  <c:v>19.8</c:v>
                </c:pt>
                <c:pt idx="31">
                  <c:v>20.98</c:v>
                </c:pt>
                <c:pt idx="32">
                  <c:v>19.079999999999998</c:v>
                </c:pt>
                <c:pt idx="33">
                  <c:v>19.93</c:v>
                </c:pt>
                <c:pt idx="34">
                  <c:v>20.74</c:v>
                </c:pt>
                <c:pt idx="35">
                  <c:v>19.62</c:v>
                </c:pt>
                <c:pt idx="36">
                  <c:v>21.7</c:v>
                </c:pt>
                <c:pt idx="37">
                  <c:v>22.6</c:v>
                </c:pt>
                <c:pt idx="38">
                  <c:v>23</c:v>
                </c:pt>
                <c:pt idx="39">
                  <c:v>22.9</c:v>
                </c:pt>
                <c:pt idx="40">
                  <c:v>20</c:v>
                </c:pt>
                <c:pt idx="41">
                  <c:v>17.27</c:v>
                </c:pt>
                <c:pt idx="42">
                  <c:v>16.8</c:v>
                </c:pt>
                <c:pt idx="43">
                  <c:v>18</c:v>
                </c:pt>
                <c:pt idx="44">
                  <c:v>19.79</c:v>
                </c:pt>
                <c:pt idx="45">
                  <c:v>14.29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C3-4F3C-929C-26E79772AE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4744095"/>
        <c:axId val="964738815"/>
      </c:lineChart>
      <c:dateAx>
        <c:axId val="753657935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658895"/>
        <c:crosses val="autoZero"/>
        <c:auto val="1"/>
        <c:lblOffset val="100"/>
        <c:baseTimeUnit val="days"/>
      </c:dateAx>
      <c:valAx>
        <c:axId val="753658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657935"/>
        <c:crosses val="autoZero"/>
        <c:crossBetween val="between"/>
      </c:valAx>
      <c:valAx>
        <c:axId val="96473881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744095"/>
        <c:crosses val="max"/>
        <c:crossBetween val="between"/>
      </c:valAx>
      <c:dateAx>
        <c:axId val="964744095"/>
        <c:scaling>
          <c:orientation val="minMax"/>
        </c:scaling>
        <c:delete val="1"/>
        <c:axPos val="t"/>
        <c:numFmt formatCode="d\-mmm\-yy" sourceLinked="1"/>
        <c:majorTickMark val="out"/>
        <c:minorTickMark val="none"/>
        <c:tickLblPos val="nextTo"/>
        <c:crossAx val="964738815"/>
        <c:crosses val="max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6350</xdr:colOff>
      <xdr:row>2</xdr:row>
      <xdr:rowOff>95250</xdr:rowOff>
    </xdr:from>
    <xdr:to>
      <xdr:col>2</xdr:col>
      <xdr:colOff>1250950</xdr:colOff>
      <xdr:row>8</xdr:row>
      <xdr:rowOff>120650</xdr:rowOff>
    </xdr:to>
    <xdr:pic>
      <xdr:nvPicPr>
        <xdr:cNvPr id="3" name="Picture 2" descr="We're launching a new Nebius platform ...">
          <a:extLst>
            <a:ext uri="{FF2B5EF4-FFF2-40B4-BE49-F238E27FC236}">
              <a16:creationId xmlns:a16="http://schemas.microsoft.com/office/drawing/2014/main" id="{DBA50185-9DA4-9AF4-B7A0-ADD3E8D35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533400"/>
          <a:ext cx="1244600" cy="1244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301925</xdr:colOff>
      <xdr:row>2</xdr:row>
      <xdr:rowOff>131793</xdr:rowOff>
    </xdr:from>
    <xdr:to>
      <xdr:col>15</xdr:col>
      <xdr:colOff>347453</xdr:colOff>
      <xdr:row>29</xdr:row>
      <xdr:rowOff>131793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4A1201-74FB-FD82-6A25-7D72E594C8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313906</xdr:colOff>
      <xdr:row>30</xdr:row>
      <xdr:rowOff>36183</xdr:rowOff>
    </xdr:from>
    <xdr:to>
      <xdr:col>7</xdr:col>
      <xdr:colOff>608642</xdr:colOff>
      <xdr:row>43</xdr:row>
      <xdr:rowOff>179477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6639FAA-9B39-85AB-9972-BFAA88E9EF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62302</xdr:colOff>
      <xdr:row>30</xdr:row>
      <xdr:rowOff>48165</xdr:rowOff>
    </xdr:from>
    <xdr:to>
      <xdr:col>15</xdr:col>
      <xdr:colOff>357038</xdr:colOff>
      <xdr:row>43</xdr:row>
      <xdr:rowOff>191459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B51814-6D16-ACC9-9987-F85DF563A6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325889</xdr:colOff>
      <xdr:row>44</xdr:row>
      <xdr:rowOff>72126</xdr:rowOff>
    </xdr:from>
    <xdr:to>
      <xdr:col>8</xdr:col>
      <xdr:colOff>9587</xdr:colOff>
      <xdr:row>58</xdr:row>
      <xdr:rowOff>35703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B65B4B5-C884-D0CF-FFF6-334DC84D7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86265</xdr:colOff>
      <xdr:row>44</xdr:row>
      <xdr:rowOff>84108</xdr:rowOff>
    </xdr:from>
    <xdr:to>
      <xdr:col>15</xdr:col>
      <xdr:colOff>381001</xdr:colOff>
      <xdr:row>58</xdr:row>
      <xdr:rowOff>47685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4839520-1220-BD7E-C318-3F02EBCA07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313906</xdr:colOff>
      <xdr:row>58</xdr:row>
      <xdr:rowOff>155994</xdr:rowOff>
    </xdr:from>
    <xdr:to>
      <xdr:col>7</xdr:col>
      <xdr:colOff>608642</xdr:colOff>
      <xdr:row>73</xdr:row>
      <xdr:rowOff>11741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5FFEC5E-A9E9-1D8F-0CFD-F1F688E85A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122207</xdr:colOff>
      <xdr:row>58</xdr:row>
      <xdr:rowOff>155994</xdr:rowOff>
    </xdr:from>
    <xdr:to>
      <xdr:col>15</xdr:col>
      <xdr:colOff>416943</xdr:colOff>
      <xdr:row>73</xdr:row>
      <xdr:rowOff>11741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5706B2FC-D195-C532-B7BD-CA81B67830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349850</xdr:colOff>
      <xdr:row>74</xdr:row>
      <xdr:rowOff>24202</xdr:rowOff>
    </xdr:from>
    <xdr:to>
      <xdr:col>15</xdr:col>
      <xdr:colOff>512097</xdr:colOff>
      <xdr:row>97</xdr:row>
      <xdr:rowOff>71693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F243A53E-53B3-AC93-9DCC-1A8C39C967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284274</xdr:colOff>
      <xdr:row>97</xdr:row>
      <xdr:rowOff>170763</xdr:rowOff>
    </xdr:from>
    <xdr:to>
      <xdr:col>15</xdr:col>
      <xdr:colOff>545691</xdr:colOff>
      <xdr:row>125</xdr:row>
      <xdr:rowOff>81525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C28A5E77-A69A-39F7-5E99-EE3E573A31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153459</xdr:colOff>
      <xdr:row>0</xdr:row>
      <xdr:rowOff>137583</xdr:rowOff>
    </xdr:from>
    <xdr:to>
      <xdr:col>11</xdr:col>
      <xdr:colOff>624416</xdr:colOff>
      <xdr:row>30</xdr:row>
      <xdr:rowOff>95249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E19645C-E48B-C529-3146-E0371589CB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59063F627C2EB15/Documents/LRCX_MODEL.xlsx" TargetMode="External"/><Relationship Id="rId1" Type="http://schemas.openxmlformats.org/officeDocument/2006/relationships/externalLinkPath" Target="/359063F627C2EB15/Documents/LRCX_MODE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rent\Downloads\XL-Walmart-Model-Complete-Macros.xlsm" TargetMode="External"/><Relationship Id="rId1" Type="http://schemas.openxmlformats.org/officeDocument/2006/relationships/externalLinkPath" Target="file:///C:\Users\grent\Downloads\XL-Walmart-Model-Complete-Macros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rent\Downloads\AMAT_MODEL_FULL.xlsx" TargetMode="External"/><Relationship Id="rId1" Type="http://schemas.openxmlformats.org/officeDocument/2006/relationships/externalLinkPath" Target="file:///C:\Users\grent\Downloads\AMAT_MODEL_FU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ummary"/>
      <sheetName val="Graphs"/>
      <sheetName val="Model"/>
      <sheetName val="Drivers"/>
      <sheetName val="Q3"/>
      <sheetName val="DCF"/>
      <sheetName val="WACC"/>
      <sheetName val="ValSum"/>
      <sheetName val="ValGraph"/>
      <sheetName val="PubComps"/>
      <sheetName val="PubCompsData"/>
      <sheetName val="MAComps"/>
    </sheetNames>
    <sheetDataSet>
      <sheetData sheetId="0" refreshError="1"/>
      <sheetData sheetId="1" refreshError="1"/>
      <sheetData sheetId="2" refreshError="1"/>
      <sheetData sheetId="3">
        <row r="5">
          <cell r="N5">
            <v>45473</v>
          </cell>
        </row>
        <row r="8">
          <cell r="G8">
            <v>1295.23</v>
          </cell>
          <cell r="N8">
            <v>45626</v>
          </cell>
        </row>
        <row r="11">
          <cell r="N11">
            <v>45564</v>
          </cell>
        </row>
        <row r="12">
          <cell r="N12">
            <v>45838</v>
          </cell>
        </row>
        <row r="13">
          <cell r="N13">
            <v>46203</v>
          </cell>
        </row>
        <row r="78">
          <cell r="E78" t="str">
            <v>Units:</v>
          </cell>
          <cell r="H78">
            <v>43646</v>
          </cell>
          <cell r="I78">
            <v>44012</v>
          </cell>
          <cell r="J78">
            <v>44377</v>
          </cell>
          <cell r="K78">
            <v>44742</v>
          </cell>
          <cell r="L78">
            <v>45107</v>
          </cell>
          <cell r="M78">
            <v>45473</v>
          </cell>
          <cell r="N78">
            <v>45838</v>
          </cell>
          <cell r="O78">
            <v>46203</v>
          </cell>
          <cell r="P78">
            <v>46568</v>
          </cell>
          <cell r="Q78">
            <v>46934</v>
          </cell>
          <cell r="R78">
            <v>47299</v>
          </cell>
          <cell r="S78">
            <v>47664</v>
          </cell>
          <cell r="T78">
            <v>48029</v>
          </cell>
          <cell r="U78">
            <v>48395</v>
          </cell>
          <cell r="V78">
            <v>48760</v>
          </cell>
          <cell r="W78">
            <v>49125</v>
          </cell>
        </row>
        <row r="80">
          <cell r="C80" t="str">
            <v>Revenue</v>
          </cell>
          <cell r="E80" t="str">
            <v>$M</v>
          </cell>
          <cell r="H80" t="e">
            <v>#REF!</v>
          </cell>
          <cell r="I80" t="e">
            <v>#REF!</v>
          </cell>
          <cell r="J80">
            <v>14626.150000000001</v>
          </cell>
          <cell r="K80">
            <v>17227.039000000001</v>
          </cell>
          <cell r="L80">
            <v>17428.516</v>
          </cell>
          <cell r="M80">
            <v>14905.386</v>
          </cell>
          <cell r="N80" t="e">
            <v>#REF!</v>
          </cell>
          <cell r="O80" t="e">
            <v>#REF!</v>
          </cell>
          <cell r="P80" t="e">
            <v>#REF!</v>
          </cell>
          <cell r="Q80" t="e">
            <v>#REF!</v>
          </cell>
          <cell r="R80" t="e">
            <v>#REF!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C81" t="str">
            <v>Revenue Growth</v>
          </cell>
          <cell r="E81" t="str">
            <v>%</v>
          </cell>
          <cell r="I81" t="e">
            <v>#REF!</v>
          </cell>
          <cell r="J81" t="e">
            <v>#REF!</v>
          </cell>
          <cell r="K81">
            <v>0.17782458131497347</v>
          </cell>
          <cell r="L81">
            <v>1.169539350320159E-2</v>
          </cell>
          <cell r="M81">
            <v>-0.14477021451510841</v>
          </cell>
          <cell r="N81" t="e">
            <v>#REF!</v>
          </cell>
          <cell r="O81" t="e">
            <v>#REF!</v>
          </cell>
          <cell r="P81" t="e">
            <v>#REF!</v>
          </cell>
          <cell r="Q81" t="e">
            <v>#REF!</v>
          </cell>
          <cell r="R81" t="e">
            <v>#REF!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3">
          <cell r="C83" t="str">
            <v>Cost of goods sold</v>
          </cell>
          <cell r="E83" t="str">
            <v>$M</v>
          </cell>
          <cell r="G83" t="str">
            <v>`</v>
          </cell>
          <cell r="H83">
            <v>-5295.1</v>
          </cell>
          <cell r="I83">
            <v>-5436.0429999999997</v>
          </cell>
          <cell r="J83">
            <v>-7820.8440000000001</v>
          </cell>
          <cell r="K83">
            <v>-9355.232</v>
          </cell>
          <cell r="L83">
            <v>-9573.4249999999993</v>
          </cell>
          <cell r="M83">
            <v>-7809.22</v>
          </cell>
          <cell r="N83" t="e">
            <v>#REF!</v>
          </cell>
          <cell r="O83" t="e">
            <v>#REF!</v>
          </cell>
          <cell r="P83" t="e">
            <v>#REF!</v>
          </cell>
          <cell r="Q83" t="e">
            <v>#REF!</v>
          </cell>
          <cell r="R83" t="e">
            <v>#REF!</v>
          </cell>
          <cell r="S83" t="e">
            <v>#REF!</v>
          </cell>
          <cell r="T83" t="e">
            <v>#REF!</v>
          </cell>
          <cell r="U83" t="e">
            <v>#REF!</v>
          </cell>
          <cell r="V83" t="e">
            <v>#REF!</v>
          </cell>
          <cell r="W83" t="e">
            <v>#REF!</v>
          </cell>
        </row>
        <row r="84">
          <cell r="C84" t="str">
            <v>Restructuring charges, net - cost of goods sold</v>
          </cell>
          <cell r="E84" t="str">
            <v>$M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-78.165999999999997</v>
          </cell>
          <cell r="M84">
            <v>-43.375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</row>
        <row r="85">
          <cell r="C85" t="str">
            <v>Total cost of goods sold</v>
          </cell>
          <cell r="E85" t="str">
            <v>$M</v>
          </cell>
          <cell r="H85">
            <v>-5295.1</v>
          </cell>
          <cell r="I85">
            <v>-5436.0429999999997</v>
          </cell>
          <cell r="J85">
            <v>-7820.8440000000001</v>
          </cell>
          <cell r="K85">
            <v>-9355.232</v>
          </cell>
          <cell r="L85">
            <v>-9651.5909999999985</v>
          </cell>
          <cell r="M85">
            <v>-7852.5950000000003</v>
          </cell>
          <cell r="N85" t="e">
            <v>#REF!</v>
          </cell>
          <cell r="O85" t="e">
            <v>#REF!</v>
          </cell>
          <cell r="P85" t="e">
            <v>#REF!</v>
          </cell>
          <cell r="Q85" t="e">
            <v>#REF!</v>
          </cell>
          <cell r="R85" t="e">
            <v>#REF!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C86" t="str">
            <v>Gross Profit</v>
          </cell>
          <cell r="E86" t="str">
            <v>$M</v>
          </cell>
          <cell r="H86" t="e">
            <v>#REF!</v>
          </cell>
          <cell r="I86" t="e">
            <v>#REF!</v>
          </cell>
          <cell r="J86">
            <v>6805.3060000000014</v>
          </cell>
          <cell r="K86">
            <v>7871.8070000000007</v>
          </cell>
          <cell r="L86">
            <v>7776.9250000000011</v>
          </cell>
          <cell r="M86">
            <v>7052.7910000000002</v>
          </cell>
          <cell r="N86" t="e">
            <v>#REF!</v>
          </cell>
          <cell r="O86" t="e">
            <v>#REF!</v>
          </cell>
          <cell r="P86" t="e">
            <v>#REF!</v>
          </cell>
          <cell r="Q86" t="e">
            <v>#REF!</v>
          </cell>
          <cell r="R86" t="e">
            <v>#REF!</v>
          </cell>
          <cell r="S86" t="e">
            <v>#REF!</v>
          </cell>
          <cell r="T86" t="e">
            <v>#REF!</v>
          </cell>
          <cell r="U86" t="e">
            <v>#REF!</v>
          </cell>
          <cell r="V86" t="e">
            <v>#REF!</v>
          </cell>
          <cell r="W86" t="e">
            <v>#REF!</v>
          </cell>
        </row>
        <row r="87">
          <cell r="C87" t="str">
            <v>Profit Margin</v>
          </cell>
          <cell r="E87" t="str">
            <v>%</v>
          </cell>
          <cell r="H87" t="e">
            <v>#REF!</v>
          </cell>
          <cell r="I87" t="e">
            <v>#REF!</v>
          </cell>
          <cell r="J87">
            <v>0.46528348198261338</v>
          </cell>
          <cell r="K87">
            <v>0.45694486440763271</v>
          </cell>
          <cell r="L87">
            <v>0.4462184273176214</v>
          </cell>
          <cell r="M87">
            <v>0.47317063778153751</v>
          </cell>
          <cell r="N87" t="e">
            <v>#REF!</v>
          </cell>
          <cell r="O87" t="e">
            <v>#REF!</v>
          </cell>
          <cell r="P87" t="e">
            <v>#REF!</v>
          </cell>
          <cell r="Q87" t="e">
            <v>#REF!</v>
          </cell>
          <cell r="R87" t="e">
            <v>#REF!</v>
          </cell>
          <cell r="S87" t="e">
            <v>#REF!</v>
          </cell>
          <cell r="T87" t="e">
            <v>#REF!</v>
          </cell>
          <cell r="U87" t="e">
            <v>#REF!</v>
          </cell>
          <cell r="V87" t="e">
            <v>#REF!</v>
          </cell>
          <cell r="W87" t="e">
            <v>#REF!</v>
          </cell>
        </row>
        <row r="89">
          <cell r="C89" t="str">
            <v>Research and development</v>
          </cell>
          <cell r="E89" t="str">
            <v>$M</v>
          </cell>
          <cell r="H89">
            <v>1191.32</v>
          </cell>
          <cell r="I89">
            <v>1252.412</v>
          </cell>
          <cell r="J89">
            <v>1493.4079999999999</v>
          </cell>
          <cell r="K89">
            <v>1604.248</v>
          </cell>
          <cell r="L89">
            <v>1727.162</v>
          </cell>
          <cell r="M89">
            <v>1902.444</v>
          </cell>
          <cell r="N89" t="e">
            <v>#REF!</v>
          </cell>
          <cell r="O89" t="e">
            <v>#REF!</v>
          </cell>
          <cell r="P89" t="e">
            <v>#REF!</v>
          </cell>
          <cell r="Q89" t="e">
            <v>#REF!</v>
          </cell>
          <cell r="R89" t="e">
            <v>#REF!</v>
          </cell>
          <cell r="S89" t="e">
            <v>#REF!</v>
          </cell>
          <cell r="T89" t="e">
            <v>#REF!</v>
          </cell>
          <cell r="U89" t="e">
            <v>#REF!</v>
          </cell>
          <cell r="V89" t="e">
            <v>#REF!</v>
          </cell>
          <cell r="W89" t="e">
            <v>#REF!</v>
          </cell>
        </row>
        <row r="90">
          <cell r="C90" t="str">
            <v>Selling, general, and administrative</v>
          </cell>
          <cell r="E90" t="str">
            <v>$M</v>
          </cell>
          <cell r="H90">
            <v>702.40700000000004</v>
          </cell>
          <cell r="I90">
            <v>682.47900000000004</v>
          </cell>
          <cell r="J90">
            <v>829.875</v>
          </cell>
          <cell r="K90">
            <v>885.73699999999997</v>
          </cell>
          <cell r="L90">
            <v>832.75300000000004</v>
          </cell>
          <cell r="M90">
            <v>868.24699999999996</v>
          </cell>
          <cell r="N90" t="e">
            <v>#REF!</v>
          </cell>
          <cell r="O90" t="e">
            <v>#REF!</v>
          </cell>
          <cell r="P90" t="e">
            <v>#REF!</v>
          </cell>
          <cell r="Q90" t="e">
            <v>#REF!</v>
          </cell>
          <cell r="R90" t="e">
            <v>#REF!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Restructuring charges, net - operating expenses</v>
          </cell>
          <cell r="E91" t="str">
            <v>$M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42.15</v>
          </cell>
          <cell r="M91">
            <v>18.187000000000001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C92" t="str">
            <v>Total operating expenses</v>
          </cell>
          <cell r="E92" t="str">
            <v>$M</v>
          </cell>
          <cell r="H92">
            <v>-1893.7269999999999</v>
          </cell>
          <cell r="I92">
            <v>-1934.8910000000001</v>
          </cell>
          <cell r="J92">
            <v>-2323.2829999999999</v>
          </cell>
          <cell r="K92">
            <v>-2489.9850000000001</v>
          </cell>
          <cell r="L92">
            <v>-2602.0650000000001</v>
          </cell>
          <cell r="M92">
            <v>-2788.8779999999997</v>
          </cell>
          <cell r="N92" t="e">
            <v>#REF!</v>
          </cell>
          <cell r="O92" t="e">
            <v>#REF!</v>
          </cell>
          <cell r="P92" t="e">
            <v>#REF!</v>
          </cell>
          <cell r="Q92" t="e">
            <v>#REF!</v>
          </cell>
          <cell r="R92" t="e">
            <v>#REF!</v>
          </cell>
          <cell r="S92" t="e">
            <v>#REF!</v>
          </cell>
          <cell r="T92" t="e">
            <v>#REF!</v>
          </cell>
          <cell r="U92" t="e">
            <v>#REF!</v>
          </cell>
          <cell r="V92" t="e">
            <v>#REF!</v>
          </cell>
          <cell r="W92" t="e">
            <v>#REF!</v>
          </cell>
        </row>
        <row r="94">
          <cell r="C94" t="str">
            <v>Operating income (EBIT)</v>
          </cell>
          <cell r="E94" t="str">
            <v>$M</v>
          </cell>
          <cell r="H94" t="e">
            <v>#REF!</v>
          </cell>
          <cell r="I94" t="e">
            <v>#REF!</v>
          </cell>
          <cell r="J94">
            <v>4482.023000000001</v>
          </cell>
          <cell r="K94">
            <v>5381.8220000000001</v>
          </cell>
          <cell r="L94">
            <v>5174.8600000000006</v>
          </cell>
          <cell r="M94">
            <v>4263.9130000000005</v>
          </cell>
          <cell r="N94" t="e">
            <v>#REF!</v>
          </cell>
          <cell r="O94" t="e">
            <v>#REF!</v>
          </cell>
          <cell r="P94" t="e">
            <v>#REF!</v>
          </cell>
          <cell r="Q94" t="e">
            <v>#REF!</v>
          </cell>
          <cell r="R94" t="e">
            <v>#REF!</v>
          </cell>
          <cell r="S94" t="e">
            <v>#REF!</v>
          </cell>
          <cell r="T94" t="e">
            <v>#REF!</v>
          </cell>
          <cell r="U94" t="e">
            <v>#REF!</v>
          </cell>
          <cell r="V94" t="e">
            <v>#REF!</v>
          </cell>
          <cell r="W94" t="e">
            <v>#REF!</v>
          </cell>
        </row>
        <row r="96">
          <cell r="C96" t="str">
            <v>Other income (expense), net</v>
          </cell>
          <cell r="E96" t="str">
            <v>$M</v>
          </cell>
          <cell r="H96">
            <v>-18.161000000000001</v>
          </cell>
          <cell r="I96">
            <v>-98.823999999999998</v>
          </cell>
          <cell r="J96">
            <v>-111.21899999999999</v>
          </cell>
          <cell r="K96">
            <v>-188.708</v>
          </cell>
          <cell r="L96">
            <v>-65.650000000000006</v>
          </cell>
          <cell r="M96">
            <v>96.308999999999997</v>
          </cell>
          <cell r="N96" t="e">
            <v>#REF!</v>
          </cell>
          <cell r="O96" t="e">
            <v>#REF!</v>
          </cell>
          <cell r="P96" t="e">
            <v>#REF!</v>
          </cell>
          <cell r="Q96" t="e">
            <v>#REF!</v>
          </cell>
          <cell r="R96" t="e">
            <v>#REF!</v>
          </cell>
          <cell r="S96" t="e">
            <v>#REF!</v>
          </cell>
          <cell r="T96" t="e">
            <v>#REF!</v>
          </cell>
          <cell r="U96" t="e">
            <v>#REF!</v>
          </cell>
          <cell r="V96" t="e">
            <v>#REF!</v>
          </cell>
          <cell r="W96" t="e">
            <v>#REF!</v>
          </cell>
        </row>
        <row r="97">
          <cell r="C97" t="str">
            <v>Income before income taxes</v>
          </cell>
          <cell r="E97" t="str">
            <v>$M</v>
          </cell>
          <cell r="H97" t="e">
            <v>#REF!</v>
          </cell>
          <cell r="I97" t="e">
            <v>#REF!</v>
          </cell>
          <cell r="J97">
            <v>4370.804000000001</v>
          </cell>
          <cell r="K97">
            <v>5193.1140000000005</v>
          </cell>
          <cell r="L97">
            <v>5109.2100000000009</v>
          </cell>
          <cell r="M97">
            <v>4360.2220000000007</v>
          </cell>
          <cell r="N97" t="e">
            <v>#REF!</v>
          </cell>
          <cell r="O97" t="e">
            <v>#REF!</v>
          </cell>
          <cell r="P97" t="e">
            <v>#REF!</v>
          </cell>
          <cell r="Q97" t="e">
            <v>#REF!</v>
          </cell>
          <cell r="R97" t="e">
            <v>#REF!</v>
          </cell>
          <cell r="S97" t="e">
            <v>#REF!</v>
          </cell>
          <cell r="T97" t="e">
            <v>#REF!</v>
          </cell>
          <cell r="U97" t="e">
            <v>#REF!</v>
          </cell>
          <cell r="V97" t="e">
            <v>#REF!</v>
          </cell>
          <cell r="W97" t="e">
            <v>#REF!</v>
          </cell>
        </row>
        <row r="99">
          <cell r="C99" t="str">
            <v>Income tax expense</v>
          </cell>
          <cell r="E99" t="str">
            <v>$M</v>
          </cell>
          <cell r="H99">
            <v>-255.14099999999999</v>
          </cell>
          <cell r="I99">
            <v>-323.22500000000002</v>
          </cell>
          <cell r="J99">
            <v>-462.346</v>
          </cell>
          <cell r="K99">
            <v>-587.82799999999997</v>
          </cell>
          <cell r="L99">
            <v>-598.279</v>
          </cell>
          <cell r="M99">
            <v>-532.45000000000005</v>
          </cell>
          <cell r="N99" t="e">
            <v>#REF!</v>
          </cell>
          <cell r="O99" t="e">
            <v>#REF!</v>
          </cell>
          <cell r="P99" t="e">
            <v>#REF!</v>
          </cell>
          <cell r="Q99" t="e">
            <v>#REF!</v>
          </cell>
          <cell r="R99" t="e">
            <v>#REF!</v>
          </cell>
          <cell r="S99" t="e">
            <v>#REF!</v>
          </cell>
          <cell r="T99" t="e">
            <v>#REF!</v>
          </cell>
          <cell r="U99" t="e">
            <v>#REF!</v>
          </cell>
          <cell r="V99" t="e">
            <v>#REF!</v>
          </cell>
          <cell r="W99" t="e">
            <v>#REF!</v>
          </cell>
        </row>
        <row r="100">
          <cell r="C100" t="str">
            <v>Net income</v>
          </cell>
          <cell r="E100" t="str">
            <v>$M</v>
          </cell>
          <cell r="H100" t="e">
            <v>#REF!</v>
          </cell>
          <cell r="I100" t="e">
            <v>#REF!</v>
          </cell>
          <cell r="J100">
            <v>3908.458000000001</v>
          </cell>
          <cell r="K100">
            <v>4605.2860000000001</v>
          </cell>
          <cell r="L100">
            <v>4510.9310000000005</v>
          </cell>
          <cell r="M100">
            <v>3827.7720000000008</v>
          </cell>
          <cell r="N100" t="e">
            <v>#REF!</v>
          </cell>
          <cell r="O100" t="e">
            <v>#REF!</v>
          </cell>
          <cell r="P100" t="e">
            <v>#REF!</v>
          </cell>
          <cell r="Q100" t="e">
            <v>#REF!</v>
          </cell>
          <cell r="R100" t="e">
            <v>#REF!</v>
          </cell>
          <cell r="S100" t="e">
            <v>#REF!</v>
          </cell>
          <cell r="T100" t="e">
            <v>#REF!</v>
          </cell>
          <cell r="U100" t="e">
            <v>#REF!</v>
          </cell>
          <cell r="V100" t="e">
            <v>#REF!</v>
          </cell>
          <cell r="W100" t="e">
            <v>#REF!</v>
          </cell>
        </row>
        <row r="102">
          <cell r="C102" t="str">
            <v>EBITDA</v>
          </cell>
          <cell r="E102" t="str">
            <v>$M</v>
          </cell>
          <cell r="H102" t="e">
            <v>#REF!</v>
          </cell>
          <cell r="I102" t="e">
            <v>#REF!</v>
          </cell>
          <cell r="J102">
            <v>4411.4220000000014</v>
          </cell>
          <cell r="K102">
            <v>5252.6180000000004</v>
          </cell>
          <cell r="L102">
            <v>5129.0520000000006</v>
          </cell>
          <cell r="M102">
            <v>4455.4080000000013</v>
          </cell>
          <cell r="N102" t="e">
            <v>#REF!</v>
          </cell>
          <cell r="O102" t="e">
            <v>#REF!</v>
          </cell>
          <cell r="P102" t="e">
            <v>#REF!</v>
          </cell>
          <cell r="Q102" t="e">
            <v>#REF!</v>
          </cell>
          <cell r="R102" t="e">
            <v>#REF!</v>
          </cell>
          <cell r="S102" t="e">
            <v>#REF!</v>
          </cell>
          <cell r="T102" t="e">
            <v>#REF!</v>
          </cell>
          <cell r="U102" t="e">
            <v>#REF!</v>
          </cell>
          <cell r="V102" t="e">
            <v>#REF!</v>
          </cell>
          <cell r="W102" t="e">
            <v>#REF!</v>
          </cell>
        </row>
        <row r="104">
          <cell r="C104" t="str">
            <v>Net income per share: Diluted</v>
          </cell>
          <cell r="H104">
            <v>1.3699999999999999</v>
          </cell>
          <cell r="I104">
            <v>1.51</v>
          </cell>
          <cell r="J104">
            <v>2.69</v>
          </cell>
          <cell r="K104">
            <v>3.2749999999999999</v>
          </cell>
          <cell r="L104">
            <v>3.3210000000000002</v>
          </cell>
          <cell r="M104">
            <v>2.9</v>
          </cell>
          <cell r="N104" t="e">
            <v>#REF!</v>
          </cell>
          <cell r="O104" t="e">
            <v>#REF!</v>
          </cell>
          <cell r="P104" t="e">
            <v>#REF!</v>
          </cell>
          <cell r="Q104" t="e">
            <v>#REF!</v>
          </cell>
          <cell r="R104" t="e">
            <v>#REF!</v>
          </cell>
          <cell r="S104" t="e">
            <v>#REF!</v>
          </cell>
          <cell r="T104" t="e">
            <v>#REF!</v>
          </cell>
          <cell r="U104" t="e">
            <v>#REF!</v>
          </cell>
          <cell r="V104" t="e">
            <v>#REF!</v>
          </cell>
          <cell r="W104" t="e">
            <v>#REF!</v>
          </cell>
        </row>
        <row r="106">
          <cell r="C106" t="str">
            <v>Debt / EBITDA:</v>
          </cell>
          <cell r="E106" t="str">
            <v># x</v>
          </cell>
        </row>
        <row r="107">
          <cell r="C107" t="str">
            <v>Debt / Total Capital:</v>
          </cell>
          <cell r="E107" t="str">
            <v>%</v>
          </cell>
          <cell r="H107">
            <v>0.48996231242969601</v>
          </cell>
          <cell r="I107">
            <v>0.52905482445538043</v>
          </cell>
          <cell r="J107">
            <v>0.45350811098507815</v>
          </cell>
          <cell r="K107">
            <v>0.44361423711534265</v>
          </cell>
          <cell r="L107">
            <v>0.37903870701171616</v>
          </cell>
          <cell r="M107">
            <v>0.36851380055651256</v>
          </cell>
          <cell r="N107" t="e">
            <v>#REF!</v>
          </cell>
          <cell r="O107" t="e">
            <v>#REF!</v>
          </cell>
          <cell r="P107" t="e">
            <v>#REF!</v>
          </cell>
          <cell r="Q107" t="e">
            <v>#REF!</v>
          </cell>
          <cell r="R107" t="e">
            <v>#REF!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9">
          <cell r="J109" t="str">
            <v>Historical</v>
          </cell>
          <cell r="R109" t="str">
            <v>Projected:</v>
          </cell>
        </row>
        <row r="110">
          <cell r="E110" t="str">
            <v>Units:</v>
          </cell>
          <cell r="H110">
            <v>43646</v>
          </cell>
          <cell r="I110">
            <v>44012</v>
          </cell>
          <cell r="J110">
            <v>44377</v>
          </cell>
          <cell r="K110">
            <v>44742</v>
          </cell>
          <cell r="L110">
            <v>45107</v>
          </cell>
          <cell r="M110">
            <v>45473</v>
          </cell>
          <cell r="N110">
            <v>45838</v>
          </cell>
          <cell r="O110">
            <v>46203</v>
          </cell>
          <cell r="P110">
            <v>46568</v>
          </cell>
          <cell r="Q110">
            <v>46934</v>
          </cell>
          <cell r="R110">
            <v>47299</v>
          </cell>
          <cell r="S110">
            <v>47664</v>
          </cell>
          <cell r="T110">
            <v>48029</v>
          </cell>
          <cell r="U110">
            <v>48395</v>
          </cell>
          <cell r="V110">
            <v>48760</v>
          </cell>
          <cell r="W110">
            <v>49125</v>
          </cell>
        </row>
        <row r="114">
          <cell r="C114" t="str">
            <v>Cash and cash equivalents</v>
          </cell>
          <cell r="H114">
            <v>5431.2029999999995</v>
          </cell>
          <cell r="I114">
            <v>6710.2519999999995</v>
          </cell>
          <cell r="J114">
            <v>5729.1350000000002</v>
          </cell>
          <cell r="K114">
            <v>3657.732</v>
          </cell>
          <cell r="L114">
            <v>5337.0559999999996</v>
          </cell>
          <cell r="M114">
            <v>5847.8559999999998</v>
          </cell>
          <cell r="N114" t="e">
            <v>#REF!</v>
          </cell>
          <cell r="O114" t="e">
            <v>#REF!</v>
          </cell>
          <cell r="P114" t="e">
            <v>#REF!</v>
          </cell>
          <cell r="Q114" t="e">
            <v>#REF!</v>
          </cell>
          <cell r="R114" t="e">
            <v>#REF!</v>
          </cell>
          <cell r="S114" t="e">
            <v>#REF!</v>
          </cell>
          <cell r="T114" t="e">
            <v>#REF!</v>
          </cell>
          <cell r="U114" t="e">
            <v>#REF!</v>
          </cell>
          <cell r="V114" t="e">
            <v>#REF!</v>
          </cell>
          <cell r="W114" t="e">
            <v>#REF!</v>
          </cell>
        </row>
        <row r="115">
          <cell r="C115" t="str">
            <v>Accounts receivable, less allowance for doubtful accounts</v>
          </cell>
          <cell r="H115">
            <v>1455.5219999999999</v>
          </cell>
          <cell r="I115">
            <v>2097.0990000000002</v>
          </cell>
          <cell r="J115">
            <v>3026.43</v>
          </cell>
          <cell r="K115">
            <v>4313.8180000000002</v>
          </cell>
          <cell r="L115">
            <v>2823.3760000000002</v>
          </cell>
          <cell r="M115">
            <v>2519.25</v>
          </cell>
          <cell r="N115" t="e">
            <v>#REF!</v>
          </cell>
          <cell r="O115" t="e">
            <v>#REF!</v>
          </cell>
          <cell r="P115" t="e">
            <v>#REF!</v>
          </cell>
          <cell r="Q115" t="e">
            <v>#REF!</v>
          </cell>
          <cell r="R115" t="e">
            <v>#REF!</v>
          </cell>
          <cell r="S115" t="e">
            <v>#REF!</v>
          </cell>
          <cell r="T115" t="e">
            <v>#REF!</v>
          </cell>
          <cell r="U115" t="e">
            <v>#REF!</v>
          </cell>
          <cell r="V115" t="e">
            <v>#REF!</v>
          </cell>
          <cell r="W115" t="e">
            <v>#REF!</v>
          </cell>
        </row>
        <row r="116">
          <cell r="C116" t="str">
            <v>Inventories</v>
          </cell>
          <cell r="H116">
            <v>1540.14</v>
          </cell>
          <cell r="I116">
            <v>1900.0239999999999</v>
          </cell>
          <cell r="J116">
            <v>2689.2939999999999</v>
          </cell>
          <cell r="K116">
            <v>3966.2939999999999</v>
          </cell>
          <cell r="L116">
            <v>4816.1899999999996</v>
          </cell>
          <cell r="M116">
            <v>4217.924</v>
          </cell>
          <cell r="N116" t="e">
            <v>#REF!</v>
          </cell>
          <cell r="O116" t="e">
            <v>#REF!</v>
          </cell>
          <cell r="P116" t="e">
            <v>#REF!</v>
          </cell>
          <cell r="Q116" t="e">
            <v>#REF!</v>
          </cell>
          <cell r="R116" t="e">
            <v>#REF!</v>
          </cell>
          <cell r="S116" t="e">
            <v>#REF!</v>
          </cell>
          <cell r="T116" t="e">
            <v>#REF!</v>
          </cell>
          <cell r="U116" t="e">
            <v>#REF!</v>
          </cell>
          <cell r="V116" t="e">
            <v>#REF!</v>
          </cell>
          <cell r="W116" t="e">
            <v>#REF!</v>
          </cell>
        </row>
        <row r="117">
          <cell r="C117" t="str">
            <v>Prepaid expenses and other current assets</v>
          </cell>
          <cell r="H117">
            <v>133.54400000000001</v>
          </cell>
          <cell r="I117">
            <v>146.16</v>
          </cell>
          <cell r="J117">
            <v>207.52799999999999</v>
          </cell>
          <cell r="K117">
            <v>347.39100000000002</v>
          </cell>
          <cell r="L117">
            <v>251.79</v>
          </cell>
          <cell r="M117">
            <v>298.19</v>
          </cell>
          <cell r="N117" t="e">
            <v>#REF!</v>
          </cell>
          <cell r="O117" t="e">
            <v>#REF!</v>
          </cell>
          <cell r="P117" t="e">
            <v>#REF!</v>
          </cell>
          <cell r="Q117" t="e">
            <v>#REF!</v>
          </cell>
          <cell r="R117" t="e">
            <v>#REF!</v>
          </cell>
          <cell r="S117" t="e">
            <v>#REF!</v>
          </cell>
          <cell r="T117" t="e">
            <v>#REF!</v>
          </cell>
          <cell r="U117" t="e">
            <v>#REF!</v>
          </cell>
          <cell r="V117" t="e">
            <v>#REF!</v>
          </cell>
          <cell r="W117" t="e">
            <v>#REF!</v>
          </cell>
        </row>
        <row r="118">
          <cell r="C118" t="str">
            <v>Total Current Assets</v>
          </cell>
          <cell r="H118">
            <v>8560.4089999999997</v>
          </cell>
          <cell r="I118">
            <v>10853.534999999998</v>
          </cell>
          <cell r="J118">
            <v>11652.387000000001</v>
          </cell>
          <cell r="K118">
            <v>12285.235000000001</v>
          </cell>
          <cell r="L118">
            <v>13228.412</v>
          </cell>
          <cell r="M118">
            <v>12883.22</v>
          </cell>
          <cell r="N118" t="e">
            <v>#REF!</v>
          </cell>
          <cell r="O118" t="e">
            <v>#REF!</v>
          </cell>
          <cell r="P118" t="e">
            <v>#REF!</v>
          </cell>
          <cell r="Q118" t="e">
            <v>#REF!</v>
          </cell>
          <cell r="R118" t="e">
            <v>#REF!</v>
          </cell>
          <cell r="S118" t="e">
            <v>#REF!</v>
          </cell>
          <cell r="T118" t="e">
            <v>#REF!</v>
          </cell>
          <cell r="U118" t="e">
            <v>#REF!</v>
          </cell>
          <cell r="V118" t="e">
            <v>#REF!</v>
          </cell>
          <cell r="W118" t="e">
            <v>#REF!</v>
          </cell>
        </row>
        <row r="120">
          <cell r="C120" t="str">
            <v>Property and equipment, net</v>
          </cell>
          <cell r="H120">
            <v>1276.027</v>
          </cell>
          <cell r="I120">
            <v>1240.0309999999999</v>
          </cell>
          <cell r="J120">
            <v>1435.8440000000001</v>
          </cell>
          <cell r="K120">
            <v>1749.4369999999999</v>
          </cell>
          <cell r="L120">
            <v>2025.126</v>
          </cell>
          <cell r="M120">
            <v>2293.0630000000001</v>
          </cell>
          <cell r="N120" t="e">
            <v>#REF!</v>
          </cell>
          <cell r="O120" t="e">
            <v>#REF!</v>
          </cell>
          <cell r="P120" t="e">
            <v>#REF!</v>
          </cell>
          <cell r="Q120" t="e">
            <v>#REF!</v>
          </cell>
          <cell r="R120" t="e">
            <v>#REF!</v>
          </cell>
          <cell r="S120" t="e">
            <v>#REF!</v>
          </cell>
          <cell r="T120" t="e">
            <v>#REF!</v>
          </cell>
          <cell r="U120" t="e">
            <v>#REF!</v>
          </cell>
          <cell r="V120" t="e">
            <v>#REF!</v>
          </cell>
          <cell r="W120" t="e">
            <v>#REF!</v>
          </cell>
        </row>
        <row r="121">
          <cell r="C121" t="str">
            <v>Restricted cash and investments</v>
          </cell>
          <cell r="H121">
            <v>255.17699999999999</v>
          </cell>
          <cell r="I121">
            <v>253.911</v>
          </cell>
          <cell r="J121">
            <v>252.48699999999999</v>
          </cell>
          <cell r="K121">
            <v>251.53399999999999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</row>
        <row r="122">
          <cell r="C122" t="str">
            <v>Goodwill</v>
          </cell>
          <cell r="H122">
            <v>1484.597</v>
          </cell>
          <cell r="I122">
            <v>1484.4359999999999</v>
          </cell>
          <cell r="J122">
            <v>1490.134</v>
          </cell>
          <cell r="K122">
            <v>1515.1130000000001</v>
          </cell>
          <cell r="L122">
            <v>1622.489</v>
          </cell>
          <cell r="M122">
            <v>1626.528</v>
          </cell>
          <cell r="N122">
            <v>1626.528</v>
          </cell>
          <cell r="O122">
            <v>1626.528</v>
          </cell>
          <cell r="P122">
            <v>1626.528</v>
          </cell>
          <cell r="Q122">
            <v>1626.528</v>
          </cell>
          <cell r="R122">
            <v>1626.528</v>
          </cell>
          <cell r="S122">
            <v>1626.528</v>
          </cell>
          <cell r="T122">
            <v>1626.528</v>
          </cell>
          <cell r="U122">
            <v>1626.528</v>
          </cell>
          <cell r="V122">
            <v>1626.528</v>
          </cell>
          <cell r="W122">
            <v>1626.528</v>
          </cell>
        </row>
        <row r="123">
          <cell r="C123" t="str">
            <v>Other Assets</v>
          </cell>
          <cell r="H123">
            <v>425.12299999999999</v>
          </cell>
          <cell r="I123">
            <v>727.13400000000001</v>
          </cell>
          <cell r="J123">
            <v>1061.3</v>
          </cell>
          <cell r="K123">
            <v>1394.3130000000001</v>
          </cell>
          <cell r="L123">
            <v>1905.616</v>
          </cell>
          <cell r="M123">
            <v>1941.9169999999999</v>
          </cell>
          <cell r="N123" t="e">
            <v>#REF!</v>
          </cell>
          <cell r="O123" t="e">
            <v>#REF!</v>
          </cell>
          <cell r="P123" t="e">
            <v>#REF!</v>
          </cell>
          <cell r="Q123" t="e">
            <v>#REF!</v>
          </cell>
          <cell r="R123" t="e">
            <v>#REF!</v>
          </cell>
          <cell r="S123" t="e">
            <v>#REF!</v>
          </cell>
          <cell r="T123" t="e">
            <v>#REF!</v>
          </cell>
          <cell r="U123" t="e">
            <v>#REF!</v>
          </cell>
          <cell r="V123" t="e">
            <v>#REF!</v>
          </cell>
          <cell r="W123" t="e">
            <v>#REF!</v>
          </cell>
        </row>
        <row r="124">
          <cell r="C124" t="str">
            <v>Total Assets</v>
          </cell>
          <cell r="H124">
            <v>12001.332999999999</v>
          </cell>
          <cell r="I124">
            <v>14559.046999999999</v>
          </cell>
          <cell r="J124">
            <v>15892.151999999998</v>
          </cell>
          <cell r="K124">
            <v>17195.631999999998</v>
          </cell>
          <cell r="L124">
            <v>18781.643000000004</v>
          </cell>
          <cell r="M124">
            <v>18744.727999999999</v>
          </cell>
          <cell r="N124" t="e">
            <v>#REF!</v>
          </cell>
          <cell r="O124" t="e">
            <v>#REF!</v>
          </cell>
          <cell r="P124" t="e">
            <v>#REF!</v>
          </cell>
          <cell r="Q124" t="e">
            <v>#REF!</v>
          </cell>
          <cell r="R124" t="e">
            <v>#REF!</v>
          </cell>
          <cell r="S124" t="e">
            <v>#REF!</v>
          </cell>
          <cell r="T124" t="e">
            <v>#REF!</v>
          </cell>
          <cell r="U124" t="e">
            <v>#REF!</v>
          </cell>
          <cell r="V124" t="e">
            <v>#REF!</v>
          </cell>
          <cell r="W124" t="e">
            <v>#REF!</v>
          </cell>
        </row>
        <row r="128">
          <cell r="C128" t="str">
            <v>Accounts payable</v>
          </cell>
          <cell r="H128">
            <v>376.56099999999998</v>
          </cell>
          <cell r="I128">
            <v>592.38699999999994</v>
          </cell>
          <cell r="J128">
            <v>829.71</v>
          </cell>
          <cell r="K128">
            <v>1011.208</v>
          </cell>
          <cell r="L128">
            <v>470.702</v>
          </cell>
          <cell r="M128">
            <v>613.96600000000001</v>
          </cell>
          <cell r="N128" t="e">
            <v>#REF!</v>
          </cell>
          <cell r="O128" t="e">
            <v>#REF!</v>
          </cell>
          <cell r="P128" t="e">
            <v>#REF!</v>
          </cell>
          <cell r="Q128" t="e">
            <v>#REF!</v>
          </cell>
          <cell r="R128" t="e">
            <v>#REF!</v>
          </cell>
          <cell r="S128" t="e">
            <v>#REF!</v>
          </cell>
          <cell r="T128" t="e">
            <v>#REF!</v>
          </cell>
          <cell r="U128" t="e">
            <v>#REF!</v>
          </cell>
          <cell r="V128" t="e">
            <v>#REF!</v>
          </cell>
          <cell r="W128" t="e">
            <v>#REF!</v>
          </cell>
        </row>
        <row r="129">
          <cell r="C129" t="str">
            <v>Accrued expenses and other current liabilities</v>
          </cell>
          <cell r="H129">
            <v>946.64099999999996</v>
          </cell>
          <cell r="I129">
            <v>1272.655</v>
          </cell>
          <cell r="J129">
            <v>1719.4829999999999</v>
          </cell>
          <cell r="K129">
            <v>1974.2719999999999</v>
          </cell>
          <cell r="L129">
            <v>2010.6369999999999</v>
          </cell>
          <cell r="M129">
            <v>1801.877</v>
          </cell>
          <cell r="N129" t="e">
            <v>#REF!</v>
          </cell>
          <cell r="O129" t="e">
            <v>#REF!</v>
          </cell>
          <cell r="P129" t="e">
            <v>#REF!</v>
          </cell>
          <cell r="Q129" t="e">
            <v>#REF!</v>
          </cell>
          <cell r="R129" t="e">
            <v>#REF!</v>
          </cell>
          <cell r="S129" t="e">
            <v>#REF!</v>
          </cell>
          <cell r="T129" t="e">
            <v>#REF!</v>
          </cell>
          <cell r="U129" t="e">
            <v>#REF!</v>
          </cell>
          <cell r="V129" t="e">
            <v>#REF!</v>
          </cell>
          <cell r="W129" t="e">
            <v>#REF!</v>
          </cell>
        </row>
        <row r="130">
          <cell r="C130" t="str">
            <v>Deferred profit</v>
          </cell>
          <cell r="H130">
            <v>381.31700000000001</v>
          </cell>
          <cell r="I130">
            <v>457.52300000000002</v>
          </cell>
          <cell r="J130">
            <v>967.32500000000005</v>
          </cell>
          <cell r="K130">
            <v>1571.8979999999999</v>
          </cell>
          <cell r="L130">
            <v>1695.221</v>
          </cell>
          <cell r="M130">
            <v>1417.7809999999999</v>
          </cell>
          <cell r="N130" t="e">
            <v>#REF!</v>
          </cell>
          <cell r="O130" t="e">
            <v>#REF!</v>
          </cell>
          <cell r="P130" t="e">
            <v>#REF!</v>
          </cell>
          <cell r="Q130" t="e">
            <v>#REF!</v>
          </cell>
          <cell r="R130" t="e">
            <v>#REF!</v>
          </cell>
          <cell r="S130" t="e">
            <v>#REF!</v>
          </cell>
          <cell r="T130" t="e">
            <v>#REF!</v>
          </cell>
          <cell r="U130" t="e">
            <v>#REF!</v>
          </cell>
          <cell r="V130" t="e">
            <v>#REF!</v>
          </cell>
          <cell r="W130" t="e">
            <v>#REF!</v>
          </cell>
        </row>
        <row r="131">
          <cell r="C131" t="str">
            <v>Total Current Liabilities</v>
          </cell>
          <cell r="H131">
            <v>1704.519</v>
          </cell>
          <cell r="I131">
            <v>2322.5650000000001</v>
          </cell>
          <cell r="J131">
            <v>3516.518</v>
          </cell>
          <cell r="K131">
            <v>4557.3779999999997</v>
          </cell>
          <cell r="L131">
            <v>4176.5599999999995</v>
          </cell>
          <cell r="M131">
            <v>3833.6239999999998</v>
          </cell>
          <cell r="N131" t="e">
            <v>#REF!</v>
          </cell>
          <cell r="O131" t="e">
            <v>#REF!</v>
          </cell>
          <cell r="P131" t="e">
            <v>#REF!</v>
          </cell>
          <cell r="Q131" t="e">
            <v>#REF!</v>
          </cell>
          <cell r="R131" t="e">
            <v>#REF!</v>
          </cell>
          <cell r="S131" t="e">
            <v>#REF!</v>
          </cell>
          <cell r="T131" t="e">
            <v>#REF!</v>
          </cell>
          <cell r="U131" t="e">
            <v>#REF!</v>
          </cell>
          <cell r="V131" t="e">
            <v>#REF!</v>
          </cell>
          <cell r="W131" t="e">
            <v>#REF!</v>
          </cell>
        </row>
        <row r="134">
          <cell r="C134" t="str">
            <v>Long-Term Debt</v>
          </cell>
          <cell r="H134">
            <v>4489.8990000000003</v>
          </cell>
          <cell r="I134">
            <v>5810.7250000000004</v>
          </cell>
          <cell r="J134">
            <v>5001.6819999999998</v>
          </cell>
          <cell r="K134">
            <v>5005.83</v>
          </cell>
          <cell r="L134">
            <v>5011.5410000000002</v>
          </cell>
          <cell r="M134">
            <v>4983.3340000000007</v>
          </cell>
          <cell r="N134">
            <v>4234.223380960615</v>
          </cell>
          <cell r="O134">
            <v>3268.1679758739751</v>
          </cell>
          <cell r="P134">
            <v>3078.4372118127003</v>
          </cell>
          <cell r="Q134">
            <v>2958.365263265503</v>
          </cell>
          <cell r="R134">
            <v>2824.9162185695855</v>
          </cell>
          <cell r="S134">
            <v>2678.4288538985866</v>
          </cell>
          <cell r="T134">
            <v>2539.330809157078</v>
          </cell>
          <cell r="U134">
            <v>2408.9932189310348</v>
          </cell>
          <cell r="V134">
            <v>2289.6343853559483</v>
          </cell>
          <cell r="W134">
            <v>2179.4357583461356</v>
          </cell>
        </row>
        <row r="135">
          <cell r="C135" t="str">
            <v>Income taxes payable</v>
          </cell>
          <cell r="H135">
            <v>892.79</v>
          </cell>
          <cell r="I135">
            <v>909.70899999999995</v>
          </cell>
          <cell r="J135">
            <v>948.03700000000003</v>
          </cell>
          <cell r="K135">
            <v>931.11699999999996</v>
          </cell>
          <cell r="L135">
            <v>882.08399999999995</v>
          </cell>
          <cell r="M135">
            <v>813.30399999999997</v>
          </cell>
          <cell r="N135" t="e">
            <v>#REF!</v>
          </cell>
          <cell r="O135" t="e">
            <v>#REF!</v>
          </cell>
          <cell r="P135" t="e">
            <v>#REF!</v>
          </cell>
          <cell r="Q135" t="e">
            <v>#REF!</v>
          </cell>
          <cell r="R135" t="e">
            <v>#REF!</v>
          </cell>
          <cell r="S135" t="e">
            <v>#REF!</v>
          </cell>
          <cell r="T135" t="e">
            <v>#REF!</v>
          </cell>
          <cell r="U135" t="e">
            <v>#REF!</v>
          </cell>
          <cell r="V135" t="e">
            <v>#REF!</v>
          </cell>
          <cell r="W135" t="e">
            <v>#REF!</v>
          </cell>
        </row>
        <row r="136">
          <cell r="C136" t="str">
            <v>Other long-term liabilities</v>
          </cell>
          <cell r="H136">
            <v>240.2600000000003</v>
          </cell>
          <cell r="I136">
            <v>343.55399999999719</v>
          </cell>
          <cell r="J136">
            <v>398.72699999999998</v>
          </cell>
          <cell r="K136">
            <v>422.94099999999997</v>
          </cell>
          <cell r="L136">
            <v>501.286</v>
          </cell>
          <cell r="M136">
            <v>575.01199999999994</v>
          </cell>
          <cell r="N136" t="e">
            <v>#REF!</v>
          </cell>
          <cell r="O136" t="e">
            <v>#REF!</v>
          </cell>
          <cell r="P136" t="e">
            <v>#REF!</v>
          </cell>
          <cell r="Q136" t="e">
            <v>#REF!</v>
          </cell>
          <cell r="R136" t="e">
            <v>#REF!</v>
          </cell>
          <cell r="S136" t="e">
            <v>#REF!</v>
          </cell>
          <cell r="T136" t="e">
            <v>#REF!</v>
          </cell>
          <cell r="U136" t="e">
            <v>#REF!</v>
          </cell>
          <cell r="V136" t="e">
            <v>#REF!</v>
          </cell>
          <cell r="W136" t="e">
            <v>#REF!</v>
          </cell>
        </row>
        <row r="137">
          <cell r="C137" t="str">
            <v>Total Liabilities</v>
          </cell>
          <cell r="H137">
            <v>7327.4680000000008</v>
          </cell>
          <cell r="I137">
            <v>9386.5529999999981</v>
          </cell>
          <cell r="J137">
            <v>9864.9640000000018</v>
          </cell>
          <cell r="K137">
            <v>10917.266</v>
          </cell>
          <cell r="L137">
            <v>10571.471</v>
          </cell>
          <cell r="M137">
            <v>10205.274000000001</v>
          </cell>
          <cell r="N137" t="e">
            <v>#REF!</v>
          </cell>
          <cell r="O137" t="e">
            <v>#REF!</v>
          </cell>
          <cell r="P137" t="e">
            <v>#REF!</v>
          </cell>
          <cell r="Q137" t="e">
            <v>#REF!</v>
          </cell>
          <cell r="R137" t="e">
            <v>#REF!</v>
          </cell>
          <cell r="S137" t="e">
            <v>#REF!</v>
          </cell>
          <cell r="T137" t="e">
            <v>#REF!</v>
          </cell>
          <cell r="U137" t="e">
            <v>#REF!</v>
          </cell>
          <cell r="V137" t="e">
            <v>#REF!</v>
          </cell>
          <cell r="W137" t="e">
            <v>#REF!</v>
          </cell>
        </row>
        <row r="142">
          <cell r="C142" t="str">
            <v>Treasury stock, at cost</v>
          </cell>
          <cell r="H142">
            <v>-11602.573</v>
          </cell>
          <cell r="I142">
            <v>-12949.888999999999</v>
          </cell>
          <cell r="J142">
            <v>-15646.700999999999</v>
          </cell>
          <cell r="K142">
            <v>-19481.429</v>
          </cell>
          <cell r="L142">
            <v>-21530.352999999999</v>
          </cell>
          <cell r="M142">
            <v>-24366.866000000002</v>
          </cell>
          <cell r="N142" t="e">
            <v>#REF!</v>
          </cell>
          <cell r="O142" t="e">
            <v>#REF!</v>
          </cell>
          <cell r="P142" t="e">
            <v>#REF!</v>
          </cell>
          <cell r="Q142" t="e">
            <v>#REF!</v>
          </cell>
          <cell r="R142" t="e">
            <v>#REF!</v>
          </cell>
          <cell r="S142" t="e">
            <v>#REF!</v>
          </cell>
          <cell r="T142" t="e">
            <v>#REF!</v>
          </cell>
          <cell r="U142" t="e">
            <v>#REF!</v>
          </cell>
          <cell r="V142" t="e">
            <v>#REF!</v>
          </cell>
          <cell r="W142" t="e">
            <v>#REF!</v>
          </cell>
        </row>
        <row r="143">
          <cell r="C143" t="str">
            <v>Retained earnings</v>
          </cell>
          <cell r="H143">
            <v>16276.438</v>
          </cell>
          <cell r="I143">
            <v>18122.383000000002</v>
          </cell>
          <cell r="J143">
            <v>21673.889000000003</v>
          </cell>
          <cell r="K143">
            <v>25759.794999999998</v>
          </cell>
          <cell r="L143">
            <v>29740.525000000001</v>
          </cell>
          <cell r="M143">
            <v>32906.32</v>
          </cell>
          <cell r="N143" t="e">
            <v>#REF!</v>
          </cell>
          <cell r="O143" t="e">
            <v>#REF!</v>
          </cell>
          <cell r="P143" t="e">
            <v>#REF!</v>
          </cell>
          <cell r="Q143" t="e">
            <v>#REF!</v>
          </cell>
          <cell r="R143" t="e">
            <v>#REF!</v>
          </cell>
          <cell r="S143" t="e">
            <v>#REF!</v>
          </cell>
          <cell r="T143" t="e">
            <v>#REF!</v>
          </cell>
          <cell r="U143" t="e">
            <v>#REF!</v>
          </cell>
          <cell r="V143" t="e">
            <v>#REF!</v>
          </cell>
          <cell r="W143" t="e">
            <v>#REF!</v>
          </cell>
        </row>
        <row r="144">
          <cell r="C144" t="str">
            <v>Total Stockholders' Equity</v>
          </cell>
          <cell r="H144">
            <v>4673.8649999999998</v>
          </cell>
          <cell r="I144">
            <v>5172.4940000000024</v>
          </cell>
          <cell r="J144">
            <v>6027.1880000000037</v>
          </cell>
          <cell r="K144">
            <v>6278.3659999999982</v>
          </cell>
          <cell r="L144">
            <v>8210.1720000000023</v>
          </cell>
          <cell r="M144">
            <v>8539.4539999999979</v>
          </cell>
          <cell r="N144" t="e">
            <v>#REF!</v>
          </cell>
          <cell r="O144" t="e">
            <v>#REF!</v>
          </cell>
          <cell r="P144" t="e">
            <v>#REF!</v>
          </cell>
          <cell r="Q144" t="e">
            <v>#REF!</v>
          </cell>
          <cell r="R144" t="e">
            <v>#REF!</v>
          </cell>
          <cell r="S144" t="e">
            <v>#REF!</v>
          </cell>
          <cell r="T144" t="e">
            <v>#REF!</v>
          </cell>
          <cell r="U144" t="e">
            <v>#REF!</v>
          </cell>
          <cell r="V144" t="e">
            <v>#REF!</v>
          </cell>
          <cell r="W144" t="e">
            <v>#REF!</v>
          </cell>
        </row>
        <row r="146">
          <cell r="C146" t="str">
            <v>Total Liabilities and Stockholders' Equity</v>
          </cell>
          <cell r="H146">
            <v>12001.333000000001</v>
          </cell>
          <cell r="I146">
            <v>14559.047</v>
          </cell>
          <cell r="J146">
            <v>15892.152000000006</v>
          </cell>
          <cell r="K146">
            <v>17195.631999999998</v>
          </cell>
          <cell r="L146">
            <v>18781.643000000004</v>
          </cell>
          <cell r="M146">
            <v>18744.727999999999</v>
          </cell>
          <cell r="N146" t="e">
            <v>#REF!</v>
          </cell>
          <cell r="O146" t="e">
            <v>#REF!</v>
          </cell>
          <cell r="P146" t="e">
            <v>#REF!</v>
          </cell>
          <cell r="Q146" t="e">
            <v>#REF!</v>
          </cell>
          <cell r="R146" t="e">
            <v>#REF!</v>
          </cell>
          <cell r="S146" t="e">
            <v>#REF!</v>
          </cell>
          <cell r="T146" t="e">
            <v>#REF!</v>
          </cell>
          <cell r="U146" t="e">
            <v>#REF!</v>
          </cell>
          <cell r="V146" t="e">
            <v>#REF!</v>
          </cell>
          <cell r="W146" t="e">
            <v>#REF!</v>
          </cell>
        </row>
        <row r="148">
          <cell r="C148" t="str">
            <v>Balance Check: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 t="e">
            <v>#REF!</v>
          </cell>
          <cell r="O148" t="e">
            <v>#REF!</v>
          </cell>
          <cell r="P148" t="e">
            <v>#REF!</v>
          </cell>
          <cell r="Q148" t="e">
            <v>#REF!</v>
          </cell>
          <cell r="R148" t="e">
            <v>#REF!</v>
          </cell>
          <cell r="S148" t="e">
            <v>#REF!</v>
          </cell>
          <cell r="T148" t="e">
            <v>#REF!</v>
          </cell>
          <cell r="U148" t="e">
            <v>#REF!</v>
          </cell>
          <cell r="V148" t="e">
            <v>#REF!</v>
          </cell>
          <cell r="W148" t="e">
            <v>#REF!</v>
          </cell>
        </row>
        <row r="151">
          <cell r="J151" t="str">
            <v>Historical</v>
          </cell>
          <cell r="R151" t="str">
            <v>Projected:</v>
          </cell>
        </row>
        <row r="152">
          <cell r="E152" t="str">
            <v>Units:</v>
          </cell>
          <cell r="H152">
            <v>43646</v>
          </cell>
          <cell r="I152">
            <v>44012</v>
          </cell>
          <cell r="J152">
            <v>44377</v>
          </cell>
          <cell r="K152">
            <v>44742</v>
          </cell>
          <cell r="L152">
            <v>45107</v>
          </cell>
          <cell r="M152">
            <v>45473</v>
          </cell>
          <cell r="N152">
            <v>45838</v>
          </cell>
          <cell r="O152">
            <v>46203</v>
          </cell>
          <cell r="P152">
            <v>46568</v>
          </cell>
          <cell r="Q152">
            <v>46934</v>
          </cell>
          <cell r="R152">
            <v>47299</v>
          </cell>
          <cell r="S152">
            <v>47664</v>
          </cell>
          <cell r="T152">
            <v>48029</v>
          </cell>
          <cell r="U152">
            <v>48395</v>
          </cell>
          <cell r="V152">
            <v>48760</v>
          </cell>
          <cell r="W152">
            <v>49125</v>
          </cell>
        </row>
        <row r="154">
          <cell r="C154" t="str">
            <v>CASH FLOWS FROM OPERATING ACTIVITIES:</v>
          </cell>
        </row>
        <row r="155">
          <cell r="C155" t="str">
            <v>Net income</v>
          </cell>
          <cell r="H155" t="e">
            <v>#REF!</v>
          </cell>
          <cell r="I155" t="e">
            <v>#REF!</v>
          </cell>
          <cell r="J155">
            <v>3908.458000000001</v>
          </cell>
          <cell r="K155">
            <v>4605.2860000000001</v>
          </cell>
          <cell r="L155">
            <v>4510.9310000000005</v>
          </cell>
          <cell r="M155">
            <v>3827.7720000000008</v>
          </cell>
          <cell r="N155" t="e">
            <v>#REF!</v>
          </cell>
          <cell r="O155" t="e">
            <v>#REF!</v>
          </cell>
          <cell r="P155" t="e">
            <v>#REF!</v>
          </cell>
          <cell r="Q155" t="e">
            <v>#REF!</v>
          </cell>
          <cell r="R155" t="e">
            <v>#REF!</v>
          </cell>
          <cell r="S155" t="e">
            <v>#REF!</v>
          </cell>
          <cell r="T155" t="e">
            <v>#REF!</v>
          </cell>
          <cell r="U155" t="e">
            <v>#REF!</v>
          </cell>
          <cell r="V155" t="e">
            <v>#REF!</v>
          </cell>
          <cell r="W155" t="e">
            <v>#REF!</v>
          </cell>
        </row>
        <row r="156">
          <cell r="C156" t="str">
            <v>Adjustments to reconcile net income to net cash provided</v>
          </cell>
        </row>
        <row r="157">
          <cell r="C157" t="str">
            <v>Depreciation and amortization</v>
          </cell>
          <cell r="H157">
            <v>303.49099999999999</v>
          </cell>
          <cell r="I157">
            <v>232.52899999999988</v>
          </cell>
          <cell r="J157">
            <v>502.96400000000011</v>
          </cell>
          <cell r="K157">
            <v>647.33199999999988</v>
          </cell>
          <cell r="L157">
            <v>618.12100000000009</v>
          </cell>
          <cell r="M157">
            <v>627.63600000000019</v>
          </cell>
          <cell r="N157" t="e">
            <v>#REF!</v>
          </cell>
          <cell r="O157" t="e">
            <v>#REF!</v>
          </cell>
          <cell r="P157" t="e">
            <v>#REF!</v>
          </cell>
          <cell r="Q157" t="e">
            <v>#REF!</v>
          </cell>
          <cell r="R157" t="e">
            <v>#REF!</v>
          </cell>
          <cell r="S157" t="e">
            <v>#REF!</v>
          </cell>
          <cell r="T157" t="e">
            <v>#REF!</v>
          </cell>
          <cell r="U157" t="e">
            <v>#REF!</v>
          </cell>
          <cell r="V157" t="e">
            <v>#REF!</v>
          </cell>
          <cell r="W157" t="e">
            <v>#REF!</v>
          </cell>
        </row>
        <row r="158">
          <cell r="C158" t="str">
            <v>Equity-based compensation expense</v>
          </cell>
          <cell r="H158">
            <v>187.23400000000001</v>
          </cell>
        </row>
        <row r="159">
          <cell r="C159" t="str">
            <v>Other, net</v>
          </cell>
          <cell r="H159">
            <v>1.524</v>
          </cell>
          <cell r="I159">
            <v>1.524</v>
          </cell>
          <cell r="J159">
            <v>1.524</v>
          </cell>
          <cell r="K159">
            <v>1.524</v>
          </cell>
          <cell r="L159">
            <v>1.524</v>
          </cell>
          <cell r="M159">
            <v>1.524</v>
          </cell>
          <cell r="N159">
            <v>1.524</v>
          </cell>
          <cell r="O159">
            <v>1.524</v>
          </cell>
          <cell r="P159">
            <v>1.524</v>
          </cell>
          <cell r="Q159">
            <v>1.524</v>
          </cell>
          <cell r="R159">
            <v>1.524</v>
          </cell>
          <cell r="S159">
            <v>1.524</v>
          </cell>
          <cell r="T159">
            <v>1.524</v>
          </cell>
          <cell r="U159">
            <v>1.524</v>
          </cell>
          <cell r="V159">
            <v>1.524</v>
          </cell>
          <cell r="W159">
            <v>1.524</v>
          </cell>
        </row>
        <row r="160">
          <cell r="C160" t="str">
            <v>Changes in operating asset and liability accounts:</v>
          </cell>
        </row>
        <row r="161">
          <cell r="C161" t="str">
            <v>Accounts receivable, less allowance for doubtful accounts</v>
          </cell>
          <cell r="H161">
            <v>732.13800000000003</v>
          </cell>
          <cell r="I161">
            <v>-641.57700000000023</v>
          </cell>
          <cell r="J161">
            <v>-929.33099999999968</v>
          </cell>
          <cell r="K161">
            <v>-1287.3880000000004</v>
          </cell>
          <cell r="L161">
            <v>1490.442</v>
          </cell>
          <cell r="M161">
            <v>304.1260000000002</v>
          </cell>
          <cell r="N161" t="e">
            <v>#REF!</v>
          </cell>
          <cell r="O161" t="e">
            <v>#REF!</v>
          </cell>
          <cell r="P161" t="e">
            <v>#REF!</v>
          </cell>
          <cell r="Q161" t="e">
            <v>#REF!</v>
          </cell>
          <cell r="R161" t="e">
            <v>#REF!</v>
          </cell>
          <cell r="S161" t="e">
            <v>#REF!</v>
          </cell>
          <cell r="T161" t="e">
            <v>#REF!</v>
          </cell>
          <cell r="U161" t="e">
            <v>#REF!</v>
          </cell>
          <cell r="V161" t="e">
            <v>#REF!</v>
          </cell>
          <cell r="W161" t="e">
            <v>#REF!</v>
          </cell>
        </row>
        <row r="162">
          <cell r="C162" t="str">
            <v>Inventories</v>
          </cell>
          <cell r="H162">
            <v>281.35500000000002</v>
          </cell>
          <cell r="I162">
            <v>-359.88399999999979</v>
          </cell>
          <cell r="J162">
            <v>-789.27</v>
          </cell>
          <cell r="K162">
            <v>-1277</v>
          </cell>
          <cell r="L162">
            <v>-849.89599999999973</v>
          </cell>
          <cell r="M162">
            <v>598.26599999999962</v>
          </cell>
          <cell r="N162" t="e">
            <v>#REF!</v>
          </cell>
          <cell r="O162" t="e">
            <v>#REF!</v>
          </cell>
          <cell r="P162" t="e">
            <v>#REF!</v>
          </cell>
          <cell r="Q162" t="e">
            <v>#REF!</v>
          </cell>
          <cell r="R162" t="e">
            <v>#REF!</v>
          </cell>
          <cell r="S162" t="e">
            <v>#REF!</v>
          </cell>
          <cell r="T162" t="e">
            <v>#REF!</v>
          </cell>
          <cell r="U162" t="e">
            <v>#REF!</v>
          </cell>
          <cell r="V162" t="e">
            <v>#REF!</v>
          </cell>
          <cell r="W162" t="e">
            <v>#REF!</v>
          </cell>
        </row>
        <row r="163">
          <cell r="C163" t="str">
            <v>Prepaid expenses and other current assets</v>
          </cell>
          <cell r="H163">
            <v>-17.864000000000001</v>
          </cell>
          <cell r="I163">
            <v>-12.615999999999985</v>
          </cell>
          <cell r="J163">
            <v>-61.367999999999995</v>
          </cell>
          <cell r="K163">
            <v>-139.86300000000003</v>
          </cell>
          <cell r="L163">
            <v>95.601000000000028</v>
          </cell>
          <cell r="M163">
            <v>-46.400000000000006</v>
          </cell>
          <cell r="N163" t="e">
            <v>#REF!</v>
          </cell>
          <cell r="O163" t="e">
            <v>#REF!</v>
          </cell>
          <cell r="P163" t="e">
            <v>#REF!</v>
          </cell>
          <cell r="Q163" t="e">
            <v>#REF!</v>
          </cell>
          <cell r="R163" t="e">
            <v>#REF!</v>
          </cell>
          <cell r="S163" t="e">
            <v>#REF!</v>
          </cell>
          <cell r="T163" t="e">
            <v>#REF!</v>
          </cell>
          <cell r="U163" t="e">
            <v>#REF!</v>
          </cell>
          <cell r="V163" t="e">
            <v>#REF!</v>
          </cell>
          <cell r="W163" t="e">
            <v>#REF!</v>
          </cell>
        </row>
        <row r="164">
          <cell r="C164" t="str">
            <v>Restricted cash and investments</v>
          </cell>
          <cell r="H164">
            <v>1</v>
          </cell>
          <cell r="I164">
            <v>1.2659999999999911</v>
          </cell>
          <cell r="J164">
            <v>1.4240000000000066</v>
          </cell>
          <cell r="K164">
            <v>0.95300000000000296</v>
          </cell>
          <cell r="L164">
            <v>251.53399999999999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</row>
        <row r="165">
          <cell r="C165" t="str">
            <v>Other Assets</v>
          </cell>
          <cell r="H165">
            <v>-255</v>
          </cell>
          <cell r="I165">
            <v>-302.01100000000002</v>
          </cell>
          <cell r="J165">
            <v>-334.16599999999994</v>
          </cell>
          <cell r="K165">
            <v>-333.01300000000015</v>
          </cell>
          <cell r="L165">
            <v>-511.30299999999988</v>
          </cell>
          <cell r="M165">
            <v>-36.300999999999931</v>
          </cell>
          <cell r="N165" t="e">
            <v>#REF!</v>
          </cell>
          <cell r="O165" t="e">
            <v>#REF!</v>
          </cell>
          <cell r="P165" t="e">
            <v>#REF!</v>
          </cell>
          <cell r="Q165" t="e">
            <v>#REF!</v>
          </cell>
          <cell r="R165" t="e">
            <v>#REF!</v>
          </cell>
          <cell r="S165" t="e">
            <v>#REF!</v>
          </cell>
          <cell r="T165" t="e">
            <v>#REF!</v>
          </cell>
          <cell r="U165" t="e">
            <v>#REF!</v>
          </cell>
          <cell r="V165" t="e">
            <v>#REF!</v>
          </cell>
          <cell r="W165" t="e">
            <v>#REF!</v>
          </cell>
        </row>
        <row r="166">
          <cell r="C166" t="str">
            <v>Accounts payable</v>
          </cell>
          <cell r="H166">
            <v>-131.47200000000001</v>
          </cell>
          <cell r="I166">
            <v>215.82599999999996</v>
          </cell>
          <cell r="J166">
            <v>237.32300000000009</v>
          </cell>
          <cell r="K166">
            <v>181.49799999999993</v>
          </cell>
          <cell r="L166">
            <v>-540.50599999999997</v>
          </cell>
          <cell r="M166">
            <v>143.26400000000001</v>
          </cell>
          <cell r="N166" t="e">
            <v>#REF!</v>
          </cell>
          <cell r="O166" t="e">
            <v>#REF!</v>
          </cell>
          <cell r="P166" t="e">
            <v>#REF!</v>
          </cell>
          <cell r="Q166" t="e">
            <v>#REF!</v>
          </cell>
          <cell r="R166" t="e">
            <v>#REF!</v>
          </cell>
          <cell r="S166" t="e">
            <v>#REF!</v>
          </cell>
          <cell r="T166" t="e">
            <v>#REF!</v>
          </cell>
          <cell r="U166" t="e">
            <v>#REF!</v>
          </cell>
          <cell r="V166" t="e">
            <v>#REF!</v>
          </cell>
          <cell r="W166" t="e">
            <v>#REF!</v>
          </cell>
        </row>
        <row r="167">
          <cell r="C167" t="str">
            <v>Accrued expenses and other current liabilities</v>
          </cell>
          <cell r="H167">
            <v>-194.559</v>
          </cell>
          <cell r="I167">
            <v>326.01400000000001</v>
          </cell>
          <cell r="J167">
            <v>446.82799999999997</v>
          </cell>
          <cell r="K167">
            <v>254.78899999999999</v>
          </cell>
          <cell r="L167">
            <v>36.365000000000009</v>
          </cell>
          <cell r="M167">
            <v>-208.76</v>
          </cell>
          <cell r="N167" t="e">
            <v>#REF!</v>
          </cell>
          <cell r="O167" t="e">
            <v>#REF!</v>
          </cell>
          <cell r="P167" t="e">
            <v>#REF!</v>
          </cell>
          <cell r="Q167" t="e">
            <v>#REF!</v>
          </cell>
          <cell r="R167" t="e">
            <v>#REF!</v>
          </cell>
          <cell r="S167" t="e">
            <v>#REF!</v>
          </cell>
          <cell r="T167" t="e">
            <v>#REF!</v>
          </cell>
          <cell r="U167" t="e">
            <v>#REF!</v>
          </cell>
          <cell r="V167" t="e">
            <v>#REF!</v>
          </cell>
          <cell r="W167" t="e">
            <v>#REF!</v>
          </cell>
        </row>
        <row r="168">
          <cell r="C168" t="str">
            <v>Deferred profit</v>
          </cell>
          <cell r="H168">
            <v>-178.07400000000001</v>
          </cell>
          <cell r="I168">
            <v>76.206000000000017</v>
          </cell>
          <cell r="J168">
            <v>509.80200000000002</v>
          </cell>
          <cell r="K168">
            <v>604.57299999999987</v>
          </cell>
          <cell r="L168">
            <v>123.32300000000009</v>
          </cell>
          <cell r="M168">
            <v>-277.44000000000005</v>
          </cell>
          <cell r="N168" t="e">
            <v>#REF!</v>
          </cell>
          <cell r="O168" t="e">
            <v>#REF!</v>
          </cell>
          <cell r="P168" t="e">
            <v>#REF!</v>
          </cell>
          <cell r="Q168" t="e">
            <v>#REF!</v>
          </cell>
          <cell r="R168" t="e">
            <v>#REF!</v>
          </cell>
          <cell r="S168" t="e">
            <v>#REF!</v>
          </cell>
          <cell r="T168" t="e">
            <v>#REF!</v>
          </cell>
          <cell r="U168" t="e">
            <v>#REF!</v>
          </cell>
          <cell r="V168" t="e">
            <v>#REF!</v>
          </cell>
          <cell r="W168" t="e">
            <v>#REF!</v>
          </cell>
        </row>
        <row r="169">
          <cell r="C169" t="str">
            <v>Income taxes payable</v>
          </cell>
          <cell r="H169">
            <v>25</v>
          </cell>
          <cell r="I169">
            <v>16.918999999999983</v>
          </cell>
          <cell r="J169">
            <v>38.328000000000088</v>
          </cell>
          <cell r="K169">
            <v>-16.920000000000073</v>
          </cell>
          <cell r="L169">
            <v>-49.033000000000015</v>
          </cell>
          <cell r="M169">
            <v>-68.779999999999973</v>
          </cell>
          <cell r="N169" t="e">
            <v>#REF!</v>
          </cell>
          <cell r="O169" t="e">
            <v>#REF!</v>
          </cell>
          <cell r="P169" t="e">
            <v>#REF!</v>
          </cell>
          <cell r="Q169" t="e">
            <v>#REF!</v>
          </cell>
          <cell r="R169" t="e">
            <v>#REF!</v>
          </cell>
          <cell r="S169" t="e">
            <v>#REF!</v>
          </cell>
          <cell r="T169" t="e">
            <v>#REF!</v>
          </cell>
          <cell r="U169" t="e">
            <v>#REF!</v>
          </cell>
          <cell r="V169" t="e">
            <v>#REF!</v>
          </cell>
          <cell r="W169" t="e">
            <v>#REF!</v>
          </cell>
        </row>
        <row r="170">
          <cell r="C170" t="str">
            <v>Other long-term liabilities</v>
          </cell>
          <cell r="H170">
            <v>73</v>
          </cell>
          <cell r="I170">
            <v>103.29399999999688</v>
          </cell>
          <cell r="J170">
            <v>55.173000000002787</v>
          </cell>
          <cell r="K170">
            <v>24.213999999999999</v>
          </cell>
          <cell r="L170">
            <v>78.345000000000027</v>
          </cell>
          <cell r="M170">
            <v>73.725999999999942</v>
          </cell>
          <cell r="N170" t="e">
            <v>#REF!</v>
          </cell>
          <cell r="O170" t="e">
            <v>#REF!</v>
          </cell>
          <cell r="P170" t="e">
            <v>#REF!</v>
          </cell>
          <cell r="Q170" t="e">
            <v>#REF!</v>
          </cell>
          <cell r="R170" t="e">
            <v>#REF!</v>
          </cell>
          <cell r="S170" t="e">
            <v>#REF!</v>
          </cell>
          <cell r="T170" t="e">
            <v>#REF!</v>
          </cell>
          <cell r="U170" t="e">
            <v>#REF!</v>
          </cell>
          <cell r="V170" t="e">
            <v>#REF!</v>
          </cell>
          <cell r="W170" t="e">
            <v>#REF!</v>
          </cell>
        </row>
        <row r="171">
          <cell r="C171" t="str">
            <v>Net cash provided by operating activities</v>
          </cell>
          <cell r="H171" t="e">
            <v>#REF!</v>
          </cell>
          <cell r="I171" t="e">
            <v>#REF!</v>
          </cell>
          <cell r="J171">
            <v>3587.6890000000058</v>
          </cell>
          <cell r="K171">
            <v>3265.9850000000001</v>
          </cell>
          <cell r="L171">
            <v>5255.4480000000003</v>
          </cell>
          <cell r="M171">
            <v>4938.6330000000016</v>
          </cell>
          <cell r="N171" t="e">
            <v>#REF!</v>
          </cell>
          <cell r="O171" t="e">
            <v>#REF!</v>
          </cell>
          <cell r="P171" t="e">
            <v>#REF!</v>
          </cell>
          <cell r="Q171" t="e">
            <v>#REF!</v>
          </cell>
          <cell r="R171" t="e">
            <v>#REF!</v>
          </cell>
          <cell r="S171" t="e">
            <v>#REF!</v>
          </cell>
          <cell r="T171" t="e">
            <v>#REF!</v>
          </cell>
          <cell r="U171" t="e">
            <v>#REF!</v>
          </cell>
          <cell r="V171" t="e">
            <v>#REF!</v>
          </cell>
          <cell r="W171" t="e">
            <v>#REF!</v>
          </cell>
        </row>
        <row r="175">
          <cell r="C175" t="str">
            <v>CASH FLOWS FROM INVESTING ACTIVITIES:</v>
          </cell>
        </row>
        <row r="176">
          <cell r="C176" t="str">
            <v>Capital expenditures and intangible assets</v>
          </cell>
          <cell r="H176">
            <v>-303.49099999999999</v>
          </cell>
          <cell r="I176">
            <v>-232.52899999999988</v>
          </cell>
          <cell r="J176">
            <v>-502.96400000000011</v>
          </cell>
          <cell r="K176">
            <v>-647.33199999999988</v>
          </cell>
          <cell r="L176">
            <v>-618.12100000000009</v>
          </cell>
          <cell r="M176">
            <v>-627.63600000000019</v>
          </cell>
          <cell r="N176" t="e">
            <v>#REF!</v>
          </cell>
          <cell r="O176" t="e">
            <v>#REF!</v>
          </cell>
          <cell r="P176" t="e">
            <v>#REF!</v>
          </cell>
          <cell r="Q176" t="e">
            <v>#REF!</v>
          </cell>
          <cell r="R176" t="e">
            <v>#REF!</v>
          </cell>
          <cell r="S176" t="e">
            <v>#REF!</v>
          </cell>
          <cell r="T176" t="e">
            <v>#REF!</v>
          </cell>
          <cell r="U176" t="e">
            <v>#REF!</v>
          </cell>
          <cell r="V176" t="e">
            <v>#REF!</v>
          </cell>
          <cell r="W176" t="e">
            <v>#REF!</v>
          </cell>
        </row>
        <row r="177">
          <cell r="C177" t="str">
            <v>Business acquisitions, net of cash acquired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-119.955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</row>
        <row r="178">
          <cell r="C178" t="str">
            <v>Increase (Decrease) in available for purchase securities</v>
          </cell>
          <cell r="H178">
            <v>-1326.2080000000003</v>
          </cell>
          <cell r="I178">
            <v>-15</v>
          </cell>
          <cell r="J178">
            <v>464.52199999999993</v>
          </cell>
          <cell r="K178">
            <v>1165.884</v>
          </cell>
          <cell r="L178">
            <v>98.132000000000005</v>
          </cell>
          <cell r="M178">
            <v>37.765999999999998</v>
          </cell>
          <cell r="N178">
            <v>70.849333333333277</v>
          </cell>
          <cell r="O178">
            <v>70.849333333333277</v>
          </cell>
          <cell r="P178">
            <v>70.849333333333277</v>
          </cell>
          <cell r="Q178">
            <v>70.849333333333277</v>
          </cell>
          <cell r="R178">
            <v>70.849333333333277</v>
          </cell>
          <cell r="S178">
            <v>70.849333333333277</v>
          </cell>
          <cell r="T178">
            <v>70.849333333333277</v>
          </cell>
          <cell r="U178">
            <v>70.849333333333277</v>
          </cell>
          <cell r="V178">
            <v>70.849333333333277</v>
          </cell>
          <cell r="W178">
            <v>70.849333333333277</v>
          </cell>
        </row>
        <row r="179">
          <cell r="C179" t="str">
            <v>Other, net</v>
          </cell>
          <cell r="H179">
            <v>-7.3550000000000004</v>
          </cell>
          <cell r="I179">
            <v>-25.844999999999999</v>
          </cell>
          <cell r="J179">
            <v>-42.155000000000001</v>
          </cell>
          <cell r="K179">
            <v>-7.5750000000000002</v>
          </cell>
          <cell r="L179">
            <v>-11.170999999999999</v>
          </cell>
          <cell r="M179">
            <v>-11.71</v>
          </cell>
          <cell r="N179">
            <v>-17.635166666666667</v>
          </cell>
          <cell r="O179">
            <v>-19.348527777777779</v>
          </cell>
          <cell r="P179">
            <v>-18.265782407407407</v>
          </cell>
          <cell r="Q179">
            <v>-14.284246141975308</v>
          </cell>
          <cell r="R179">
            <v>-15.402453832304525</v>
          </cell>
          <cell r="S179">
            <v>-16.107696137688617</v>
          </cell>
          <cell r="T179">
            <v>-16.840645493970051</v>
          </cell>
          <cell r="U179">
            <v>-16.708225298520617</v>
          </cell>
          <cell r="V179">
            <v>-16.268174885311087</v>
          </cell>
          <cell r="W179">
            <v>-15.935240298295033</v>
          </cell>
        </row>
        <row r="180">
          <cell r="C180" t="str">
            <v>Net cash provided by (used for) investing activities</v>
          </cell>
          <cell r="H180">
            <v>-1637.0540000000003</v>
          </cell>
          <cell r="I180">
            <v>-273.37399999999991</v>
          </cell>
          <cell r="J180">
            <v>-80.597000000000179</v>
          </cell>
          <cell r="K180">
            <v>510.97700000000015</v>
          </cell>
          <cell r="L180">
            <v>-651.11500000000024</v>
          </cell>
          <cell r="M180">
            <v>-601.58000000000027</v>
          </cell>
          <cell r="N180" t="e">
            <v>#REF!</v>
          </cell>
          <cell r="O180" t="e">
            <v>#REF!</v>
          </cell>
          <cell r="P180" t="e">
            <v>#REF!</v>
          </cell>
          <cell r="Q180" t="e">
            <v>#REF!</v>
          </cell>
          <cell r="R180" t="e">
            <v>#REF!</v>
          </cell>
          <cell r="S180" t="e">
            <v>#REF!</v>
          </cell>
          <cell r="T180" t="e">
            <v>#REF!</v>
          </cell>
          <cell r="U180" t="e">
            <v>#REF!</v>
          </cell>
          <cell r="V180" t="e">
            <v>#REF!</v>
          </cell>
          <cell r="W180" t="e">
            <v>#REF!</v>
          </cell>
        </row>
        <row r="183">
          <cell r="C183" t="str">
            <v>CASH FLOWS FROM FINANCING ACTIVITIES:</v>
          </cell>
        </row>
        <row r="184">
          <cell r="C184" t="str">
            <v>Debt Issuances, Principal Payments, Maturities</v>
          </cell>
          <cell r="H184">
            <v>2359.067</v>
          </cell>
          <cell r="I184">
            <v>1307.114</v>
          </cell>
          <cell r="J184">
            <v>-862.06</v>
          </cell>
          <cell r="K184">
            <v>-11.888999999999999</v>
          </cell>
          <cell r="L184">
            <v>-23.206</v>
          </cell>
          <cell r="M184">
            <v>-256.10399999999998</v>
          </cell>
          <cell r="N184">
            <v>-749.11061903938571</v>
          </cell>
          <cell r="O184">
            <v>-966.05540508663989</v>
          </cell>
          <cell r="P184">
            <v>-189.73076406127484</v>
          </cell>
          <cell r="Q184">
            <v>-120.07194854719728</v>
          </cell>
          <cell r="R184">
            <v>-133.44904469591756</v>
          </cell>
          <cell r="S184">
            <v>-146.48736467099889</v>
          </cell>
          <cell r="T184">
            <v>-139.0980447415086</v>
          </cell>
          <cell r="U184">
            <v>-130.33759022604318</v>
          </cell>
          <cell r="V184">
            <v>-119.35883357508646</v>
          </cell>
          <cell r="W184">
            <v>-110.19862700981275</v>
          </cell>
        </row>
        <row r="185">
          <cell r="C185" t="str">
            <v>Treasury stock purchases</v>
          </cell>
          <cell r="H185">
            <v>-3780.6109999999999</v>
          </cell>
          <cell r="I185">
            <v>-1369.6489999999999</v>
          </cell>
          <cell r="J185">
            <v>-2697.7040000000002</v>
          </cell>
          <cell r="K185">
            <v>-3865.663</v>
          </cell>
          <cell r="L185">
            <v>-2017.0119999999999</v>
          </cell>
          <cell r="M185">
            <v>-2842.8069999999998</v>
          </cell>
          <cell r="N185" t="e">
            <v>#REF!</v>
          </cell>
          <cell r="O185" t="e">
            <v>#REF!</v>
          </cell>
          <cell r="P185" t="e">
            <v>#REF!</v>
          </cell>
          <cell r="Q185" t="e">
            <v>#REF!</v>
          </cell>
          <cell r="R185" t="e">
            <v>#REF!</v>
          </cell>
          <cell r="S185" t="e">
            <v>#REF!</v>
          </cell>
          <cell r="T185" t="e">
            <v>#REF!</v>
          </cell>
          <cell r="U185" t="e">
            <v>#REF!</v>
          </cell>
          <cell r="V185" t="e">
            <v>#REF!</v>
          </cell>
          <cell r="W185" t="e">
            <v>#REF!</v>
          </cell>
        </row>
        <row r="186">
          <cell r="C186" t="str">
            <v>Dividends paid</v>
          </cell>
          <cell r="H186">
            <v>-678.34799999999996</v>
          </cell>
          <cell r="I186">
            <v>-656.83799999999997</v>
          </cell>
          <cell r="J186">
            <v>-726.99199999999996</v>
          </cell>
          <cell r="K186">
            <v>-815.29</v>
          </cell>
          <cell r="L186">
            <v>-907.90700000000004</v>
          </cell>
          <cell r="M186">
            <v>-1018.915</v>
          </cell>
          <cell r="N186" t="e">
            <v>#REF!</v>
          </cell>
          <cell r="O186" t="e">
            <v>#REF!</v>
          </cell>
          <cell r="P186" t="e">
            <v>#REF!</v>
          </cell>
          <cell r="Q186" t="e">
            <v>#REF!</v>
          </cell>
          <cell r="R186" t="e">
            <v>#REF!</v>
          </cell>
          <cell r="S186" t="e">
            <v>#REF!</v>
          </cell>
          <cell r="T186" t="e">
            <v>#REF!</v>
          </cell>
          <cell r="U186" t="e">
            <v>#REF!</v>
          </cell>
          <cell r="V186" t="e">
            <v>#REF!</v>
          </cell>
          <cell r="W186" t="e">
            <v>#REF!</v>
          </cell>
        </row>
        <row r="187">
          <cell r="C187" t="str">
            <v>Other, net</v>
          </cell>
          <cell r="H187">
            <v>-290.18799999999999</v>
          </cell>
          <cell r="I187">
            <v>95.442999999999998</v>
          </cell>
          <cell r="J187">
            <v>119.774</v>
          </cell>
          <cell r="K187">
            <v>113.905</v>
          </cell>
          <cell r="L187">
            <v>117.458</v>
          </cell>
          <cell r="M187">
            <v>121.976</v>
          </cell>
          <cell r="N187">
            <v>46.394666666666666</v>
          </cell>
          <cell r="O187">
            <v>102.49177777777777</v>
          </cell>
          <cell r="P187">
            <v>103.66657407407406</v>
          </cell>
          <cell r="Q187">
            <v>100.98200308641975</v>
          </cell>
          <cell r="R187">
            <v>98.82817026748971</v>
          </cell>
          <cell r="S187">
            <v>95.723198645404651</v>
          </cell>
          <cell r="T187">
            <v>91.347731752972109</v>
          </cell>
          <cell r="U187">
            <v>98.839909267356347</v>
          </cell>
          <cell r="V187">
            <v>98.231264515619429</v>
          </cell>
          <cell r="W187">
            <v>97.325379589210328</v>
          </cell>
        </row>
        <row r="188">
          <cell r="C188" t="str">
            <v>Net cash used for financing activities</v>
          </cell>
          <cell r="H188">
            <v>-2390.08</v>
          </cell>
          <cell r="I188">
            <v>-623.92999999999984</v>
          </cell>
          <cell r="J188">
            <v>-4166.982</v>
          </cell>
          <cell r="K188">
            <v>-4578.9370000000008</v>
          </cell>
          <cell r="L188">
            <v>-2830.6669999999999</v>
          </cell>
          <cell r="M188">
            <v>-3995.849999999999</v>
          </cell>
          <cell r="N188" t="e">
            <v>#REF!</v>
          </cell>
          <cell r="O188" t="e">
            <v>#REF!</v>
          </cell>
          <cell r="P188" t="e">
            <v>#REF!</v>
          </cell>
          <cell r="Q188" t="e">
            <v>#REF!</v>
          </cell>
          <cell r="R188" t="e">
            <v>#REF!</v>
          </cell>
          <cell r="S188" t="e">
            <v>#REF!</v>
          </cell>
          <cell r="T188" t="e">
            <v>#REF!</v>
          </cell>
          <cell r="U188" t="e">
            <v>#REF!</v>
          </cell>
          <cell r="V188" t="e">
            <v>#REF!</v>
          </cell>
          <cell r="W188" t="e">
            <v>#REF!</v>
          </cell>
        </row>
        <row r="190">
          <cell r="C190" t="str">
            <v>Non-Cash Transactions:</v>
          </cell>
          <cell r="H190">
            <v>236.61500000000001</v>
          </cell>
          <cell r="I190">
            <v>256.71699999999998</v>
          </cell>
          <cell r="J190">
            <v>347.08000000000004</v>
          </cell>
          <cell r="K190">
            <v>361.02499999999998</v>
          </cell>
          <cell r="L190">
            <v>385.50799999999998</v>
          </cell>
          <cell r="M190">
            <v>444.46899999999999</v>
          </cell>
          <cell r="N190">
            <v>506.50692851203848</v>
          </cell>
          <cell r="O190">
            <v>557.15762136324236</v>
          </cell>
          <cell r="P190">
            <v>612.87338349956667</v>
          </cell>
          <cell r="Q190">
            <v>655.77452034453643</v>
          </cell>
          <cell r="R190">
            <v>701.67873676865406</v>
          </cell>
          <cell r="S190">
            <v>736.76267360708675</v>
          </cell>
          <cell r="T190">
            <v>773.60080728744117</v>
          </cell>
          <cell r="U190">
            <v>812.28084765181325</v>
          </cell>
          <cell r="V190">
            <v>852.89489003440394</v>
          </cell>
          <cell r="W190">
            <v>895.53963453612414</v>
          </cell>
        </row>
        <row r="191">
          <cell r="C191" t="str">
            <v>Effect of exchange rate changes on cash, cash equivalents and restricted cash</v>
          </cell>
          <cell r="H191">
            <v>-2.75</v>
          </cell>
          <cell r="I191">
            <v>7.2149999999999999</v>
          </cell>
          <cell r="J191">
            <v>-2.75</v>
          </cell>
          <cell r="K191">
            <v>-30.227</v>
          </cell>
          <cell r="L191">
            <v>0.128</v>
          </cell>
          <cell r="M191">
            <v>-22.373999999999999</v>
          </cell>
          <cell r="N191">
            <v>-5.075166666666667</v>
          </cell>
          <cell r="O191">
            <v>-5.075166666666667</v>
          </cell>
          <cell r="P191">
            <v>-5.075166666666667</v>
          </cell>
          <cell r="Q191">
            <v>-5.075166666666667</v>
          </cell>
          <cell r="R191">
            <v>-5.075166666666667</v>
          </cell>
          <cell r="S191">
            <v>-5.075166666666667</v>
          </cell>
          <cell r="T191">
            <v>-5.075166666666667</v>
          </cell>
          <cell r="U191">
            <v>-5.075166666666667</v>
          </cell>
          <cell r="V191">
            <v>-5.075166666666667</v>
          </cell>
          <cell r="W191">
            <v>-5.075166666666667</v>
          </cell>
        </row>
        <row r="193">
          <cell r="C193" t="str">
            <v>Net (decrease) increase in cash, cash equivalents and restricted cash</v>
          </cell>
          <cell r="H193">
            <v>1772.9839999999995</v>
          </cell>
          <cell r="I193">
            <v>2796.8559999999993</v>
          </cell>
          <cell r="J193">
            <v>960.57700000000023</v>
          </cell>
          <cell r="K193">
            <v>-255.66400000000021</v>
          </cell>
          <cell r="L193">
            <v>167.97299999999996</v>
          </cell>
          <cell r="M193">
            <v>260.48399999999947</v>
          </cell>
          <cell r="N193" t="e">
            <v>#REF!</v>
          </cell>
          <cell r="O193" t="e">
            <v>#REF!</v>
          </cell>
          <cell r="P193" t="e">
            <v>#REF!</v>
          </cell>
          <cell r="Q193" t="e">
            <v>#REF!</v>
          </cell>
          <cell r="R193" t="e">
            <v>#REF!</v>
          </cell>
          <cell r="S193" t="e">
            <v>#REF!</v>
          </cell>
          <cell r="T193" t="e">
            <v>#REF!</v>
          </cell>
          <cell r="U193" t="e">
            <v>#REF!</v>
          </cell>
          <cell r="V193" t="e">
            <v>#REF!</v>
          </cell>
          <cell r="W193" t="e">
            <v>#REF!</v>
          </cell>
        </row>
        <row r="194">
          <cell r="C194" t="str">
            <v>Cash, cash equivalents and restricted cash at beginning of year</v>
          </cell>
          <cell r="H194">
            <v>3658.2190000000001</v>
          </cell>
          <cell r="I194">
            <v>3913.3960000000002</v>
          </cell>
          <cell r="J194">
            <v>4768.558</v>
          </cell>
          <cell r="K194">
            <v>3913.3960000000002</v>
          </cell>
          <cell r="L194">
            <v>5169.0829999999996</v>
          </cell>
          <cell r="M194">
            <v>5587.3720000000003</v>
          </cell>
          <cell r="N194">
            <v>5847.8559999999998</v>
          </cell>
          <cell r="O194" t="e">
            <v>#REF!</v>
          </cell>
          <cell r="P194" t="e">
            <v>#REF!</v>
          </cell>
          <cell r="Q194" t="e">
            <v>#REF!</v>
          </cell>
          <cell r="R194" t="e">
            <v>#REF!</v>
          </cell>
          <cell r="S194" t="e">
            <v>#REF!</v>
          </cell>
          <cell r="T194" t="e">
            <v>#REF!</v>
          </cell>
          <cell r="U194" t="e">
            <v>#REF!</v>
          </cell>
          <cell r="V194" t="e">
            <v>#REF!</v>
          </cell>
          <cell r="W194" t="e">
            <v>#REF!</v>
          </cell>
        </row>
        <row r="195">
          <cell r="C195" t="str">
            <v>Cash, cash equivalents and restricted cash at end of year</v>
          </cell>
          <cell r="H195">
            <v>5431.2029999999995</v>
          </cell>
          <cell r="I195">
            <v>6710.2519999999995</v>
          </cell>
          <cell r="J195">
            <v>5729.1350000000002</v>
          </cell>
          <cell r="K195">
            <v>3657.732</v>
          </cell>
          <cell r="L195">
            <v>5337.0559999999996</v>
          </cell>
          <cell r="M195">
            <v>5847.8559999999998</v>
          </cell>
          <cell r="N195" t="e">
            <v>#REF!</v>
          </cell>
          <cell r="O195" t="e">
            <v>#REF!</v>
          </cell>
          <cell r="P195" t="e">
            <v>#REF!</v>
          </cell>
          <cell r="Q195" t="e">
            <v>#REF!</v>
          </cell>
          <cell r="R195" t="e">
            <v>#REF!</v>
          </cell>
          <cell r="S195" t="e">
            <v>#REF!</v>
          </cell>
          <cell r="T195" t="e">
            <v>#REF!</v>
          </cell>
          <cell r="U195" t="e">
            <v>#REF!</v>
          </cell>
          <cell r="V195" t="e">
            <v>#REF!</v>
          </cell>
          <cell r="W195" t="e">
            <v>#REF!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ummary"/>
      <sheetName val="Graphs"/>
      <sheetName val="WMT_Model"/>
      <sheetName val="Q1_Results"/>
      <sheetName val="DCF"/>
      <sheetName val="WACC"/>
      <sheetName val="ValSum"/>
      <sheetName val="ValGraph"/>
      <sheetName val="Public_Comps"/>
      <sheetName val="Public_Comps_Data"/>
      <sheetName val="MA_Comps"/>
    </sheetNames>
    <sheetDataSet>
      <sheetData sheetId="0" refreshError="1"/>
      <sheetData sheetId="1" refreshError="1"/>
      <sheetData sheetId="2" refreshError="1"/>
      <sheetData sheetId="3" refreshError="1">
        <row r="3">
          <cell r="B3" t="str">
            <v>($ in Millions Except Per Share and Per Unit Data)</v>
          </cell>
        </row>
        <row r="8">
          <cell r="D8" t="str">
            <v>WMT</v>
          </cell>
        </row>
        <row r="19">
          <cell r="E19" t="str">
            <v>Historical:</v>
          </cell>
          <cell r="I19" t="str">
            <v>Projected:</v>
          </cell>
        </row>
        <row r="20">
          <cell r="D20" t="str">
            <v>Units:</v>
          </cell>
        </row>
        <row r="29">
          <cell r="C29" t="str">
            <v>Upside</v>
          </cell>
        </row>
        <row r="30">
          <cell r="C30" t="str">
            <v>Base</v>
          </cell>
        </row>
        <row r="31">
          <cell r="C31" t="str">
            <v>Downside</v>
          </cell>
        </row>
        <row r="90">
          <cell r="E90" t="str">
            <v>Historical:</v>
          </cell>
          <cell r="I90" t="str">
            <v>Projected:</v>
          </cell>
        </row>
        <row r="91">
          <cell r="D91" t="str">
            <v>Units: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Ticker:</v>
          </cell>
        </row>
        <row r="2">
          <cell r="B2" t="str">
            <v>Company Name:</v>
          </cell>
        </row>
        <row r="14">
          <cell r="B14" t="str">
            <v>Effective Tax Rate:</v>
          </cell>
        </row>
        <row r="21">
          <cell r="B21" t="str">
            <v>(+) Debt &amp; Capital Leases:</v>
          </cell>
        </row>
        <row r="22">
          <cell r="B22" t="str">
            <v>(+) Preferred Stock:</v>
          </cell>
        </row>
        <row r="59">
          <cell r="B59" t="str">
            <v>Equity Value:</v>
          </cell>
        </row>
        <row r="61">
          <cell r="B61" t="str">
            <v>Levered Beta:</v>
          </cell>
        </row>
      </sheetData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ummary"/>
      <sheetName val="Graphs"/>
      <sheetName val="Model"/>
      <sheetName val="Debt"/>
      <sheetName val="Q3_Results"/>
      <sheetName val="DCF"/>
      <sheetName val="WACC"/>
      <sheetName val="ValSum"/>
      <sheetName val="ValGraph"/>
      <sheetName val="PubComps"/>
      <sheetName val="PubCompsData"/>
      <sheetName val="MACom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8">
          <cell r="I28" t="str">
            <v>(+) Cash and Investments:</v>
          </cell>
        </row>
        <row r="29">
          <cell r="I29" t="str">
            <v>(+) Net Operating Losses:</v>
          </cell>
        </row>
        <row r="30">
          <cell r="I30" t="str">
            <v>(-)Debt and Finance Leases:</v>
          </cell>
        </row>
        <row r="31">
          <cell r="I31" t="str">
            <v>(-)Preferred Stock:</v>
          </cell>
        </row>
        <row r="32">
          <cell r="I32" t="str">
            <v>(-) Operating Leases:</v>
          </cell>
        </row>
        <row r="33">
          <cell r="I33" t="str">
            <v>(-) Noncontrolling Interests:</v>
          </cell>
        </row>
        <row r="34">
          <cell r="I34" t="str">
            <v>(-)Unfunded Pensions:</v>
          </cell>
        </row>
        <row r="36">
          <cell r="I36" t="str">
            <v xml:space="preserve">Implied Equity Value: 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A0202-236E-481D-BA7E-ED858BB26B81}">
  <dimension ref="B2:H96"/>
  <sheetViews>
    <sheetView showGridLines="0" topLeftCell="A8" zoomScale="69" workbookViewId="0">
      <selection activeCell="D22" sqref="D22"/>
    </sheetView>
  </sheetViews>
  <sheetFormatPr defaultColWidth="9.1796875" defaultRowHeight="16"/>
  <cols>
    <col min="1" max="1" width="2.7265625" style="588" customWidth="1"/>
    <col min="2" max="2" width="6.26953125" style="588" bestFit="1" customWidth="1"/>
    <col min="3" max="3" width="53.7265625" style="588" bestFit="1" customWidth="1"/>
    <col min="4" max="7" width="12.7265625" style="588" customWidth="1"/>
    <col min="8" max="8" width="2.7265625" style="588" customWidth="1"/>
    <col min="9" max="16384" width="9.1796875" style="588"/>
  </cols>
  <sheetData>
    <row r="2" spans="2:8" ht="18.5">
      <c r="B2" s="7" t="str">
        <f>Company_Name&amp;" - Operating Model and Valuation - Cover Page and Navigation"</f>
        <v>Nebius, N.V. - Operating Model and Valuation - Cover Page and Navigation</v>
      </c>
      <c r="H2" s="8"/>
    </row>
    <row r="3" spans="2:8">
      <c r="H3" s="85"/>
    </row>
    <row r="6" spans="2:8">
      <c r="C6"/>
      <c r="E6"/>
    </row>
    <row r="7" spans="2:8">
      <c r="C7" s="164"/>
    </row>
    <row r="10" spans="2:8">
      <c r="C10" s="588" t="s">
        <v>11</v>
      </c>
      <c r="D10" s="603" t="str">
        <f>Company_Name</f>
        <v>Nebius, N.V.</v>
      </c>
    </row>
    <row r="11" spans="2:8">
      <c r="C11" s="588" t="s">
        <v>375</v>
      </c>
      <c r="D11" s="588" t="s">
        <v>428</v>
      </c>
    </row>
    <row r="12" spans="2:8">
      <c r="C12" s="588" t="s">
        <v>376</v>
      </c>
      <c r="D12" s="588" t="s">
        <v>377</v>
      </c>
    </row>
    <row r="13" spans="2:8">
      <c r="H13" s="8"/>
    </row>
    <row r="14" spans="2:8">
      <c r="C14" s="588" t="s">
        <v>378</v>
      </c>
      <c r="D14" s="588" t="str">
        <f ca="1">MID(CELL("filename"),SEARCH("[",CELL("filename"))+1, SEARCH("]",CELL("filename"))-SEARCH("[",CELL("filename"))-1)</f>
        <v>NBISMODEL.xlsx</v>
      </c>
      <c r="H14" s="85"/>
    </row>
    <row r="15" spans="2:8">
      <c r="C15" s="588" t="s">
        <v>379</v>
      </c>
      <c r="D15" s="604">
        <f>Valuation_Date</f>
        <v>45626</v>
      </c>
    </row>
    <row r="17" spans="2:6">
      <c r="C17" s="588" t="s">
        <v>380</v>
      </c>
      <c r="D17" s="605"/>
    </row>
    <row r="18" spans="2:6">
      <c r="C18" s="588" t="s">
        <v>381</v>
      </c>
      <c r="D18" s="606"/>
    </row>
    <row r="19" spans="2:6">
      <c r="C19" s="588" t="s">
        <v>382</v>
      </c>
      <c r="D19" s="607"/>
    </row>
    <row r="21" spans="2:6">
      <c r="B21" s="608" t="s">
        <v>383</v>
      </c>
      <c r="C21" s="609" t="s">
        <v>384</v>
      </c>
      <c r="D21" s="609" t="s">
        <v>385</v>
      </c>
      <c r="E21" s="609"/>
      <c r="F21" s="609"/>
    </row>
    <row r="22" spans="2:6">
      <c r="B22" s="587">
        <f ca="1">_xlfn.SHEET(INDIRECT(D22&amp;"!A1"))</f>
        <v>1</v>
      </c>
      <c r="C22" s="586" t="s">
        <v>450</v>
      </c>
      <c r="D22" s="345" t="s">
        <v>450</v>
      </c>
      <c r="E22" s="586"/>
      <c r="F22" s="586"/>
    </row>
    <row r="23" spans="2:6">
      <c r="B23" s="587">
        <f ca="1">_xlfn.SHEET(INDIRECT(D23&amp;"!A1"))</f>
        <v>2</v>
      </c>
      <c r="C23" s="588" t="s">
        <v>386</v>
      </c>
      <c r="D23" s="345" t="s">
        <v>387</v>
      </c>
    </row>
    <row r="24" spans="2:6">
      <c r="B24" s="587">
        <f t="shared" ref="B24:B33" ca="1" si="0">_xlfn.SHEET(INDIRECT(D24&amp;"!A1"))</f>
        <v>3</v>
      </c>
      <c r="C24" s="588" t="s">
        <v>388</v>
      </c>
      <c r="D24" s="345" t="s">
        <v>389</v>
      </c>
    </row>
    <row r="25" spans="2:6">
      <c r="B25" s="587">
        <f ca="1">_xlfn.SHEET(INDIRECT(D25&amp;"!A1"))</f>
        <v>4</v>
      </c>
      <c r="C25" s="588" t="s">
        <v>449</v>
      </c>
      <c r="D25" s="345" t="s">
        <v>390</v>
      </c>
    </row>
    <row r="26" spans="2:6">
      <c r="B26" s="587">
        <f ca="1">_xlfn.SHEET(INDIRECT(D26&amp;"!A1"))</f>
        <v>5</v>
      </c>
      <c r="C26" s="588" t="s">
        <v>448</v>
      </c>
      <c r="D26" s="345" t="s">
        <v>447</v>
      </c>
    </row>
    <row r="27" spans="2:6">
      <c r="B27" s="587">
        <f t="shared" ca="1" si="0"/>
        <v>6</v>
      </c>
      <c r="C27" s="588" t="s">
        <v>391</v>
      </c>
      <c r="D27" s="345" t="s">
        <v>392</v>
      </c>
    </row>
    <row r="28" spans="2:6">
      <c r="B28" s="587">
        <f t="shared" ca="1" si="0"/>
        <v>7</v>
      </c>
      <c r="C28" s="588" t="s">
        <v>393</v>
      </c>
      <c r="D28" s="345" t="s">
        <v>394</v>
      </c>
    </row>
    <row r="29" spans="2:6">
      <c r="B29" s="587">
        <f t="shared" ca="1" si="0"/>
        <v>8</v>
      </c>
      <c r="C29" s="588" t="s">
        <v>395</v>
      </c>
      <c r="D29" s="345" t="s">
        <v>396</v>
      </c>
    </row>
    <row r="30" spans="2:6">
      <c r="B30" s="587">
        <f t="shared" ca="1" si="0"/>
        <v>9</v>
      </c>
      <c r="C30" s="588" t="s">
        <v>397</v>
      </c>
      <c r="D30" s="345" t="s">
        <v>398</v>
      </c>
    </row>
    <row r="31" spans="2:6">
      <c r="B31" s="587">
        <f t="shared" ca="1" si="0"/>
        <v>10</v>
      </c>
      <c r="C31" s="588" t="s">
        <v>399</v>
      </c>
      <c r="D31" s="345" t="s">
        <v>400</v>
      </c>
    </row>
    <row r="32" spans="2:6">
      <c r="B32" s="587">
        <f t="shared" ca="1" si="0"/>
        <v>11</v>
      </c>
      <c r="C32" s="588" t="s">
        <v>401</v>
      </c>
      <c r="D32" s="345" t="s">
        <v>402</v>
      </c>
    </row>
    <row r="33" spans="2:8">
      <c r="B33" s="587">
        <f t="shared" ca="1" si="0"/>
        <v>12</v>
      </c>
      <c r="C33" s="588" t="s">
        <v>403</v>
      </c>
      <c r="D33" s="345" t="s">
        <v>404</v>
      </c>
    </row>
    <row r="40" spans="2:8">
      <c r="H40" s="8"/>
    </row>
    <row r="41" spans="2:8">
      <c r="H41" s="85"/>
    </row>
    <row r="55" spans="8:8">
      <c r="H55" s="8"/>
    </row>
    <row r="56" spans="8:8">
      <c r="H56" s="85"/>
    </row>
    <row r="95" spans="8:8">
      <c r="H95" s="8"/>
    </row>
    <row r="96" spans="8:8">
      <c r="H96" s="85"/>
    </row>
  </sheetData>
  <hyperlinks>
    <hyperlink ref="D23" location="Summary!A1" display="Summary" xr:uid="{007B4D31-A299-4002-93BC-0BFDA7F1EA25}"/>
    <hyperlink ref="D24" location="Graphs!A1" display="Graphs" xr:uid="{B682AD36-B852-4EE1-9964-6D3E664E316A}"/>
    <hyperlink ref="D25" location="WMT_Model!A1" display="WMT_Model" xr:uid="{7E2653E0-467C-478F-8B9E-55A19291BE10}"/>
    <hyperlink ref="D27" location="DCF!A1" display="DCF" xr:uid="{BEBFA808-5E3A-4C26-889C-8C1B730D9EFE}"/>
    <hyperlink ref="D28" location="WACC!A1" display="WACC" xr:uid="{0EF93A1C-9FD8-4A37-86F9-10EA6DFAA198}"/>
    <hyperlink ref="D29" location="ValSum!A1" display="ValSum" xr:uid="{094FFEC2-F20C-41F0-B08A-BAEEBF9DBB3E}"/>
    <hyperlink ref="D30" location="ValGraph!A1" display="ValGraph" xr:uid="{36B9A71E-F328-4D7C-9ED2-CFD531BA0C64}"/>
    <hyperlink ref="D31" location="Public_Comps!A1" display="Public_Comps" xr:uid="{2ACD11DB-7A72-449D-BFE9-6F4E22AA9A63}"/>
    <hyperlink ref="D32" location="Public_Comps_Data!A1" display="Public_Comps_Data" xr:uid="{C4D916AF-4ADD-4E45-AA82-F38303DC7894}"/>
    <hyperlink ref="D33" location="MA_Comps!A1" display="MA_Comps" xr:uid="{E710F038-5803-4ECB-82CE-7A6FAFAC1F70}"/>
    <hyperlink ref="D26" location="WMT_Model!A1" display="WMT_Model" xr:uid="{E455F688-0F84-48AF-8BA3-38C88D867F82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5A7D3-5BA5-4748-BD44-072F6CF6BDCA}">
  <dimension ref="A2:AG41"/>
  <sheetViews>
    <sheetView showGridLines="0" zoomScale="52" workbookViewId="0">
      <selection activeCell="I13" sqref="I13"/>
    </sheetView>
  </sheetViews>
  <sheetFormatPr defaultRowHeight="14.5"/>
  <cols>
    <col min="2" max="2" width="20.54296875" bestFit="1" customWidth="1"/>
    <col min="3" max="3" width="8.54296875" bestFit="1" customWidth="1"/>
    <col min="4" max="4" width="10.54296875" bestFit="1" customWidth="1"/>
    <col min="5" max="5" width="8.54296875" bestFit="1" customWidth="1"/>
    <col min="6" max="6" width="13.81640625" bestFit="1" customWidth="1"/>
    <col min="7" max="8" width="8.453125" bestFit="1" customWidth="1"/>
    <col min="9" max="9" width="11.08984375" bestFit="1" customWidth="1"/>
    <col min="10" max="10" width="10.7265625" bestFit="1" customWidth="1"/>
    <col min="11" max="11" width="10.26953125" bestFit="1" customWidth="1"/>
    <col min="12" max="12" width="9" bestFit="1" customWidth="1"/>
    <col min="13" max="13" width="13.81640625" bestFit="1" customWidth="1"/>
    <col min="14" max="16" width="12.54296875" bestFit="1" customWidth="1"/>
    <col min="17" max="17" width="12.1796875" bestFit="1" customWidth="1"/>
    <col min="18" max="19" width="12.453125" bestFit="1" customWidth="1"/>
    <col min="20" max="20" width="12" bestFit="1" customWidth="1"/>
    <col min="21" max="22" width="12.453125" bestFit="1" customWidth="1"/>
    <col min="23" max="27" width="8.81640625" bestFit="1" customWidth="1"/>
    <col min="28" max="33" width="10.1796875" bestFit="1" customWidth="1"/>
  </cols>
  <sheetData>
    <row r="2" spans="1:31" ht="16">
      <c r="B2" s="221" t="s">
        <v>192</v>
      </c>
      <c r="C2" s="222"/>
      <c r="D2" s="222"/>
      <c r="E2" s="222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</row>
    <row r="3" spans="1:31" ht="16">
      <c r="B3" s="98" t="s">
        <v>193</v>
      </c>
      <c r="C3" s="98"/>
      <c r="D3" s="222"/>
      <c r="E3" s="222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</row>
    <row r="4" spans="1:31" ht="16">
      <c r="B4" s="98"/>
      <c r="C4" s="98"/>
      <c r="D4" s="222"/>
      <c r="E4" s="222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</row>
    <row r="5" spans="1:31" ht="16">
      <c r="B5" s="223" t="s">
        <v>11</v>
      </c>
      <c r="C5" s="224" t="s">
        <v>12</v>
      </c>
      <c r="D5" s="225" t="s">
        <v>194</v>
      </c>
      <c r="E5" s="226" t="s">
        <v>195</v>
      </c>
      <c r="F5" s="227" t="s">
        <v>196</v>
      </c>
      <c r="G5" s="227" t="s">
        <v>197</v>
      </c>
      <c r="H5" s="228" t="s">
        <v>17</v>
      </c>
      <c r="I5" s="229" t="s">
        <v>114</v>
      </c>
      <c r="J5" s="229" t="s">
        <v>198</v>
      </c>
      <c r="K5" s="229" t="s">
        <v>122</v>
      </c>
      <c r="L5" s="229" t="s">
        <v>123</v>
      </c>
      <c r="M5" s="227" t="s">
        <v>199</v>
      </c>
      <c r="N5" s="228" t="str">
        <f>PubCompsData!C7</f>
        <v>Revenue:</v>
      </c>
      <c r="O5" s="227" t="str">
        <f>PubCompsData!C73</f>
        <v>2024-12-31 Revenue:</v>
      </c>
      <c r="P5" s="227" t="str">
        <f>PubCompsData!C77</f>
        <v>2025-03-31 Revenue:</v>
      </c>
      <c r="Q5" s="230" t="str">
        <f>PubCompsData!C14</f>
        <v>EBITDA:</v>
      </c>
      <c r="R5" s="227" t="str">
        <f>PubCompsData!C74</f>
        <v>2024-12-31 EBITDA:</v>
      </c>
      <c r="S5" s="227" t="str">
        <f>PubCompsData!C78</f>
        <v>2025-03-31 EBITDA:</v>
      </c>
      <c r="T5" s="229" t="str">
        <f>PubCompsData!C9</f>
        <v>Reported Net Income:</v>
      </c>
      <c r="U5" s="227" t="str">
        <f>PubCompsData!C75</f>
        <v>2024-12-31 Reported Net Income:</v>
      </c>
      <c r="V5" s="227" t="str">
        <f>PubCompsData!C79</f>
        <v>2025-03-31 Reported Net Income:</v>
      </c>
      <c r="W5" s="227" t="str">
        <f>PubCompsData!C85</f>
        <v>Quarter 1 Projected Revenue Growth:</v>
      </c>
      <c r="X5" s="227" t="str">
        <f>PubCompsData!C86</f>
        <v>Quarter 1 Projected EBITDA Growth:</v>
      </c>
      <c r="Y5" s="227" t="str">
        <f>PubCompsData!C88</f>
        <v>EBITDA Margin:</v>
      </c>
      <c r="Z5" s="227" t="str">
        <f>PubCompsData!C89</f>
        <v>2024-12-31 EBITDA Margin:</v>
      </c>
      <c r="AA5" s="227" t="str">
        <f>PubCompsData!C90</f>
        <v>2025-03-31 EBITDA Margin:</v>
      </c>
      <c r="AB5" s="98"/>
      <c r="AC5" s="98"/>
    </row>
    <row r="6" spans="1:31" ht="16">
      <c r="B6" s="231" t="s">
        <v>200</v>
      </c>
      <c r="C6" s="232"/>
      <c r="D6" s="232"/>
      <c r="E6" s="232"/>
      <c r="F6" s="233" t="s">
        <v>201</v>
      </c>
      <c r="G6" s="233"/>
      <c r="H6" s="233"/>
      <c r="I6" s="233"/>
      <c r="J6" s="233"/>
      <c r="K6" s="233"/>
      <c r="L6" s="233"/>
      <c r="M6" s="234"/>
      <c r="N6" s="235"/>
      <c r="O6" s="235"/>
      <c r="P6" s="235"/>
      <c r="Q6" s="235"/>
      <c r="R6" s="235"/>
      <c r="S6" s="235"/>
      <c r="T6" s="235"/>
      <c r="U6" s="235"/>
      <c r="V6" s="235"/>
      <c r="W6" s="236" t="s">
        <v>202</v>
      </c>
      <c r="X6" s="236" t="s">
        <v>202</v>
      </c>
      <c r="Y6" s="233"/>
      <c r="Z6" s="233"/>
      <c r="AA6" s="237"/>
    </row>
    <row r="7" spans="1:31" ht="16">
      <c r="B7" s="235"/>
      <c r="C7" s="235"/>
      <c r="D7" s="236" t="s">
        <v>203</v>
      </c>
      <c r="E7" s="236" t="s">
        <v>204</v>
      </c>
      <c r="F7" s="236" t="s">
        <v>205</v>
      </c>
      <c r="G7" s="236"/>
      <c r="H7" s="236"/>
      <c r="I7" s="236"/>
      <c r="J7" s="236"/>
      <c r="K7" s="236"/>
      <c r="L7" s="236" t="s">
        <v>206</v>
      </c>
      <c r="M7" s="236" t="s">
        <v>207</v>
      </c>
      <c r="N7" s="233" t="s">
        <v>208</v>
      </c>
      <c r="O7" s="233"/>
      <c r="P7" s="233"/>
      <c r="Q7" s="233" t="s">
        <v>8</v>
      </c>
      <c r="R7" s="233"/>
      <c r="S7" s="233"/>
      <c r="T7" s="233" t="s">
        <v>68</v>
      </c>
      <c r="U7" s="233"/>
      <c r="V7" s="233"/>
      <c r="W7" s="236" t="s">
        <v>208</v>
      </c>
      <c r="X7" s="236" t="s">
        <v>8</v>
      </c>
      <c r="Y7" s="233" t="s">
        <v>209</v>
      </c>
      <c r="Z7" s="233"/>
      <c r="AA7" s="233"/>
    </row>
    <row r="8" spans="1:31" ht="16">
      <c r="B8" s="238" t="s">
        <v>210</v>
      </c>
      <c r="C8" s="238" t="s">
        <v>211</v>
      </c>
      <c r="D8" s="239" t="s">
        <v>212</v>
      </c>
      <c r="E8" s="239" t="s">
        <v>213</v>
      </c>
      <c r="F8" s="239" t="s">
        <v>214</v>
      </c>
      <c r="G8" s="239" t="s">
        <v>215</v>
      </c>
      <c r="H8" s="239" t="s">
        <v>216</v>
      </c>
      <c r="I8" s="239" t="s">
        <v>33</v>
      </c>
      <c r="J8" s="239" t="s">
        <v>217</v>
      </c>
      <c r="K8" s="239" t="s">
        <v>218</v>
      </c>
      <c r="L8" s="239" t="s">
        <v>219</v>
      </c>
      <c r="M8" s="239" t="s">
        <v>220</v>
      </c>
      <c r="N8" s="240" t="s">
        <v>28</v>
      </c>
      <c r="O8" s="241" t="s">
        <v>88</v>
      </c>
      <c r="P8" s="241" t="s">
        <v>89</v>
      </c>
      <c r="Q8" s="240" t="str">
        <f>$N$8</f>
        <v>Q4</v>
      </c>
      <c r="R8" s="241" t="str">
        <f>+$O$8</f>
        <v>Q1-25</v>
      </c>
      <c r="S8" s="241" t="str">
        <f>+$P$8</f>
        <v>Q2-25</v>
      </c>
      <c r="T8" s="240" t="str">
        <f>$N$8</f>
        <v>Q4</v>
      </c>
      <c r="U8" s="241" t="str">
        <f>+$O$8</f>
        <v>Q1-25</v>
      </c>
      <c r="V8" s="241" t="str">
        <f>+$P$8</f>
        <v>Q2-25</v>
      </c>
      <c r="W8" s="239" t="s">
        <v>222</v>
      </c>
      <c r="X8" s="239" t="s">
        <v>222</v>
      </c>
      <c r="Y8" s="240" t="str">
        <f>$N$8</f>
        <v>Q4</v>
      </c>
      <c r="Z8" s="241" t="str">
        <f>+$O$8</f>
        <v>Q1-25</v>
      </c>
      <c r="AA8" s="241" t="str">
        <f>+$P$8</f>
        <v>Q2-25</v>
      </c>
    </row>
    <row r="9" spans="1:31" s="539" customFormat="1" ht="16">
      <c r="A9"/>
      <c r="B9" s="223" t="str">
        <f t="shared" ref="B9:B14" si="0">INDEX(Pub_Comps_Range,MATCH(B$5,Pub_Comps_Params,0),MATCH($C9,Pub_Comps_Tickers,0))</f>
        <v>Lam Research Corp.</v>
      </c>
      <c r="C9" s="98" t="s">
        <v>236</v>
      </c>
      <c r="D9" s="223">
        <f t="shared" ref="D9:M14" si="1">INDEX(Pub_Comps_Range,MATCH(D$5,Pub_Comps_Params,0),MATCH($C9,Pub_Comps_Tickers,0))</f>
        <v>73.069999999999993</v>
      </c>
      <c r="E9" s="223">
        <f t="shared" si="1"/>
        <v>1295.23</v>
      </c>
      <c r="F9" s="568">
        <f t="shared" si="1"/>
        <v>94642.456099999996</v>
      </c>
      <c r="G9" s="569">
        <f t="shared" si="1"/>
        <v>1.49</v>
      </c>
      <c r="H9" s="570">
        <f t="shared" si="1"/>
        <v>0.12212742534746113</v>
      </c>
      <c r="I9" s="568">
        <f t="shared" si="1"/>
        <v>-6067</v>
      </c>
      <c r="J9" s="568">
        <f t="shared" si="1"/>
        <v>4983</v>
      </c>
      <c r="K9" s="571">
        <f t="shared" si="1"/>
        <v>0</v>
      </c>
      <c r="L9" s="571">
        <f t="shared" si="1"/>
        <v>0</v>
      </c>
      <c r="M9" s="571">
        <f t="shared" si="1"/>
        <v>93558.456099999996</v>
      </c>
      <c r="N9" s="571">
        <f t="shared" ref="N9:AA14" si="2">INDEX(Pub_Comps_Range,MATCH(N$5,Pub_Comps_Params,0),MATCH($C9,Pub_Comps_Tickers,0))</f>
        <v>4167.9759999999997</v>
      </c>
      <c r="O9" s="571">
        <f t="shared" si="2"/>
        <v>4334.6950399999996</v>
      </c>
      <c r="P9" s="571">
        <f t="shared" si="2"/>
        <v>4508.0828415999995</v>
      </c>
      <c r="Q9" s="571">
        <f t="shared" si="2"/>
        <v>1441.2529999999999</v>
      </c>
      <c r="R9" s="571">
        <f t="shared" si="2"/>
        <v>1513.31565</v>
      </c>
      <c r="S9" s="571">
        <f t="shared" si="2"/>
        <v>1588.9814325</v>
      </c>
      <c r="T9" s="571">
        <f t="shared" si="2"/>
        <v>1116.444</v>
      </c>
      <c r="U9" s="571">
        <f t="shared" si="2"/>
        <v>1172.2662</v>
      </c>
      <c r="V9" s="571">
        <f t="shared" si="2"/>
        <v>1230.87951</v>
      </c>
      <c r="W9" s="538">
        <f t="shared" si="2"/>
        <v>4.0000000000000036E-2</v>
      </c>
      <c r="X9" s="538">
        <f t="shared" si="2"/>
        <v>5.0000000000000044E-2</v>
      </c>
      <c r="Y9" s="538">
        <f t="shared" si="2"/>
        <v>0.37992117162832356</v>
      </c>
      <c r="Z9" s="538">
        <f t="shared" si="2"/>
        <v>0.34911698194113333</v>
      </c>
      <c r="AA9" s="538">
        <f t="shared" si="2"/>
        <v>0.35247387599825958</v>
      </c>
    </row>
    <row r="10" spans="1:31" s="539" customFormat="1" ht="16">
      <c r="A10"/>
      <c r="B10" s="223" t="str">
        <f t="shared" si="0"/>
        <v>ASML Holding, N.V.</v>
      </c>
      <c r="C10" s="98" t="s">
        <v>224</v>
      </c>
      <c r="D10" s="223">
        <f t="shared" si="1"/>
        <v>672.88</v>
      </c>
      <c r="E10" s="223">
        <f t="shared" si="1"/>
        <v>395.22999999999996</v>
      </c>
      <c r="F10" s="568">
        <f t="shared" si="1"/>
        <v>265942.36239999998</v>
      </c>
      <c r="G10" s="569">
        <f t="shared" si="1"/>
        <v>1.1000000000000001</v>
      </c>
      <c r="H10" s="570">
        <f t="shared" si="1"/>
        <v>0.1623471646087051</v>
      </c>
      <c r="I10" s="568">
        <f t="shared" si="1"/>
        <v>-7004</v>
      </c>
      <c r="J10" s="568">
        <f t="shared" si="1"/>
        <v>4694.2</v>
      </c>
      <c r="K10" s="571">
        <f t="shared" si="1"/>
        <v>0</v>
      </c>
      <c r="L10" s="571">
        <f t="shared" si="1"/>
        <v>0</v>
      </c>
      <c r="M10" s="571">
        <f t="shared" si="1"/>
        <v>262061.16239999997</v>
      </c>
      <c r="N10" s="571">
        <f t="shared" si="2"/>
        <v>7467.3</v>
      </c>
      <c r="O10" s="571">
        <f t="shared" si="2"/>
        <v>7765.9920000000002</v>
      </c>
      <c r="P10" s="571">
        <f t="shared" si="2"/>
        <v>8076.6316800000004</v>
      </c>
      <c r="Q10" s="571">
        <f t="shared" si="2"/>
        <v>2676.8999999999996</v>
      </c>
      <c r="R10" s="571">
        <f t="shared" si="2"/>
        <v>2810.7449999999999</v>
      </c>
      <c r="S10" s="571">
        <f t="shared" si="2"/>
        <v>2951.2822500000002</v>
      </c>
      <c r="T10" s="571">
        <f t="shared" si="2"/>
        <v>2076.5</v>
      </c>
      <c r="U10" s="571">
        <f t="shared" si="2"/>
        <v>2221.855</v>
      </c>
      <c r="V10" s="571">
        <f t="shared" si="2"/>
        <v>2377.3848500000004</v>
      </c>
      <c r="W10" s="538">
        <f t="shared" si="2"/>
        <v>4.0000000000000036E-2</v>
      </c>
      <c r="X10" s="538">
        <f t="shared" si="2"/>
        <v>5.0000000000000044E-2</v>
      </c>
      <c r="Y10" s="538">
        <f t="shared" si="2"/>
        <v>0.50603024574669175</v>
      </c>
      <c r="Z10" s="538">
        <f t="shared" si="2"/>
        <v>0.36192993760488035</v>
      </c>
      <c r="AA10" s="538">
        <f t="shared" si="2"/>
        <v>0.36541003315877346</v>
      </c>
      <c r="AE10" s="314"/>
    </row>
    <row r="11" spans="1:31" s="539" customFormat="1" ht="16">
      <c r="A11"/>
      <c r="B11" s="223" t="str">
        <f t="shared" si="0"/>
        <v>KLA Corporation</v>
      </c>
      <c r="C11" s="98" t="s">
        <v>225</v>
      </c>
      <c r="D11" s="223">
        <f t="shared" si="1"/>
        <v>639.54999999999995</v>
      </c>
      <c r="E11" s="223">
        <f t="shared" si="1"/>
        <v>136.19</v>
      </c>
      <c r="F11" s="568">
        <f t="shared" si="1"/>
        <v>87100.314499999993</v>
      </c>
      <c r="G11" s="569">
        <f t="shared" si="1"/>
        <v>1.29</v>
      </c>
      <c r="H11" s="570">
        <f t="shared" si="1"/>
        <v>0.13187006145741881</v>
      </c>
      <c r="I11" s="568">
        <f t="shared" si="1"/>
        <v>-4692</v>
      </c>
      <c r="J11" s="568">
        <f t="shared" si="1"/>
        <v>6826</v>
      </c>
      <c r="K11" s="571">
        <f t="shared" si="1"/>
        <v>0</v>
      </c>
      <c r="L11" s="571">
        <f t="shared" si="1"/>
        <v>0</v>
      </c>
      <c r="M11" s="571">
        <f t="shared" si="1"/>
        <v>89234.314499999993</v>
      </c>
      <c r="N11" s="571">
        <f t="shared" si="2"/>
        <v>2841.5410000000002</v>
      </c>
      <c r="O11" s="571">
        <f t="shared" si="2"/>
        <v>2983.6180500000005</v>
      </c>
      <c r="P11" s="571">
        <f t="shared" si="2"/>
        <v>3132.7989525000007</v>
      </c>
      <c r="Q11" s="571">
        <f t="shared" si="2"/>
        <v>1521.653</v>
      </c>
      <c r="R11" s="571">
        <f t="shared" si="2"/>
        <v>1719.4678899999999</v>
      </c>
      <c r="S11" s="571">
        <f t="shared" si="2"/>
        <v>1942.9987156999996</v>
      </c>
      <c r="T11" s="571">
        <f t="shared" si="2"/>
        <v>945.851</v>
      </c>
      <c r="U11" s="571">
        <f t="shared" si="2"/>
        <v>1116.10418</v>
      </c>
      <c r="V11" s="571">
        <f t="shared" si="2"/>
        <v>1283.5198069999999</v>
      </c>
      <c r="W11" s="538">
        <f t="shared" si="2"/>
        <v>5.0000000000000044E-2</v>
      </c>
      <c r="X11" s="538">
        <f t="shared" si="2"/>
        <v>0.12999999999999989</v>
      </c>
      <c r="Y11" s="538">
        <f t="shared" si="2"/>
        <v>0.64481466885326488</v>
      </c>
      <c r="Z11" s="538">
        <f t="shared" si="2"/>
        <v>0.57630295204843651</v>
      </c>
      <c r="AA11" s="538">
        <f t="shared" si="2"/>
        <v>0.62021174839498394</v>
      </c>
      <c r="AE11" s="314"/>
    </row>
    <row r="12" spans="1:31" s="539" customFormat="1" ht="16">
      <c r="A12"/>
      <c r="B12" s="223" t="str">
        <f t="shared" si="0"/>
        <v>Broadcom Inc.</v>
      </c>
      <c r="C12" s="98" t="s">
        <v>226</v>
      </c>
      <c r="D12" s="223">
        <f t="shared" si="1"/>
        <v>164.23</v>
      </c>
      <c r="E12" s="223">
        <f t="shared" si="1"/>
        <v>4671.3999999999996</v>
      </c>
      <c r="F12" s="568">
        <f t="shared" si="1"/>
        <v>767184.02199999988</v>
      </c>
      <c r="G12" s="569">
        <f t="shared" si="1"/>
        <v>1.19</v>
      </c>
      <c r="H12" s="570">
        <f t="shared" si="1"/>
        <v>0.39286017128805223</v>
      </c>
      <c r="I12" s="568">
        <f t="shared" si="1"/>
        <v>-9952</v>
      </c>
      <c r="J12" s="568">
        <f t="shared" si="1"/>
        <v>69959</v>
      </c>
      <c r="K12" s="571">
        <f t="shared" si="1"/>
        <v>0</v>
      </c>
      <c r="L12" s="571">
        <f t="shared" si="1"/>
        <v>0</v>
      </c>
      <c r="M12" s="571">
        <f t="shared" si="1"/>
        <v>827191.02199999988</v>
      </c>
      <c r="N12" s="571">
        <f t="shared" si="2"/>
        <v>13072</v>
      </c>
      <c r="O12" s="571">
        <f t="shared" si="2"/>
        <v>18300.8</v>
      </c>
      <c r="P12" s="571">
        <f t="shared" si="2"/>
        <v>19215.84</v>
      </c>
      <c r="Q12" s="571">
        <f t="shared" si="2"/>
        <v>5398</v>
      </c>
      <c r="R12" s="571">
        <f t="shared" si="2"/>
        <v>8636.8000000000011</v>
      </c>
      <c r="S12" s="571">
        <f t="shared" si="2"/>
        <v>9068.6400000000012</v>
      </c>
      <c r="T12" s="571">
        <f t="shared" si="2"/>
        <v>-1875</v>
      </c>
      <c r="U12" s="571">
        <f t="shared" si="2"/>
        <v>4029.8999999999996</v>
      </c>
      <c r="V12" s="571">
        <f t="shared" si="2"/>
        <v>4231.3949999999995</v>
      </c>
      <c r="W12" s="538">
        <f t="shared" si="2"/>
        <v>5.0000000000000044E-2</v>
      </c>
      <c r="X12" s="538">
        <f t="shared" si="2"/>
        <v>5.0000000000000044E-2</v>
      </c>
      <c r="Y12" s="538">
        <f t="shared" si="2"/>
        <v>0.41294369645042839</v>
      </c>
      <c r="Z12" s="538">
        <f t="shared" si="2"/>
        <v>0.47193565308620394</v>
      </c>
      <c r="AA12" s="538">
        <f t="shared" si="2"/>
        <v>0.47193565308620394</v>
      </c>
      <c r="AE12" s="314"/>
    </row>
    <row r="13" spans="1:31" s="539" customFormat="1" ht="16">
      <c r="A13"/>
      <c r="B13" s="223" t="str">
        <f t="shared" si="0"/>
        <v>Qualcomm Incorporated</v>
      </c>
      <c r="C13" s="98" t="s">
        <v>227</v>
      </c>
      <c r="D13" s="223">
        <f t="shared" si="1"/>
        <v>156.79</v>
      </c>
      <c r="E13" s="223">
        <f t="shared" si="1"/>
        <v>1190</v>
      </c>
      <c r="F13" s="568">
        <f t="shared" si="1"/>
        <v>186580.09999999998</v>
      </c>
      <c r="G13" s="569">
        <f t="shared" si="1"/>
        <v>1.29</v>
      </c>
      <c r="H13" s="570">
        <f t="shared" si="1"/>
        <v>2.186532507739938E-2</v>
      </c>
      <c r="I13" s="568">
        <f t="shared" si="1"/>
        <v>-13300</v>
      </c>
      <c r="J13" s="568">
        <f t="shared" si="1"/>
        <v>14634</v>
      </c>
      <c r="K13" s="571">
        <f t="shared" si="1"/>
        <v>0</v>
      </c>
      <c r="L13" s="571">
        <f t="shared" si="1"/>
        <v>0</v>
      </c>
      <c r="M13" s="571">
        <f t="shared" si="1"/>
        <v>187914.09999999998</v>
      </c>
      <c r="N13" s="571">
        <f t="shared" si="2"/>
        <v>10244</v>
      </c>
      <c r="O13" s="571">
        <f t="shared" si="2"/>
        <v>10346.44</v>
      </c>
      <c r="P13" s="571">
        <f t="shared" si="2"/>
        <v>10449.904400000001</v>
      </c>
      <c r="Q13" s="571">
        <f t="shared" si="2"/>
        <v>3231</v>
      </c>
      <c r="R13" s="571">
        <f t="shared" si="2"/>
        <v>3263.31</v>
      </c>
      <c r="S13" s="571">
        <f t="shared" si="2"/>
        <v>3328.5762</v>
      </c>
      <c r="T13" s="571">
        <f t="shared" si="2"/>
        <v>2920</v>
      </c>
      <c r="U13" s="571">
        <f t="shared" si="2"/>
        <v>3007.6</v>
      </c>
      <c r="V13" s="571">
        <f t="shared" si="2"/>
        <v>3067.752</v>
      </c>
      <c r="W13" s="538">
        <f t="shared" si="2"/>
        <v>1.0000000000000009E-2</v>
      </c>
      <c r="X13" s="538">
        <f t="shared" si="2"/>
        <v>2.0000000000000018E-2</v>
      </c>
      <c r="Y13" s="538">
        <f t="shared" si="2"/>
        <v>0.31540413900819991</v>
      </c>
      <c r="Z13" s="538">
        <f t="shared" si="2"/>
        <v>0.31540413900819991</v>
      </c>
      <c r="AA13" s="538">
        <f t="shared" si="2"/>
        <v>0.31852695226570682</v>
      </c>
      <c r="AD13" s="314"/>
      <c r="AE13" s="314"/>
    </row>
    <row r="14" spans="1:31" s="539" customFormat="1" ht="16">
      <c r="A14"/>
      <c r="B14" s="223" t="str">
        <f t="shared" si="0"/>
        <v>Applied Materials</v>
      </c>
      <c r="C14" s="98" t="s">
        <v>223</v>
      </c>
      <c r="D14" s="223">
        <f t="shared" si="1"/>
        <v>175.55</v>
      </c>
      <c r="E14" s="223">
        <f t="shared" si="1"/>
        <v>824.4</v>
      </c>
      <c r="F14" s="568">
        <f t="shared" si="1"/>
        <v>144723.42000000001</v>
      </c>
      <c r="G14" s="569">
        <f t="shared" si="1"/>
        <v>1.29</v>
      </c>
      <c r="H14" s="570">
        <f t="shared" si="1"/>
        <v>0.11960255152109912</v>
      </c>
      <c r="I14" s="568">
        <f t="shared" si="1"/>
        <v>-9471</v>
      </c>
      <c r="J14" s="568">
        <f t="shared" si="1"/>
        <v>6606</v>
      </c>
      <c r="K14" s="571">
        <f t="shared" si="1"/>
        <v>0</v>
      </c>
      <c r="L14" s="571">
        <f t="shared" si="1"/>
        <v>0</v>
      </c>
      <c r="M14" s="571">
        <f t="shared" si="1"/>
        <v>139071.42000000001</v>
      </c>
      <c r="N14" s="571">
        <f t="shared" si="2"/>
        <v>7045</v>
      </c>
      <c r="O14" s="571">
        <f t="shared" si="2"/>
        <v>7185.9000000000005</v>
      </c>
      <c r="P14" s="571">
        <f t="shared" si="2"/>
        <v>7545.1950000000006</v>
      </c>
      <c r="Q14" s="571">
        <f t="shared" si="2"/>
        <v>2071</v>
      </c>
      <c r="R14" s="571">
        <f t="shared" si="2"/>
        <v>2174.5500000000002</v>
      </c>
      <c r="S14" s="571">
        <f t="shared" si="2"/>
        <v>2261.5320000000002</v>
      </c>
      <c r="T14" s="571">
        <f t="shared" si="2"/>
        <v>1731</v>
      </c>
      <c r="U14" s="571">
        <f t="shared" si="2"/>
        <v>1800.24</v>
      </c>
      <c r="V14" s="571">
        <f t="shared" si="2"/>
        <v>1872.2496000000001</v>
      </c>
      <c r="W14" s="538">
        <f t="shared" si="2"/>
        <v>5.0000000000000044E-2</v>
      </c>
      <c r="X14" s="538">
        <f t="shared" si="2"/>
        <v>4.0000000000000036E-2</v>
      </c>
      <c r="Y14" s="538">
        <f t="shared" si="2"/>
        <v>0.29396735273243435</v>
      </c>
      <c r="Z14" s="538">
        <f t="shared" si="2"/>
        <v>0.30261345134221185</v>
      </c>
      <c r="AA14" s="538">
        <f t="shared" si="2"/>
        <v>0.29973141847228602</v>
      </c>
      <c r="AE14" s="314"/>
    </row>
    <row r="15" spans="1:31" s="539" customFormat="1" ht="16">
      <c r="A15"/>
      <c r="B15" s="98"/>
      <c r="C15" s="98"/>
      <c r="D15" s="261"/>
      <c r="E15" s="261"/>
      <c r="F15" s="261"/>
      <c r="H15" s="261"/>
      <c r="I15" s="261"/>
      <c r="J15" s="261"/>
      <c r="K15" s="261"/>
      <c r="L15" s="261"/>
      <c r="M15" s="261"/>
      <c r="N15" s="261"/>
      <c r="O15" s="261"/>
      <c r="P15" s="261"/>
      <c r="Q15" s="261"/>
      <c r="R15" s="261"/>
      <c r="S15" s="261"/>
      <c r="T15" s="261"/>
      <c r="U15" s="261"/>
      <c r="V15" s="261"/>
      <c r="W15" s="261"/>
      <c r="X15" s="261"/>
      <c r="Y15" s="261"/>
      <c r="Z15" s="261"/>
      <c r="AA15" s="261"/>
      <c r="AE15" s="314"/>
    </row>
    <row r="16" spans="1:31" s="539" customFormat="1" ht="16">
      <c r="A16"/>
      <c r="B16" s="242" t="s">
        <v>228</v>
      </c>
      <c r="C16" s="243"/>
      <c r="D16" s="540">
        <f>MAX(D9:D14)</f>
        <v>672.88</v>
      </c>
      <c r="E16" s="540"/>
      <c r="F16" s="523">
        <f>MAX(F9:F14)</f>
        <v>767184.02199999988</v>
      </c>
      <c r="G16" s="523"/>
      <c r="H16" s="523"/>
      <c r="I16" s="523"/>
      <c r="J16" s="523"/>
      <c r="K16" s="523"/>
      <c r="L16" s="523"/>
      <c r="M16" s="523">
        <f t="shared" ref="M16:AA16" si="3">MAX(M9:M14)</f>
        <v>827191.02199999988</v>
      </c>
      <c r="N16" s="523">
        <f t="shared" si="3"/>
        <v>13072</v>
      </c>
      <c r="O16" s="523">
        <f>MAX(P9:P11)</f>
        <v>8076.6316800000004</v>
      </c>
      <c r="P16" s="523">
        <f>MAX(P9:P14)</f>
        <v>19215.84</v>
      </c>
      <c r="Q16" s="523">
        <f t="shared" si="3"/>
        <v>5398</v>
      </c>
      <c r="R16" s="523">
        <f>MAX(S9:S11)</f>
        <v>2951.2822500000002</v>
      </c>
      <c r="S16" s="523">
        <f>MAX(S9:S14)</f>
        <v>9068.6400000000012</v>
      </c>
      <c r="T16" s="523">
        <f t="shared" si="3"/>
        <v>2920</v>
      </c>
      <c r="U16" s="523">
        <f>MAX(V9:V11)</f>
        <v>2377.3848500000004</v>
      </c>
      <c r="V16" s="523">
        <f>MAX(V9:V14)</f>
        <v>4231.3949999999995</v>
      </c>
      <c r="W16" s="541">
        <f t="shared" si="3"/>
        <v>5.0000000000000044E-2</v>
      </c>
      <c r="X16" s="541">
        <f t="shared" si="3"/>
        <v>0.12999999999999989</v>
      </c>
      <c r="Y16" s="541">
        <f t="shared" si="3"/>
        <v>0.64481466885326488</v>
      </c>
      <c r="Z16" s="541">
        <f t="shared" si="3"/>
        <v>0.57630295204843651</v>
      </c>
      <c r="AA16" s="542">
        <f t="shared" si="3"/>
        <v>0.62021174839498394</v>
      </c>
      <c r="AE16" s="314"/>
    </row>
    <row r="17" spans="1:33" s="539" customFormat="1" ht="16">
      <c r="A17"/>
      <c r="B17" s="246" t="s">
        <v>229</v>
      </c>
      <c r="C17" s="98"/>
      <c r="D17" s="262">
        <f>QUARTILE(D9:D14,3)</f>
        <v>523.54999999999995</v>
      </c>
      <c r="E17" s="262"/>
      <c r="F17" s="526">
        <f>QUARTILE(F9:F14,3)</f>
        <v>246101.79679999998</v>
      </c>
      <c r="G17" s="526"/>
      <c r="H17" s="526"/>
      <c r="I17" s="526"/>
      <c r="J17" s="526"/>
      <c r="K17" s="526"/>
      <c r="L17" s="526"/>
      <c r="M17" s="526">
        <f t="shared" ref="M17:AA17" si="4">QUARTILE(M9:M14,3)</f>
        <v>243524.39679999999</v>
      </c>
      <c r="N17" s="526">
        <f t="shared" si="4"/>
        <v>9549.8250000000007</v>
      </c>
      <c r="O17" s="526">
        <f>QUARTILE(P9:P11,3)</f>
        <v>6292.3572607999995</v>
      </c>
      <c r="P17" s="526">
        <f>QUARTILE(P9:P14,3)</f>
        <v>9856.586220000001</v>
      </c>
      <c r="Q17" s="526">
        <f t="shared" si="4"/>
        <v>3092.4749999999999</v>
      </c>
      <c r="R17" s="526">
        <f>QUARTILE(S9:S11,3)</f>
        <v>2447.1404828499999</v>
      </c>
      <c r="S17" s="526">
        <f>QUARTILE(S9:S14,3)</f>
        <v>3234.2527125000001</v>
      </c>
      <c r="T17" s="526">
        <f t="shared" si="4"/>
        <v>1990.125</v>
      </c>
      <c r="U17" s="526">
        <f>QUARTILE(V9:V11,3)</f>
        <v>1830.4523285</v>
      </c>
      <c r="V17" s="526">
        <f>QUARTILE(V9:V14,3)</f>
        <v>2895.1602124999999</v>
      </c>
      <c r="W17" s="543">
        <f t="shared" si="4"/>
        <v>5.0000000000000044E-2</v>
      </c>
      <c r="X17" s="543">
        <f t="shared" si="4"/>
        <v>5.0000000000000044E-2</v>
      </c>
      <c r="Y17" s="543">
        <f t="shared" si="4"/>
        <v>0.48275860842262591</v>
      </c>
      <c r="Z17" s="543">
        <f t="shared" si="4"/>
        <v>0.44443422421587303</v>
      </c>
      <c r="AA17" s="544">
        <f t="shared" si="4"/>
        <v>0.44530424810434632</v>
      </c>
      <c r="AD17" s="314"/>
      <c r="AE17" s="314"/>
    </row>
    <row r="18" spans="1:33" s="539" customFormat="1" ht="16">
      <c r="A18"/>
      <c r="B18" s="249" t="s">
        <v>230</v>
      </c>
      <c r="C18" s="250"/>
      <c r="D18" s="545">
        <f>MEDIAN(D9:D14)</f>
        <v>169.89</v>
      </c>
      <c r="E18" s="545"/>
      <c r="F18" s="546">
        <f>MEDIAN(F9:F14)</f>
        <v>165651.76</v>
      </c>
      <c r="G18" s="546"/>
      <c r="H18" s="546"/>
      <c r="I18" s="547"/>
      <c r="J18" s="547"/>
      <c r="K18" s="547"/>
      <c r="L18" s="547"/>
      <c r="M18" s="546">
        <f t="shared" ref="M18:AA18" si="5">MEDIAN(M9:M14)</f>
        <v>163492.76</v>
      </c>
      <c r="N18" s="546">
        <f t="shared" si="5"/>
        <v>7256.15</v>
      </c>
      <c r="O18" s="546">
        <f>MEDIAN(P9:P11)</f>
        <v>4508.0828415999995</v>
      </c>
      <c r="P18" s="546">
        <f>MEDIAN(P9:P14)</f>
        <v>7810.913340000001</v>
      </c>
      <c r="Q18" s="546">
        <f t="shared" si="5"/>
        <v>2373.9499999999998</v>
      </c>
      <c r="R18" s="546">
        <f>MEDIAN(S9:S11)</f>
        <v>1942.9987156999996</v>
      </c>
      <c r="S18" s="546">
        <f>MEDIAN(S9:S14)</f>
        <v>2606.4071250000002</v>
      </c>
      <c r="T18" s="546">
        <f t="shared" si="5"/>
        <v>1423.722</v>
      </c>
      <c r="U18" s="546">
        <f>MEDIAN(V9:V11)</f>
        <v>1283.5198069999999</v>
      </c>
      <c r="V18" s="546">
        <f>MEDIAN(V9:V14)</f>
        <v>2124.8172250000002</v>
      </c>
      <c r="W18" s="548">
        <f t="shared" si="5"/>
        <v>4.500000000000004E-2</v>
      </c>
      <c r="X18" s="548">
        <f t="shared" si="5"/>
        <v>5.0000000000000044E-2</v>
      </c>
      <c r="Y18" s="548">
        <f t="shared" si="5"/>
        <v>0.396432434039376</v>
      </c>
      <c r="Z18" s="548">
        <f t="shared" si="5"/>
        <v>0.35552345977300681</v>
      </c>
      <c r="AA18" s="549">
        <f t="shared" si="5"/>
        <v>0.35894195457851652</v>
      </c>
      <c r="AD18" s="314"/>
      <c r="AE18" s="314"/>
    </row>
    <row r="19" spans="1:33" s="539" customFormat="1" ht="16">
      <c r="A19"/>
      <c r="B19" s="246" t="s">
        <v>231</v>
      </c>
      <c r="C19" s="222"/>
      <c r="D19" s="262">
        <f>QUARTILE(D9:D14,1)</f>
        <v>158.64999999999998</v>
      </c>
      <c r="E19" s="262"/>
      <c r="F19" s="526">
        <f>QUARTILE(F9:F14,1)</f>
        <v>107162.697075</v>
      </c>
      <c r="G19" s="526"/>
      <c r="H19" s="526"/>
      <c r="I19" s="526"/>
      <c r="J19" s="526"/>
      <c r="K19" s="526"/>
      <c r="L19" s="526"/>
      <c r="M19" s="526">
        <f t="shared" ref="M19:AA19" si="6">QUARTILE(M9:M14,1)</f>
        <v>104936.697075</v>
      </c>
      <c r="N19" s="526">
        <f t="shared" si="6"/>
        <v>4887.232</v>
      </c>
      <c r="O19" s="526">
        <f>QUARTILE(P9:P11,1)</f>
        <v>3820.4408970499999</v>
      </c>
      <c r="P19" s="526">
        <f>QUARTILE(P9:P14,1)</f>
        <v>5267.3608812000002</v>
      </c>
      <c r="Q19" s="526">
        <f t="shared" si="6"/>
        <v>1658.98975</v>
      </c>
      <c r="R19" s="526">
        <f>QUARTILE(S9:S11,1)</f>
        <v>1765.9900740999997</v>
      </c>
      <c r="S19" s="526">
        <f>QUARTILE(S9:S14,1)</f>
        <v>2022.6320367749997</v>
      </c>
      <c r="T19" s="526">
        <f t="shared" si="6"/>
        <v>988.49924999999996</v>
      </c>
      <c r="U19" s="526">
        <f>QUARTILE(V9:V11,1)</f>
        <v>1257.1996584999999</v>
      </c>
      <c r="V19" s="526">
        <f>QUARTILE(V9:V14,1)</f>
        <v>1430.70225525</v>
      </c>
      <c r="W19" s="543">
        <f t="shared" si="6"/>
        <v>4.0000000000000036E-2</v>
      </c>
      <c r="X19" s="543">
        <f t="shared" si="6"/>
        <v>4.2500000000000038E-2</v>
      </c>
      <c r="Y19" s="543">
        <f t="shared" si="6"/>
        <v>0.33153339716323083</v>
      </c>
      <c r="Z19" s="543">
        <f t="shared" si="6"/>
        <v>0.32383234974143327</v>
      </c>
      <c r="AA19" s="544">
        <f t="shared" si="6"/>
        <v>0.327013683198845</v>
      </c>
      <c r="AD19" s="314"/>
      <c r="AE19" s="314"/>
    </row>
    <row r="20" spans="1:33" s="539" customFormat="1" ht="16">
      <c r="A20"/>
      <c r="B20" s="251" t="s">
        <v>232</v>
      </c>
      <c r="C20" s="252"/>
      <c r="D20" s="550">
        <f>MIN(D9:D14)</f>
        <v>73.069999999999993</v>
      </c>
      <c r="E20" s="550"/>
      <c r="F20" s="531">
        <f>MIN(F9:F14)</f>
        <v>87100.314499999993</v>
      </c>
      <c r="G20" s="531"/>
      <c r="H20" s="531"/>
      <c r="I20" s="531"/>
      <c r="J20" s="531"/>
      <c r="K20" s="531"/>
      <c r="L20" s="531"/>
      <c r="M20" s="531">
        <f t="shared" ref="M20:AA22" si="7">MIN(M9:M14)</f>
        <v>89234.314499999993</v>
      </c>
      <c r="N20" s="531">
        <f t="shared" si="7"/>
        <v>2841.5410000000002</v>
      </c>
      <c r="O20" s="531">
        <f>MIN(P9:P11)</f>
        <v>3132.7989525000007</v>
      </c>
      <c r="P20" s="531">
        <f>MIN(P9:P14)</f>
        <v>3132.7989525000007</v>
      </c>
      <c r="Q20" s="531">
        <f t="shared" si="7"/>
        <v>1441.2529999999999</v>
      </c>
      <c r="R20" s="531">
        <f>MIN(S9:S11)</f>
        <v>1588.9814325</v>
      </c>
      <c r="S20" s="531">
        <f>MIN(S9:S14)</f>
        <v>1588.9814325</v>
      </c>
      <c r="T20" s="531">
        <f t="shared" si="7"/>
        <v>-1875</v>
      </c>
      <c r="U20" s="531">
        <f>MIN(V9:V11)</f>
        <v>1230.87951</v>
      </c>
      <c r="V20" s="531">
        <f>MIN(V9:V14)</f>
        <v>1230.87951</v>
      </c>
      <c r="W20" s="551">
        <f t="shared" si="7"/>
        <v>1.0000000000000009E-2</v>
      </c>
      <c r="X20" s="551">
        <f t="shared" si="7"/>
        <v>2.0000000000000018E-2</v>
      </c>
      <c r="Y20" s="551">
        <f t="shared" si="7"/>
        <v>0.29396735273243435</v>
      </c>
      <c r="Z20" s="551">
        <f t="shared" si="7"/>
        <v>0.30261345134221185</v>
      </c>
      <c r="AA20" s="552">
        <f t="shared" si="7"/>
        <v>0.29973141847228602</v>
      </c>
      <c r="AD20" s="314"/>
      <c r="AE20" s="314"/>
    </row>
    <row r="21" spans="1:33" s="539" customFormat="1" ht="16">
      <c r="A21"/>
      <c r="B21" s="98"/>
      <c r="C21" s="98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261"/>
      <c r="X21" s="261"/>
      <c r="Y21" s="261"/>
      <c r="Z21" s="261"/>
      <c r="AA21" s="261"/>
      <c r="AD21" s="314"/>
      <c r="AE21" s="314"/>
    </row>
    <row r="22" spans="1:33" s="539" customFormat="1" ht="16">
      <c r="A22" s="90"/>
      <c r="B22" s="256">
        <f>_xlfn.SINGLE(Share_Price)</f>
        <v>26.71</v>
      </c>
      <c r="C22" s="255" t="s">
        <v>23</v>
      </c>
      <c r="D22" s="553">
        <f>_xlfn.SINGLE(Share_Price)</f>
        <v>26.71</v>
      </c>
      <c r="E22" s="554">
        <f t="shared" ref="E22:V22" si="8">INDEX(Pub_Comps_Range,MATCH(E$5,Pub_Comps_Params,0),MATCH($C22,Pub_Comps_Tickers,0))</f>
        <v>201.77</v>
      </c>
      <c r="F22" s="534">
        <f t="shared" si="8"/>
        <v>5389.2767000000003</v>
      </c>
      <c r="G22" s="555">
        <f t="shared" si="8"/>
        <v>2.57</v>
      </c>
      <c r="H22" s="556">
        <f t="shared" si="8"/>
        <v>0.16860997432667954</v>
      </c>
      <c r="I22" s="534">
        <f t="shared" si="8"/>
        <v>-2288</v>
      </c>
      <c r="J22" s="534">
        <f t="shared" si="8"/>
        <v>0</v>
      </c>
      <c r="K22" s="534">
        <f t="shared" si="8"/>
        <v>0</v>
      </c>
      <c r="L22" s="534">
        <f t="shared" si="8"/>
        <v>0</v>
      </c>
      <c r="M22" s="534">
        <f t="shared" si="8"/>
        <v>3004.2767000000003</v>
      </c>
      <c r="N22" s="534">
        <f t="shared" si="8"/>
        <v>37.981740762124709</v>
      </c>
      <c r="O22" s="534">
        <f t="shared" si="8"/>
        <v>176.952</v>
      </c>
      <c r="P22" s="534">
        <f t="shared" si="8"/>
        <v>242.214</v>
      </c>
      <c r="Q22" s="534">
        <f t="shared" si="8"/>
        <v>-30.835993104635634</v>
      </c>
      <c r="R22" s="534">
        <f t="shared" si="8"/>
        <v>74.055751472736475</v>
      </c>
      <c r="S22" s="534">
        <f t="shared" si="8"/>
        <v>172.10945894217818</v>
      </c>
      <c r="T22" s="534">
        <f t="shared" si="8"/>
        <v>59.107713376132871</v>
      </c>
      <c r="U22" s="534">
        <f t="shared" si="8"/>
        <v>59.107713376132871</v>
      </c>
      <c r="V22" s="534">
        <f t="shared" si="8"/>
        <v>130.56189942495089</v>
      </c>
      <c r="W22" s="557">
        <f t="shared" si="7"/>
        <v>1.0000000000000009E-2</v>
      </c>
      <c r="X22" s="557">
        <f t="shared" si="7"/>
        <v>2.0000000000000018E-2</v>
      </c>
      <c r="Y22" s="557">
        <f t="shared" si="7"/>
        <v>0.29396735273243435</v>
      </c>
      <c r="Z22" s="557">
        <f t="shared" si="7"/>
        <v>0.30261345134221185</v>
      </c>
      <c r="AA22" s="558">
        <f t="shared" si="7"/>
        <v>0.29973141847228602</v>
      </c>
      <c r="AE22" s="314"/>
    </row>
    <row r="23" spans="1:33" s="539" customFormat="1" ht="16">
      <c r="A23"/>
      <c r="B23" s="258"/>
      <c r="C23" s="258"/>
      <c r="D23" s="559"/>
      <c r="E23" s="560"/>
      <c r="F23" s="561"/>
      <c r="G23" s="259"/>
      <c r="H23" s="260"/>
      <c r="I23" s="561"/>
      <c r="J23" s="561"/>
      <c r="K23" s="561"/>
      <c r="L23" s="561"/>
      <c r="M23" s="561"/>
      <c r="N23" s="561"/>
      <c r="O23" s="561"/>
      <c r="P23" s="561"/>
      <c r="Q23" s="561"/>
      <c r="R23" s="561"/>
      <c r="S23" s="561"/>
      <c r="T23" s="561"/>
      <c r="U23" s="561"/>
      <c r="V23" s="561"/>
      <c r="W23" s="562"/>
      <c r="X23" s="562"/>
      <c r="Y23" s="562"/>
      <c r="Z23" s="562"/>
      <c r="AA23" s="562"/>
      <c r="AE23" s="314"/>
    </row>
    <row r="24" spans="1:33" s="539" customFormat="1" ht="16">
      <c r="A24"/>
      <c r="B24" s="223" t="s">
        <v>11</v>
      </c>
      <c r="C24" s="224" t="s">
        <v>12</v>
      </c>
      <c r="D24" s="563" t="s">
        <v>194</v>
      </c>
      <c r="F24" s="563" t="s">
        <v>196</v>
      </c>
      <c r="M24" s="563" t="s">
        <v>199</v>
      </c>
      <c r="N24" s="314" t="str">
        <f>PubCompsData!C92</f>
        <v>09/30/2024 EV / Revenue:</v>
      </c>
      <c r="O24" s="314" t="str">
        <f>PubCompsData!C96</f>
        <v>2024-12-31 EV / Revenue:</v>
      </c>
      <c r="P24" s="314" t="str">
        <f>PubCompsData!C100</f>
        <v>2025-03-31 EV / Revenue:</v>
      </c>
      <c r="Q24" s="314" t="str">
        <f>PubCompsData!C93</f>
        <v>09/30/2024 EV / EBITDA:</v>
      </c>
      <c r="R24" s="314" t="str">
        <f>PubCompsData!C97</f>
        <v>2024-12-31 EV / EBITDA:</v>
      </c>
      <c r="S24" s="314" t="str">
        <f>PubCompsData!C101</f>
        <v>2025-03-31 EV / EBITDA:</v>
      </c>
      <c r="T24" s="314" t="str">
        <f>PubCompsData!C94</f>
        <v>09/30/2024 P / E:</v>
      </c>
      <c r="U24" s="314" t="str">
        <f>PubCompsData!C98</f>
        <v>2024-12-31 P / E:</v>
      </c>
      <c r="V24" s="314" t="str">
        <f>PubCompsData!C102</f>
        <v>2025-03-31 P / E:</v>
      </c>
      <c r="W24" s="261"/>
      <c r="X24" s="261"/>
      <c r="Y24" s="261"/>
      <c r="Z24" s="261"/>
      <c r="AA24" s="261"/>
      <c r="AE24" s="314"/>
    </row>
    <row r="25" spans="1:33" s="539" customFormat="1" ht="16">
      <c r="A25"/>
      <c r="B25" s="232" t="s">
        <v>233</v>
      </c>
      <c r="C25" s="232"/>
      <c r="D25" s="236"/>
      <c r="E25" s="236"/>
      <c r="F25" s="564" t="s">
        <v>201</v>
      </c>
      <c r="G25" s="564"/>
      <c r="H25" s="564"/>
      <c r="I25" s="564"/>
      <c r="J25" s="564"/>
      <c r="K25" s="564"/>
      <c r="L25" s="564"/>
      <c r="M25" s="565"/>
      <c r="N25" s="564" t="s">
        <v>234</v>
      </c>
      <c r="O25" s="565"/>
      <c r="P25" s="565"/>
      <c r="Q25" s="564" t="s">
        <v>234</v>
      </c>
      <c r="R25" s="565"/>
      <c r="S25" s="565"/>
      <c r="T25" s="566"/>
      <c r="U25" s="566"/>
      <c r="V25" s="566"/>
      <c r="W25" s="261"/>
      <c r="X25" s="261"/>
      <c r="Y25" s="261"/>
      <c r="Z25" s="261"/>
      <c r="AA25" s="261"/>
      <c r="AD25" s="314"/>
      <c r="AE25" s="314"/>
    </row>
    <row r="26" spans="1:33" s="539" customFormat="1" ht="16">
      <c r="A26"/>
      <c r="B26" s="235"/>
      <c r="C26" s="235"/>
      <c r="D26" s="236"/>
      <c r="E26" s="236"/>
      <c r="F26" s="236" t="s">
        <v>205</v>
      </c>
      <c r="G26" s="236"/>
      <c r="H26" s="236"/>
      <c r="I26" s="236"/>
      <c r="J26" s="236"/>
      <c r="K26" s="236"/>
      <c r="L26" s="236"/>
      <c r="M26" s="236" t="s">
        <v>207</v>
      </c>
      <c r="N26" s="564" t="s">
        <v>208</v>
      </c>
      <c r="O26" s="565"/>
      <c r="P26" s="565"/>
      <c r="Q26" s="564" t="s">
        <v>8</v>
      </c>
      <c r="R26" s="566"/>
      <c r="S26" s="566"/>
      <c r="T26" s="564" t="s">
        <v>235</v>
      </c>
      <c r="U26" s="564"/>
      <c r="V26" s="564"/>
      <c r="W26" s="261"/>
      <c r="X26" s="261"/>
      <c r="Y26" s="262"/>
      <c r="Z26" s="262"/>
      <c r="AA26" s="262"/>
      <c r="AB26" s="262"/>
      <c r="AC26" s="262"/>
      <c r="AE26" s="314"/>
      <c r="AF26" s="262"/>
      <c r="AG26" s="262"/>
    </row>
    <row r="27" spans="1:33" s="539" customFormat="1" ht="16">
      <c r="A27"/>
      <c r="B27" s="238" t="s">
        <v>210</v>
      </c>
      <c r="C27" s="238"/>
      <c r="D27" s="239"/>
      <c r="E27" s="239"/>
      <c r="F27" s="239" t="s">
        <v>220</v>
      </c>
      <c r="G27" s="239"/>
      <c r="H27" s="239"/>
      <c r="I27" s="239"/>
      <c r="J27" s="239"/>
      <c r="K27" s="239"/>
      <c r="L27" s="239"/>
      <c r="M27" s="239" t="s">
        <v>220</v>
      </c>
      <c r="N27" s="263" t="str">
        <f>$N$8</f>
        <v>Q4</v>
      </c>
      <c r="O27" s="264" t="str">
        <f>+$O$8</f>
        <v>Q1-25</v>
      </c>
      <c r="P27" s="264" t="str">
        <f>+$P$8</f>
        <v>Q2-25</v>
      </c>
      <c r="Q27" s="263" t="str">
        <f>$N$8</f>
        <v>Q4</v>
      </c>
      <c r="R27" s="264" t="str">
        <f>+$O$8</f>
        <v>Q1-25</v>
      </c>
      <c r="S27" s="264" t="str">
        <f>+$P$8</f>
        <v>Q2-25</v>
      </c>
      <c r="T27" s="263" t="str">
        <f>$N$8</f>
        <v>Q4</v>
      </c>
      <c r="U27" s="264" t="str">
        <f>+$O$8</f>
        <v>Q1-25</v>
      </c>
      <c r="V27" s="264" t="str">
        <f>+$P$8</f>
        <v>Q2-25</v>
      </c>
      <c r="W27" s="265"/>
      <c r="X27" s="265"/>
      <c r="Y27" s="262"/>
      <c r="Z27" s="262"/>
      <c r="AA27" s="262"/>
      <c r="AB27" s="262"/>
      <c r="AC27" s="262"/>
      <c r="AE27" s="314"/>
      <c r="AF27" s="262"/>
      <c r="AG27" s="262"/>
    </row>
    <row r="28" spans="1:33" s="539" customFormat="1" ht="16">
      <c r="A28"/>
      <c r="B28" s="223" t="str">
        <f t="shared" ref="B28:B33" si="9">INDEX(Pub_Comps_Range,MATCH(B$24,Pub_Comps_Params,0),MATCH($C28,Pub_Comps_Tickers,0))</f>
        <v>Lam Research Corp.</v>
      </c>
      <c r="C28" s="98" t="s">
        <v>236</v>
      </c>
      <c r="D28" s="537">
        <f t="shared" ref="D28:D33" si="10">INDEX(Pub_Comps_Range,MATCH(D$24,Pub_Comps_Params,0),MATCH($C28,Pub_Comps_Tickers,0))</f>
        <v>73.069999999999993</v>
      </c>
      <c r="E28" s="537"/>
      <c r="F28" s="522">
        <f t="shared" ref="F28:F33" si="11">INDEX(Pub_Comps_Range,MATCH(F$24,Pub_Comps_Params,0),MATCH($C28,Pub_Comps_Tickers,0))</f>
        <v>94642.456099999996</v>
      </c>
      <c r="G28" s="522"/>
      <c r="H28" s="522"/>
      <c r="I28" s="522"/>
      <c r="J28" s="522"/>
      <c r="K28" s="522"/>
      <c r="L28" s="522"/>
      <c r="M28" s="522">
        <f t="shared" ref="M28:V33" si="12">INDEX(Pub_Comps_Range,MATCH(M$24,Pub_Comps_Params,0),MATCH($C28,Pub_Comps_Tickers,0))</f>
        <v>93558.456099999996</v>
      </c>
      <c r="N28" s="521">
        <f t="shared" si="12"/>
        <v>6.1656139236568936</v>
      </c>
      <c r="O28" s="521">
        <f t="shared" si="12"/>
        <v>5.3959076265259025</v>
      </c>
      <c r="P28" s="521">
        <f t="shared" si="12"/>
        <v>5.1883727178133681</v>
      </c>
      <c r="Q28" s="521">
        <f t="shared" si="12"/>
        <v>16.228666323678077</v>
      </c>
      <c r="R28" s="521">
        <f t="shared" si="12"/>
        <v>15.455872689217216</v>
      </c>
      <c r="S28" s="521">
        <f t="shared" si="12"/>
        <v>14.719878751635443</v>
      </c>
      <c r="T28" s="521">
        <f t="shared" si="12"/>
        <v>21.192835489285624</v>
      </c>
      <c r="U28" s="521">
        <f t="shared" si="12"/>
        <v>20.183652846938688</v>
      </c>
      <c r="V28" s="521">
        <f t="shared" si="12"/>
        <v>19.222526520893989</v>
      </c>
      <c r="W28" s="261"/>
      <c r="X28" s="567"/>
      <c r="Y28" s="262"/>
      <c r="Z28" s="262"/>
      <c r="AA28" s="262"/>
      <c r="AB28" s="262"/>
      <c r="AC28" s="262"/>
      <c r="AE28" s="314"/>
      <c r="AF28" s="262"/>
      <c r="AG28" s="262"/>
    </row>
    <row r="29" spans="1:33" s="539" customFormat="1" ht="16">
      <c r="A29"/>
      <c r="B29" s="223" t="str">
        <f t="shared" si="9"/>
        <v>ASML Holding, N.V.</v>
      </c>
      <c r="C29" s="98" t="s">
        <v>224</v>
      </c>
      <c r="D29" s="537">
        <f t="shared" si="10"/>
        <v>672.88</v>
      </c>
      <c r="E29" s="537"/>
      <c r="F29" s="522">
        <f t="shared" si="11"/>
        <v>265942.36239999998</v>
      </c>
      <c r="G29" s="522"/>
      <c r="H29" s="522"/>
      <c r="I29" s="522"/>
      <c r="J29" s="522"/>
      <c r="K29" s="522"/>
      <c r="L29" s="522"/>
      <c r="M29" s="522">
        <f t="shared" si="12"/>
        <v>262061.16239999997</v>
      </c>
      <c r="N29" s="521">
        <f t="shared" si="12"/>
        <v>8.4361779667040597</v>
      </c>
      <c r="O29" s="521">
        <f t="shared" si="12"/>
        <v>8.4361779667040597</v>
      </c>
      <c r="P29" s="521">
        <f t="shared" si="12"/>
        <v>8.1117095833692883</v>
      </c>
      <c r="Q29" s="521">
        <f t="shared" si="12"/>
        <v>24.474313795808584</v>
      </c>
      <c r="R29" s="521">
        <f t="shared" si="12"/>
        <v>23.308870281722459</v>
      </c>
      <c r="S29" s="521">
        <f t="shared" si="12"/>
        <v>22.198924077830913</v>
      </c>
      <c r="T29" s="521">
        <f t="shared" si="12"/>
        <v>32.018102865398504</v>
      </c>
      <c r="U29" s="521">
        <f t="shared" si="12"/>
        <v>29.923460621867761</v>
      </c>
      <c r="V29" s="521">
        <f t="shared" si="12"/>
        <v>27.965851048474541</v>
      </c>
      <c r="W29" s="261"/>
      <c r="X29" s="567"/>
      <c r="Y29" s="567"/>
      <c r="Z29" s="261"/>
      <c r="AA29" s="261"/>
      <c r="AD29" s="314"/>
      <c r="AE29" s="314"/>
    </row>
    <row r="30" spans="1:33" s="539" customFormat="1" ht="16">
      <c r="A30"/>
      <c r="B30" s="223" t="str">
        <f t="shared" si="9"/>
        <v>KLA Corporation</v>
      </c>
      <c r="C30" s="98" t="s">
        <v>225</v>
      </c>
      <c r="D30" s="537">
        <f t="shared" si="10"/>
        <v>639.54999999999995</v>
      </c>
      <c r="E30" s="537"/>
      <c r="F30" s="522">
        <f t="shared" si="11"/>
        <v>87100.314499999993</v>
      </c>
      <c r="G30" s="522"/>
      <c r="H30" s="522"/>
      <c r="I30" s="522"/>
      <c r="J30" s="522"/>
      <c r="K30" s="522"/>
      <c r="L30" s="522"/>
      <c r="M30" s="522">
        <f t="shared" si="12"/>
        <v>89234.314499999993</v>
      </c>
      <c r="N30" s="521">
        <f t="shared" si="12"/>
        <v>7.8508733905299968</v>
      </c>
      <c r="O30" s="521">
        <f t="shared" si="12"/>
        <v>7.4770222766952337</v>
      </c>
      <c r="P30" s="521">
        <f t="shared" si="12"/>
        <v>7.1209735968526031</v>
      </c>
      <c r="Q30" s="521">
        <f t="shared" si="12"/>
        <v>14.66075289504243</v>
      </c>
      <c r="R30" s="521">
        <f t="shared" si="12"/>
        <v>12.974117606232239</v>
      </c>
      <c r="S30" s="521">
        <f t="shared" si="12"/>
        <v>11.481520005515257</v>
      </c>
      <c r="T30" s="521">
        <f t="shared" si="12"/>
        <v>23.021679551007505</v>
      </c>
      <c r="U30" s="521">
        <f t="shared" si="12"/>
        <v>19.509897924582628</v>
      </c>
      <c r="V30" s="521">
        <f t="shared" si="12"/>
        <v>16.965128630071852</v>
      </c>
      <c r="W30" s="261"/>
      <c r="X30" s="567"/>
      <c r="Y30" s="567"/>
      <c r="Z30" s="261"/>
      <c r="AA30" s="261"/>
      <c r="AE30" s="314"/>
    </row>
    <row r="31" spans="1:33" s="539" customFormat="1" ht="16">
      <c r="A31"/>
      <c r="B31" s="223" t="str">
        <f t="shared" si="9"/>
        <v>Broadcom Inc.</v>
      </c>
      <c r="C31" s="98" t="s">
        <v>226</v>
      </c>
      <c r="D31" s="537">
        <f t="shared" si="10"/>
        <v>164.23</v>
      </c>
      <c r="E31" s="537"/>
      <c r="F31" s="522">
        <f t="shared" si="11"/>
        <v>767184.02199999988</v>
      </c>
      <c r="G31" s="522"/>
      <c r="H31" s="522"/>
      <c r="I31" s="522"/>
      <c r="J31" s="522"/>
      <c r="K31" s="522"/>
      <c r="L31" s="522"/>
      <c r="M31" s="522">
        <f t="shared" si="12"/>
        <v>827191.02199999988</v>
      </c>
      <c r="N31" s="521">
        <f t="shared" si="12"/>
        <v>15.819901736536105</v>
      </c>
      <c r="O31" s="521">
        <f t="shared" si="12"/>
        <v>11.299929811811504</v>
      </c>
      <c r="P31" s="521">
        <f t="shared" si="12"/>
        <v>10.761837916010956</v>
      </c>
      <c r="Q31" s="521">
        <f t="shared" si="12"/>
        <v>38.310069562801033</v>
      </c>
      <c r="R31" s="521">
        <f t="shared" si="12"/>
        <v>23.943793476750642</v>
      </c>
      <c r="S31" s="521">
        <f t="shared" si="12"/>
        <v>22.80361283500061</v>
      </c>
      <c r="T31" s="521" t="str">
        <f t="shared" si="12"/>
        <v>NM</v>
      </c>
      <c r="U31" s="521">
        <f t="shared" si="12"/>
        <v>47.593241891858355</v>
      </c>
      <c r="V31" s="521">
        <f t="shared" si="12"/>
        <v>45.326897039865102</v>
      </c>
      <c r="W31" s="261"/>
      <c r="X31" s="567"/>
      <c r="Y31" s="567"/>
      <c r="Z31" s="261"/>
      <c r="AA31" s="261"/>
      <c r="AE31" s="314"/>
    </row>
    <row r="32" spans="1:33" s="539" customFormat="1" ht="16">
      <c r="A32"/>
      <c r="B32" s="223" t="str">
        <f t="shared" si="9"/>
        <v>Qualcomm Incorporated</v>
      </c>
      <c r="C32" s="98" t="s">
        <v>227</v>
      </c>
      <c r="D32" s="537">
        <f t="shared" si="10"/>
        <v>156.79</v>
      </c>
      <c r="E32" s="537"/>
      <c r="F32" s="522">
        <f t="shared" si="11"/>
        <v>186580.09999999998</v>
      </c>
      <c r="G32" s="522"/>
      <c r="H32" s="522"/>
      <c r="I32" s="522"/>
      <c r="J32" s="522"/>
      <c r="K32" s="522"/>
      <c r="L32" s="522"/>
      <c r="M32" s="522">
        <f t="shared" si="12"/>
        <v>187914.09999999998</v>
      </c>
      <c r="N32" s="521">
        <f t="shared" si="12"/>
        <v>4.5859551932838727</v>
      </c>
      <c r="O32" s="521">
        <f t="shared" si="12"/>
        <v>4.5405496963206664</v>
      </c>
      <c r="P32" s="521">
        <f t="shared" si="12"/>
        <v>4.4955937587333326</v>
      </c>
      <c r="Q32" s="521">
        <f t="shared" si="12"/>
        <v>14.539933457134012</v>
      </c>
      <c r="R32" s="521">
        <f t="shared" si="12"/>
        <v>14.395973719934666</v>
      </c>
      <c r="S32" s="521">
        <f t="shared" si="12"/>
        <v>14.113699725426143</v>
      </c>
      <c r="T32" s="521">
        <f t="shared" si="12"/>
        <v>14.436714639430516</v>
      </c>
      <c r="U32" s="521">
        <f t="shared" si="12"/>
        <v>15.50905206809416</v>
      </c>
      <c r="V32" s="521">
        <f t="shared" si="12"/>
        <v>15.204953007935451</v>
      </c>
      <c r="W32" s="261"/>
      <c r="X32" s="567"/>
      <c r="Y32" s="261"/>
      <c r="Z32" s="261"/>
      <c r="AA32" s="261"/>
      <c r="AE32" s="314"/>
    </row>
    <row r="33" spans="1:31" s="539" customFormat="1" ht="16">
      <c r="A33"/>
      <c r="B33" s="223" t="str">
        <f t="shared" si="9"/>
        <v>Applied Materials</v>
      </c>
      <c r="C33" s="98" t="s">
        <v>223</v>
      </c>
      <c r="D33" s="537">
        <f t="shared" si="10"/>
        <v>175.55</v>
      </c>
      <c r="E33" s="537"/>
      <c r="F33" s="522">
        <f t="shared" si="11"/>
        <v>144723.42000000001</v>
      </c>
      <c r="G33" s="522"/>
      <c r="H33" s="522"/>
      <c r="I33" s="522"/>
      <c r="J33" s="522"/>
      <c r="K33" s="522"/>
      <c r="L33" s="522"/>
      <c r="M33" s="522">
        <f t="shared" si="12"/>
        <v>139071.42000000001</v>
      </c>
      <c r="N33" s="521">
        <f t="shared" si="12"/>
        <v>4.9351107168204402</v>
      </c>
      <c r="O33" s="521">
        <f t="shared" si="12"/>
        <v>4.8383438400200394</v>
      </c>
      <c r="P33" s="521">
        <f t="shared" si="12"/>
        <v>4.6079465143047997</v>
      </c>
      <c r="Q33" s="521">
        <f t="shared" si="12"/>
        <v>16.787955094157414</v>
      </c>
      <c r="R33" s="521">
        <f t="shared" si="12"/>
        <v>15.988528661102297</v>
      </c>
      <c r="S33" s="521">
        <f t="shared" si="12"/>
        <v>15.373585251059902</v>
      </c>
      <c r="T33" s="521">
        <f t="shared" si="12"/>
        <v>20.90170710571924</v>
      </c>
      <c r="U33" s="521">
        <f t="shared" si="12"/>
        <v>20.097795293960807</v>
      </c>
      <c r="V33" s="521">
        <f t="shared" si="12"/>
        <v>19.324803167270005</v>
      </c>
      <c r="W33" s="261"/>
      <c r="X33" s="261"/>
      <c r="Y33" s="261"/>
      <c r="Z33" s="261"/>
      <c r="AA33" s="261"/>
      <c r="AD33" s="314"/>
      <c r="AE33" s="314"/>
    </row>
    <row r="34" spans="1:31" ht="16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98"/>
      <c r="X34" s="98"/>
      <c r="Y34" s="98"/>
      <c r="Z34" s="98"/>
      <c r="AA34" s="98"/>
      <c r="AE34" s="227"/>
    </row>
    <row r="35" spans="1:31" ht="16">
      <c r="B35" s="242" t="s">
        <v>228</v>
      </c>
      <c r="C35" s="243"/>
      <c r="D35" s="244"/>
      <c r="E35" s="244"/>
      <c r="F35" s="245">
        <f>MAX(F28:F33)</f>
        <v>767184.02199999988</v>
      </c>
      <c r="G35" s="245"/>
      <c r="H35" s="245"/>
      <c r="I35" s="245"/>
      <c r="J35" s="245"/>
      <c r="K35" s="245"/>
      <c r="L35" s="245"/>
      <c r="M35" s="523">
        <f t="shared" ref="M35:V35" si="13">MAX(M28:M33)</f>
        <v>827191.02199999988</v>
      </c>
      <c r="N35" s="524">
        <f t="shared" si="13"/>
        <v>15.819901736536105</v>
      </c>
      <c r="O35" s="524">
        <f t="shared" si="13"/>
        <v>11.299929811811504</v>
      </c>
      <c r="P35" s="524">
        <f t="shared" si="13"/>
        <v>10.761837916010956</v>
      </c>
      <c r="Q35" s="524">
        <f t="shared" si="13"/>
        <v>38.310069562801033</v>
      </c>
      <c r="R35" s="524">
        <f t="shared" si="13"/>
        <v>23.943793476750642</v>
      </c>
      <c r="S35" s="524">
        <f t="shared" si="13"/>
        <v>22.80361283500061</v>
      </c>
      <c r="T35" s="524">
        <f t="shared" si="13"/>
        <v>32.018102865398504</v>
      </c>
      <c r="U35" s="524">
        <f t="shared" si="13"/>
        <v>47.593241891858355</v>
      </c>
      <c r="V35" s="525">
        <f t="shared" si="13"/>
        <v>45.326897039865102</v>
      </c>
      <c r="W35" s="98"/>
      <c r="X35" s="98"/>
      <c r="Y35" s="98"/>
      <c r="Z35" s="98"/>
      <c r="AA35" s="98"/>
      <c r="AE35" s="227"/>
    </row>
    <row r="36" spans="1:31" ht="16">
      <c r="B36" s="246" t="s">
        <v>229</v>
      </c>
      <c r="C36" s="98"/>
      <c r="D36" s="247"/>
      <c r="E36" s="247"/>
      <c r="F36" s="248">
        <f>QUARTILE(F28:F33,3)</f>
        <v>246101.79679999998</v>
      </c>
      <c r="G36" s="248"/>
      <c r="H36" s="248"/>
      <c r="I36" s="248"/>
      <c r="J36" s="248"/>
      <c r="K36" s="248"/>
      <c r="L36" s="248"/>
      <c r="M36" s="526">
        <f t="shared" ref="M36:V36" si="14">QUARTILE(M28:M33,3)</f>
        <v>243524.39679999999</v>
      </c>
      <c r="N36" s="521">
        <f t="shared" si="14"/>
        <v>8.2898518226605447</v>
      </c>
      <c r="O36" s="521">
        <f t="shared" si="14"/>
        <v>8.1963890442018528</v>
      </c>
      <c r="P36" s="521">
        <f t="shared" si="14"/>
        <v>7.8640255867401168</v>
      </c>
      <c r="Q36" s="521">
        <f t="shared" si="14"/>
        <v>22.552724120395791</v>
      </c>
      <c r="R36" s="521">
        <f t="shared" si="14"/>
        <v>21.478784876567417</v>
      </c>
      <c r="S36" s="521">
        <f t="shared" si="14"/>
        <v>20.492589371138159</v>
      </c>
      <c r="T36" s="521">
        <f t="shared" si="14"/>
        <v>23.021679551007505</v>
      </c>
      <c r="U36" s="521">
        <f t="shared" si="14"/>
        <v>27.488508678135492</v>
      </c>
      <c r="V36" s="527">
        <f t="shared" si="14"/>
        <v>25.805589078173405</v>
      </c>
      <c r="W36" s="98"/>
      <c r="X36" s="98"/>
      <c r="Y36" s="98"/>
      <c r="Z36" s="98"/>
      <c r="AA36" s="98"/>
      <c r="AE36" s="227"/>
    </row>
    <row r="37" spans="1:31" ht="16">
      <c r="B37" s="267" t="s">
        <v>230</v>
      </c>
      <c r="C37" s="268"/>
      <c r="D37" s="269"/>
      <c r="E37" s="269"/>
      <c r="F37" s="270">
        <f>MEDIAN(F28:F33)</f>
        <v>165651.76</v>
      </c>
      <c r="G37" s="270"/>
      <c r="H37" s="270"/>
      <c r="I37" s="271"/>
      <c r="J37" s="271"/>
      <c r="K37" s="271"/>
      <c r="L37" s="271"/>
      <c r="M37" s="528">
        <f t="shared" ref="M37:V37" si="15">MEDIAN(M28:M33)</f>
        <v>163492.76</v>
      </c>
      <c r="N37" s="529">
        <f t="shared" si="15"/>
        <v>7.0082436570934448</v>
      </c>
      <c r="O37" s="529">
        <f t="shared" si="15"/>
        <v>6.4364649516105681</v>
      </c>
      <c r="P37" s="529">
        <f t="shared" si="15"/>
        <v>6.1546731573329856</v>
      </c>
      <c r="Q37" s="529">
        <f t="shared" si="15"/>
        <v>16.508310708917747</v>
      </c>
      <c r="R37" s="529">
        <f t="shared" si="15"/>
        <v>15.722200675159756</v>
      </c>
      <c r="S37" s="529">
        <f t="shared" si="15"/>
        <v>15.046732001347673</v>
      </c>
      <c r="T37" s="529">
        <f t="shared" si="15"/>
        <v>21.192835489285624</v>
      </c>
      <c r="U37" s="529">
        <f t="shared" si="15"/>
        <v>20.14072407044975</v>
      </c>
      <c r="V37" s="530">
        <f t="shared" si="15"/>
        <v>19.273664844081999</v>
      </c>
      <c r="W37" s="98"/>
      <c r="X37" s="98"/>
      <c r="Y37" s="98"/>
      <c r="Z37" s="98"/>
      <c r="AA37" s="98"/>
      <c r="AD37" s="227"/>
      <c r="AE37" s="227"/>
    </row>
    <row r="38" spans="1:31" ht="16">
      <c r="B38" s="246" t="s">
        <v>231</v>
      </c>
      <c r="C38" s="222"/>
      <c r="D38" s="247"/>
      <c r="E38" s="247"/>
      <c r="F38" s="248">
        <f>QUARTILE(F28:F33,1)</f>
        <v>107162.697075</v>
      </c>
      <c r="G38" s="248"/>
      <c r="H38" s="248"/>
      <c r="I38" s="248"/>
      <c r="J38" s="248"/>
      <c r="K38" s="248"/>
      <c r="L38" s="248"/>
      <c r="M38" s="526">
        <f t="shared" ref="M38:V38" si="16">QUARTILE(M28:M33,1)</f>
        <v>104936.697075</v>
      </c>
      <c r="N38" s="521">
        <f t="shared" si="16"/>
        <v>5.2427365185295534</v>
      </c>
      <c r="O38" s="521">
        <f t="shared" si="16"/>
        <v>4.9777347866465051</v>
      </c>
      <c r="P38" s="521">
        <f t="shared" si="16"/>
        <v>4.753053065181942</v>
      </c>
      <c r="Q38" s="521">
        <f t="shared" si="16"/>
        <v>15.052731252201342</v>
      </c>
      <c r="R38" s="521">
        <f t="shared" si="16"/>
        <v>14.660948462255304</v>
      </c>
      <c r="S38" s="521">
        <f t="shared" si="16"/>
        <v>14.265244481978467</v>
      </c>
      <c r="T38" s="521">
        <f t="shared" si="16"/>
        <v>20.90170710571924</v>
      </c>
      <c r="U38" s="521">
        <f t="shared" si="16"/>
        <v>19.656872266927174</v>
      </c>
      <c r="V38" s="527">
        <f t="shared" si="16"/>
        <v>17.529478102777386</v>
      </c>
      <c r="W38" s="98"/>
      <c r="X38" s="98"/>
      <c r="Y38" s="98"/>
      <c r="Z38" s="98"/>
      <c r="AA38" s="98"/>
      <c r="AE38" s="227"/>
    </row>
    <row r="39" spans="1:31" ht="16">
      <c r="B39" s="251" t="s">
        <v>232</v>
      </c>
      <c r="C39" s="252"/>
      <c r="D39" s="253"/>
      <c r="E39" s="253"/>
      <c r="F39" s="254">
        <f>MIN(F28:F33)</f>
        <v>87100.314499999993</v>
      </c>
      <c r="G39" s="254"/>
      <c r="H39" s="254"/>
      <c r="I39" s="254"/>
      <c r="J39" s="254"/>
      <c r="K39" s="254"/>
      <c r="L39" s="254"/>
      <c r="M39" s="531">
        <f t="shared" ref="M39:V39" si="17">MIN(M28:M33)</f>
        <v>89234.314499999993</v>
      </c>
      <c r="N39" s="532">
        <f t="shared" si="17"/>
        <v>4.5859551932838727</v>
      </c>
      <c r="O39" s="532">
        <f t="shared" si="17"/>
        <v>4.5405496963206664</v>
      </c>
      <c r="P39" s="532">
        <f t="shared" si="17"/>
        <v>4.4955937587333326</v>
      </c>
      <c r="Q39" s="532">
        <f t="shared" si="17"/>
        <v>14.539933457134012</v>
      </c>
      <c r="R39" s="532">
        <f t="shared" si="17"/>
        <v>12.974117606232239</v>
      </c>
      <c r="S39" s="532">
        <f t="shared" si="17"/>
        <v>11.481520005515257</v>
      </c>
      <c r="T39" s="532">
        <f t="shared" si="17"/>
        <v>14.436714639430516</v>
      </c>
      <c r="U39" s="532">
        <f t="shared" si="17"/>
        <v>15.50905206809416</v>
      </c>
      <c r="V39" s="533">
        <f t="shared" si="17"/>
        <v>15.204953007935451</v>
      </c>
      <c r="W39" s="98"/>
      <c r="X39" s="98"/>
      <c r="Y39" s="98"/>
      <c r="Z39" s="98"/>
      <c r="AA39" s="98"/>
      <c r="AE39" s="227"/>
    </row>
    <row r="40" spans="1:31" ht="16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98"/>
      <c r="X40" s="98"/>
      <c r="Y40" s="98"/>
      <c r="Z40" s="98"/>
      <c r="AA40" s="98"/>
      <c r="AE40" s="227"/>
    </row>
    <row r="41" spans="1:31" ht="16">
      <c r="B41" s="272" t="str">
        <f>INDEX(Pub_Comps_Range,MATCH(B$24,Pub_Comps_Params,0),MATCH($C41,Pub_Comps_Tickers,0))</f>
        <v>Nebius Group, N.V.</v>
      </c>
      <c r="C41" s="255" t="s">
        <v>23</v>
      </c>
      <c r="D41" s="273"/>
      <c r="E41" s="273"/>
      <c r="F41" s="257">
        <f>INDEX(Pub_Comps_Range,MATCH(F$24,Pub_Comps_Params,0),MATCH($C41,Pub_Comps_Tickers,0))</f>
        <v>5389.2767000000003</v>
      </c>
      <c r="G41" s="257"/>
      <c r="H41" s="257"/>
      <c r="I41" s="257"/>
      <c r="J41" s="257"/>
      <c r="K41" s="257"/>
      <c r="L41" s="257"/>
      <c r="M41" s="534">
        <f t="shared" ref="M41:V41" si="18">INDEX(Pub_Comps_Range,MATCH(M$24,Pub_Comps_Params,0),MATCH($C41,Pub_Comps_Tickers,0))</f>
        <v>3004.2767000000003</v>
      </c>
      <c r="N41" s="535">
        <f t="shared" si="18"/>
        <v>19.774480050923952</v>
      </c>
      <c r="O41" s="535">
        <f t="shared" si="18"/>
        <v>4.2444797176635474</v>
      </c>
      <c r="P41" s="535">
        <f t="shared" si="18"/>
        <v>3.1008495586547435</v>
      </c>
      <c r="Q41" s="535" t="str">
        <f t="shared" si="18"/>
        <v>NM</v>
      </c>
      <c r="R41" s="535">
        <f t="shared" si="18"/>
        <v>10.141942523890332</v>
      </c>
      <c r="S41" s="535">
        <f t="shared" si="18"/>
        <v>4.3639041085611048</v>
      </c>
      <c r="T41" s="535">
        <f t="shared" si="18"/>
        <v>22.794303789529348</v>
      </c>
      <c r="U41" s="535">
        <f t="shared" si="18"/>
        <v>22.794303789529348</v>
      </c>
      <c r="V41" s="536">
        <f t="shared" si="18"/>
        <v>10.319390120197058</v>
      </c>
      <c r="W41" s="98"/>
      <c r="X41" s="98"/>
      <c r="Y41" s="98"/>
      <c r="Z41" s="98"/>
      <c r="AA41" s="9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94298-8009-4B4C-A8BC-A3F05DA37857}">
  <dimension ref="B3:AM104"/>
  <sheetViews>
    <sheetView showGridLines="0" workbookViewId="0">
      <pane xSplit="4" ySplit="6" topLeftCell="AG57" activePane="bottomRight" state="frozen"/>
      <selection pane="topRight" activeCell="E1" sqref="E1"/>
      <selection pane="bottomLeft" activeCell="A7" sqref="A7"/>
      <selection pane="bottomRight" activeCell="AL64" sqref="AL64"/>
    </sheetView>
  </sheetViews>
  <sheetFormatPr defaultRowHeight="14.5"/>
  <cols>
    <col min="3" max="3" width="24.81640625" customWidth="1"/>
    <col min="5" max="5" width="11.54296875" bestFit="1" customWidth="1"/>
    <col min="6" max="6" width="12" bestFit="1" customWidth="1"/>
    <col min="7" max="7" width="12.7265625" bestFit="1" customWidth="1"/>
    <col min="8" max="8" width="12.26953125" bestFit="1" customWidth="1"/>
    <col min="9" max="11" width="13.7265625" bestFit="1" customWidth="1"/>
    <col min="12" max="12" width="11.54296875" bestFit="1" customWidth="1"/>
    <col min="13" max="13" width="13.26953125" bestFit="1" customWidth="1"/>
    <col min="14" max="14" width="13.7265625" bestFit="1" customWidth="1"/>
    <col min="15" max="17" width="11.54296875" bestFit="1" customWidth="1"/>
    <col min="18" max="18" width="14.26953125" bestFit="1" customWidth="1"/>
    <col min="19" max="19" width="13.7265625" bestFit="1" customWidth="1"/>
    <col min="20" max="22" width="11.54296875" bestFit="1" customWidth="1"/>
    <col min="23" max="23" width="18.453125" bestFit="1" customWidth="1"/>
    <col min="24" max="24" width="13.7265625" bestFit="1" customWidth="1"/>
    <col min="25" max="28" width="11.54296875" bestFit="1" customWidth="1"/>
    <col min="30" max="33" width="11.54296875" bestFit="1" customWidth="1"/>
    <col min="34" max="34" width="10.453125" bestFit="1" customWidth="1"/>
    <col min="35" max="37" width="11.54296875" bestFit="1" customWidth="1"/>
    <col min="38" max="38" width="12.7265625" bestFit="1" customWidth="1"/>
  </cols>
  <sheetData>
    <row r="3" spans="2:39" ht="16">
      <c r="B3" s="274"/>
      <c r="C3" s="228" t="s">
        <v>12</v>
      </c>
      <c r="D3" s="275"/>
      <c r="E3" s="276"/>
      <c r="F3" s="276"/>
      <c r="G3" s="277"/>
      <c r="H3" s="278" t="s">
        <v>236</v>
      </c>
      <c r="I3" s="227"/>
      <c r="J3" s="276"/>
      <c r="K3" s="276"/>
      <c r="L3" s="277"/>
      <c r="M3" s="278" t="s">
        <v>224</v>
      </c>
      <c r="N3" s="227"/>
      <c r="O3" s="276"/>
      <c r="P3" s="276"/>
      <c r="Q3" s="277"/>
      <c r="R3" s="278" t="s">
        <v>225</v>
      </c>
      <c r="S3" s="227"/>
      <c r="T3" s="276"/>
      <c r="U3" s="276"/>
      <c r="V3" s="277"/>
      <c r="W3" s="278" t="s">
        <v>226</v>
      </c>
      <c r="X3" s="227"/>
      <c r="Y3" s="276"/>
      <c r="Z3" s="276"/>
      <c r="AA3" s="277"/>
      <c r="AB3" s="278" t="s">
        <v>227</v>
      </c>
      <c r="AC3" s="227"/>
      <c r="AD3" s="276"/>
      <c r="AE3" s="276"/>
      <c r="AF3" s="277"/>
      <c r="AG3" s="278" t="s">
        <v>223</v>
      </c>
      <c r="AH3" s="279"/>
      <c r="AI3" s="276"/>
      <c r="AJ3" s="276"/>
      <c r="AK3" s="277"/>
      <c r="AL3" s="278" t="s">
        <v>23</v>
      </c>
    </row>
    <row r="4" spans="2:39" ht="16">
      <c r="B4" s="274"/>
      <c r="C4" s="228" t="s">
        <v>11</v>
      </c>
      <c r="D4" s="275"/>
      <c r="E4" s="276"/>
      <c r="F4" s="276"/>
      <c r="G4" s="277"/>
      <c r="H4" s="280" t="s">
        <v>237</v>
      </c>
      <c r="I4" s="227"/>
      <c r="J4" s="276"/>
      <c r="K4" s="276"/>
      <c r="L4" s="277"/>
      <c r="M4" s="280" t="s">
        <v>238</v>
      </c>
      <c r="N4" s="227"/>
      <c r="O4" s="276"/>
      <c r="P4" s="276"/>
      <c r="Q4" s="277"/>
      <c r="R4" s="280" t="s">
        <v>239</v>
      </c>
      <c r="S4" s="227"/>
      <c r="T4" s="276"/>
      <c r="U4" s="276"/>
      <c r="V4" s="277"/>
      <c r="W4" s="280" t="s">
        <v>240</v>
      </c>
      <c r="X4" s="227"/>
      <c r="Y4" s="276"/>
      <c r="Z4" s="276"/>
      <c r="AA4" s="277"/>
      <c r="AB4" s="280" t="s">
        <v>241</v>
      </c>
      <c r="AC4" s="227"/>
      <c r="AD4" s="276"/>
      <c r="AE4" s="276"/>
      <c r="AF4" s="277"/>
      <c r="AG4" s="280" t="s">
        <v>242</v>
      </c>
      <c r="AH4" s="281"/>
      <c r="AI4" s="276"/>
      <c r="AJ4" s="276"/>
      <c r="AK4" s="277"/>
      <c r="AL4" s="280" t="s">
        <v>302</v>
      </c>
    </row>
    <row r="5" spans="2:39" ht="16">
      <c r="B5" s="274"/>
      <c r="C5" s="275"/>
      <c r="D5" s="275"/>
      <c r="E5" s="282" t="s">
        <v>243</v>
      </c>
      <c r="F5" s="283"/>
      <c r="G5" s="283"/>
      <c r="H5" s="283"/>
      <c r="I5" s="227"/>
      <c r="J5" s="282" t="s">
        <v>243</v>
      </c>
      <c r="K5" s="283"/>
      <c r="L5" s="283"/>
      <c r="M5" s="283"/>
      <c r="N5" s="227"/>
      <c r="O5" s="282" t="s">
        <v>243</v>
      </c>
      <c r="P5" s="283"/>
      <c r="Q5" s="283"/>
      <c r="R5" s="283"/>
      <c r="S5" s="227"/>
      <c r="T5" s="282" t="s">
        <v>243</v>
      </c>
      <c r="U5" s="283"/>
      <c r="V5" s="283"/>
      <c r="W5" s="283"/>
      <c r="X5" s="227"/>
      <c r="Y5" s="282" t="s">
        <v>243</v>
      </c>
      <c r="Z5" s="283"/>
      <c r="AA5" s="283"/>
      <c r="AB5" s="283"/>
      <c r="AC5" s="227"/>
      <c r="AD5" s="282" t="s">
        <v>243</v>
      </c>
      <c r="AE5" s="283"/>
      <c r="AF5" s="283"/>
      <c r="AG5" s="283"/>
      <c r="AH5" s="284"/>
      <c r="AI5" s="282" t="s">
        <v>243</v>
      </c>
      <c r="AJ5" s="283"/>
      <c r="AK5" s="283"/>
      <c r="AL5" s="283"/>
    </row>
    <row r="6" spans="2:39" ht="16">
      <c r="B6" s="274"/>
      <c r="C6" s="275"/>
      <c r="D6" s="275"/>
      <c r="E6" s="285">
        <v>45291</v>
      </c>
      <c r="F6" s="285">
        <v>45382</v>
      </c>
      <c r="G6" s="285">
        <v>45473</v>
      </c>
      <c r="H6" s="285">
        <v>45565</v>
      </c>
      <c r="I6" s="227"/>
      <c r="J6" s="285">
        <v>45291</v>
      </c>
      <c r="K6" s="285">
        <v>45382</v>
      </c>
      <c r="L6" s="285">
        <v>45473</v>
      </c>
      <c r="M6" s="285">
        <v>45565</v>
      </c>
      <c r="N6" s="227"/>
      <c r="O6" s="285">
        <v>45291</v>
      </c>
      <c r="P6" s="285">
        <v>45382</v>
      </c>
      <c r="Q6" s="285">
        <v>45473</v>
      </c>
      <c r="R6" s="285">
        <v>45565</v>
      </c>
      <c r="S6" s="227"/>
      <c r="T6" s="285">
        <v>45291</v>
      </c>
      <c r="U6" s="285">
        <v>45382</v>
      </c>
      <c r="V6" s="285">
        <v>45473</v>
      </c>
      <c r="W6" s="285">
        <v>45565</v>
      </c>
      <c r="X6" s="227"/>
      <c r="Y6" s="285">
        <v>45291</v>
      </c>
      <c r="Z6" s="285">
        <v>45382</v>
      </c>
      <c r="AA6" s="285">
        <v>45473</v>
      </c>
      <c r="AB6" s="285">
        <v>45565</v>
      </c>
      <c r="AC6" s="227"/>
      <c r="AD6" s="285">
        <v>45291</v>
      </c>
      <c r="AE6" s="285">
        <v>45382</v>
      </c>
      <c r="AF6" s="285">
        <v>45473</v>
      </c>
      <c r="AG6" s="285">
        <v>45565</v>
      </c>
      <c r="AH6" s="286"/>
      <c r="AI6" s="285">
        <v>45291</v>
      </c>
      <c r="AJ6" s="285">
        <v>45382</v>
      </c>
      <c r="AK6" s="285">
        <v>45473</v>
      </c>
      <c r="AL6" s="285">
        <v>45565</v>
      </c>
    </row>
    <row r="7" spans="2:39" ht="16">
      <c r="B7" s="274"/>
      <c r="C7" s="228" t="s">
        <v>248</v>
      </c>
      <c r="D7" s="275"/>
      <c r="E7" s="287">
        <v>3758.259</v>
      </c>
      <c r="F7" s="287">
        <v>3793.558</v>
      </c>
      <c r="G7" s="287">
        <v>3871.5070000000001</v>
      </c>
      <c r="H7" s="287">
        <v>4167.9759999999997</v>
      </c>
      <c r="I7" s="408"/>
      <c r="J7" s="287">
        <v>7237</v>
      </c>
      <c r="K7" s="287">
        <v>5290</v>
      </c>
      <c r="L7" s="287">
        <v>6242.8</v>
      </c>
      <c r="M7" s="287">
        <v>7467.3</v>
      </c>
      <c r="N7" s="227"/>
      <c r="O7" s="287">
        <v>2486.7260000000001</v>
      </c>
      <c r="P7" s="287">
        <v>2359.83</v>
      </c>
      <c r="Q7" s="287">
        <v>2568.7350000000001</v>
      </c>
      <c r="R7" s="287">
        <v>2841.5410000000002</v>
      </c>
      <c r="S7" s="227"/>
      <c r="T7" s="287">
        <v>9295</v>
      </c>
      <c r="U7" s="287">
        <v>11961</v>
      </c>
      <c r="V7" s="287">
        <v>12487</v>
      </c>
      <c r="W7" s="287">
        <v>13072</v>
      </c>
      <c r="X7" s="227"/>
      <c r="Y7" s="287">
        <v>9935</v>
      </c>
      <c r="Z7" s="287">
        <v>9389</v>
      </c>
      <c r="AA7" s="287">
        <v>9393</v>
      </c>
      <c r="AB7" s="287">
        <v>10244</v>
      </c>
      <c r="AC7" s="227"/>
      <c r="AD7" s="287">
        <v>6707</v>
      </c>
      <c r="AE7" s="287">
        <v>6646</v>
      </c>
      <c r="AF7" s="287">
        <v>6778</v>
      </c>
      <c r="AG7" s="287">
        <v>7045</v>
      </c>
      <c r="AH7" s="288"/>
      <c r="AI7" s="342" t="s">
        <v>24</v>
      </c>
      <c r="AJ7" s="342">
        <f>Model!F55/1000</f>
        <v>11.286</v>
      </c>
      <c r="AK7" s="342">
        <f>Model!G55/1000</f>
        <v>24.9</v>
      </c>
      <c r="AL7" s="342">
        <f>Model!H55/1000</f>
        <v>37.981740762124709</v>
      </c>
    </row>
    <row r="8" spans="2:39" ht="16">
      <c r="B8" s="274"/>
      <c r="C8" s="228"/>
      <c r="D8" s="275"/>
      <c r="E8" s="287"/>
      <c r="F8" s="179">
        <f>F7/E7-1</f>
        <v>9.3923808870011172E-3</v>
      </c>
      <c r="G8" s="179">
        <f t="shared" ref="G8:H8" si="0">G7/F7-1</f>
        <v>2.0547728544021204E-2</v>
      </c>
      <c r="H8" s="179">
        <f t="shared" si="0"/>
        <v>7.657715716386404E-2</v>
      </c>
      <c r="I8" s="408">
        <f>AVERAGE(F8:H8)</f>
        <v>3.550575553162879E-2</v>
      </c>
      <c r="J8" s="287"/>
      <c r="K8" s="179">
        <f>K7/J7-1</f>
        <v>-0.26903413016443278</v>
      </c>
      <c r="L8" s="179">
        <f t="shared" ref="L8" si="1">L7/K7-1</f>
        <v>0.18011342155009458</v>
      </c>
      <c r="M8" s="179">
        <f t="shared" ref="M8" si="2">M7/L7-1</f>
        <v>0.19614596014608821</v>
      </c>
      <c r="N8" s="417">
        <f>AVERAGE(K8:M8)</f>
        <v>3.5741750510583335E-2</v>
      </c>
      <c r="O8" s="287"/>
      <c r="P8" s="179">
        <f>P7/O7-1</f>
        <v>-5.1029345412401783E-2</v>
      </c>
      <c r="Q8" s="179">
        <f t="shared" ref="Q8" si="3">Q7/P7-1</f>
        <v>8.8525444629486083E-2</v>
      </c>
      <c r="R8" s="179">
        <f t="shared" ref="R8" si="4">R7/Q7-1</f>
        <v>0.10620246930882327</v>
      </c>
      <c r="S8" s="417">
        <f>AVERAGE(P8:R8)</f>
        <v>4.7899522841969189E-2</v>
      </c>
      <c r="T8" s="287"/>
      <c r="U8" s="179">
        <f>U7/T7-1</f>
        <v>0.28682087143625612</v>
      </c>
      <c r="V8" s="179">
        <f t="shared" ref="V8" si="5">V7/U7-1</f>
        <v>4.3976256165872529E-2</v>
      </c>
      <c r="W8" s="179">
        <f t="shared" ref="W8" si="6">W7/V7-1</f>
        <v>4.6848722671578358E-2</v>
      </c>
      <c r="X8" s="417">
        <f>AVERAGE(U8:W8)</f>
        <v>0.12588195009123568</v>
      </c>
      <c r="Y8" s="287"/>
      <c r="Z8" s="179">
        <f>Z7/Y7-1</f>
        <v>-5.4957221942627088E-2</v>
      </c>
      <c r="AA8" s="179">
        <f t="shared" ref="AA8" si="7">AA7/Z7-1</f>
        <v>4.2603046117806187E-4</v>
      </c>
      <c r="AB8" s="179">
        <f t="shared" ref="AB8" si="8">AB7/AA7-1</f>
        <v>9.0599382518897098E-2</v>
      </c>
      <c r="AC8" s="417">
        <f>AVERAGE(Z8:AB8)</f>
        <v>1.2022730345816024E-2</v>
      </c>
      <c r="AD8" s="287"/>
      <c r="AE8" s="179">
        <f>AE7/AD7-1</f>
        <v>-9.0949753988370796E-3</v>
      </c>
      <c r="AF8" s="179">
        <f t="shared" ref="AF8" si="9">AF7/AE7-1</f>
        <v>1.9861570869696088E-2</v>
      </c>
      <c r="AG8" s="179">
        <f t="shared" ref="AG8" si="10">AG7/AF7-1</f>
        <v>3.9392151077013882E-2</v>
      </c>
      <c r="AH8" s="417">
        <f>AVERAGE(AE8:AG8)</f>
        <v>1.6719582182624298E-2</v>
      </c>
      <c r="AI8" s="287"/>
      <c r="AJ8" s="179"/>
      <c r="AK8" s="179">
        <f t="shared" ref="AK8" si="11">AK7/AJ7-1</f>
        <v>1.2062732589048379</v>
      </c>
      <c r="AL8" s="179">
        <f t="shared" ref="AL8" si="12">AL7/AK7-1</f>
        <v>0.52537111494476751</v>
      </c>
    </row>
    <row r="9" spans="2:39" ht="16">
      <c r="B9" s="274"/>
      <c r="C9" s="229" t="s">
        <v>249</v>
      </c>
      <c r="D9" s="289"/>
      <c r="E9" s="287">
        <v>954.26599999999996</v>
      </c>
      <c r="F9" s="287">
        <v>965.82600000000002</v>
      </c>
      <c r="G9" s="287">
        <v>1020.282</v>
      </c>
      <c r="H9" s="287">
        <v>1116.444</v>
      </c>
      <c r="I9" s="227"/>
      <c r="J9" s="287">
        <v>2048.1</v>
      </c>
      <c r="K9" s="287">
        <v>1223.8</v>
      </c>
      <c r="L9" s="287">
        <v>1577.9</v>
      </c>
      <c r="M9" s="287">
        <v>2076.5</v>
      </c>
      <c r="N9" s="227"/>
      <c r="O9" s="287">
        <v>582.53399999999999</v>
      </c>
      <c r="P9" s="287">
        <v>601.54100000000005</v>
      </c>
      <c r="Q9" s="287">
        <v>836.44600000000003</v>
      </c>
      <c r="R9" s="287">
        <v>945.851</v>
      </c>
      <c r="S9" s="227"/>
      <c r="T9" s="287">
        <v>3524</v>
      </c>
      <c r="U9" s="287">
        <v>1325</v>
      </c>
      <c r="V9" s="287">
        <v>2121</v>
      </c>
      <c r="W9" s="287">
        <v>-1875</v>
      </c>
      <c r="X9" s="227"/>
      <c r="Y9" s="287">
        <v>2767</v>
      </c>
      <c r="Z9" s="287">
        <v>2326</v>
      </c>
      <c r="AA9" s="287">
        <v>2129</v>
      </c>
      <c r="AB9" s="287">
        <v>2920</v>
      </c>
      <c r="AC9" s="227"/>
      <c r="AD9" s="287">
        <v>2019</v>
      </c>
      <c r="AE9" s="287">
        <v>1722</v>
      </c>
      <c r="AF9" s="287">
        <v>1705</v>
      </c>
      <c r="AG9" s="287">
        <v>1731</v>
      </c>
      <c r="AH9" s="290"/>
      <c r="AI9" s="287" t="s">
        <v>24</v>
      </c>
      <c r="AJ9" s="287">
        <f>Model!G77/1000</f>
        <v>-14.398793726741104</v>
      </c>
      <c r="AK9" s="287">
        <f>Model!H77/1000</f>
        <v>-19.135993104635634</v>
      </c>
      <c r="AL9" s="287">
        <f>Model!I77/1000</f>
        <v>59.107713376132871</v>
      </c>
    </row>
    <row r="10" spans="2:39" ht="16">
      <c r="B10" s="274"/>
      <c r="C10" s="275"/>
      <c r="D10" s="275"/>
      <c r="F10" s="418">
        <f>F9/E9-1</f>
        <v>1.2114022714840633E-2</v>
      </c>
      <c r="G10" s="418">
        <f t="shared" ref="G10:H10" si="13">G9/F9-1</f>
        <v>5.6382826720341006E-2</v>
      </c>
      <c r="H10" s="418">
        <f t="shared" si="13"/>
        <v>9.425041312107818E-2</v>
      </c>
      <c r="I10" s="408">
        <f>AVERAGE(F10:H10)</f>
        <v>5.4249087518753271E-2</v>
      </c>
      <c r="K10" s="418">
        <f>K9/J9-1</f>
        <v>-0.40247058249108925</v>
      </c>
      <c r="L10" s="418">
        <f t="shared" ref="L10" si="14">L9/K9-1</f>
        <v>0.28934466416081062</v>
      </c>
      <c r="M10" s="418">
        <f t="shared" ref="M10" si="15">M9/L9-1</f>
        <v>0.31598960643893781</v>
      </c>
      <c r="N10" s="417">
        <f>AVERAGE(K10:M10)</f>
        <v>6.762122936955306E-2</v>
      </c>
      <c r="P10" s="418">
        <f>P9/O9-1</f>
        <v>3.2628138443421495E-2</v>
      </c>
      <c r="Q10" s="418">
        <f t="shared" ref="Q10" si="16">Q9/P9-1</f>
        <v>0.39050538533533041</v>
      </c>
      <c r="R10" s="418">
        <f t="shared" ref="R10" si="17">R9/Q9-1</f>
        <v>0.1307974453820091</v>
      </c>
      <c r="S10" s="417">
        <f>AVERAGE(P10:R10)</f>
        <v>0.18464365638692035</v>
      </c>
      <c r="U10" s="179">
        <f>U9/T9-1</f>
        <v>-0.62400681044267881</v>
      </c>
      <c r="V10" s="179">
        <f t="shared" ref="V10" si="18">V9/U9-1</f>
        <v>0.60075471698113203</v>
      </c>
      <c r="W10" s="179">
        <f t="shared" ref="W10" si="19">W9/V9-1</f>
        <v>-1.884016973125884</v>
      </c>
      <c r="X10" s="417">
        <f>AVERAGE(U10:W10)</f>
        <v>-0.63575635552914356</v>
      </c>
      <c r="Z10" s="179">
        <f>Z9/Y9-1</f>
        <v>-0.15937838814600647</v>
      </c>
      <c r="AA10" s="179">
        <f t="shared" ref="AA10" si="20">AA9/Z9-1</f>
        <v>-8.4694754944110051E-2</v>
      </c>
      <c r="AB10" s="179">
        <f t="shared" ref="AB10" si="21">AB9/AA9-1</f>
        <v>0.37153593236261151</v>
      </c>
      <c r="AC10" s="417">
        <f>AVERAGE(Z10:AB10)</f>
        <v>4.2487596424164997E-2</v>
      </c>
      <c r="AE10" s="179">
        <f>AE9/AD9-1</f>
        <v>-0.1471025260029718</v>
      </c>
      <c r="AF10" s="179">
        <f t="shared" ref="AF10" si="22">AF9/AE9-1</f>
        <v>-9.8722415795586826E-3</v>
      </c>
      <c r="AG10" s="179">
        <f t="shared" ref="AG10" si="23">AG9/AF9-1</f>
        <v>1.5249266862169986E-2</v>
      </c>
      <c r="AH10" s="417">
        <f>AVERAGE(AE10:AG10)</f>
        <v>-4.7241833573453497E-2</v>
      </c>
      <c r="AJ10" s="179"/>
      <c r="AK10" s="179">
        <f t="shared" ref="AK10" si="24">AK9/AJ9-1</f>
        <v>0.3289997389917958</v>
      </c>
      <c r="AL10" s="179">
        <f t="shared" ref="AL10" si="25">AL9/AK9-1</f>
        <v>-4.0888239273985842</v>
      </c>
    </row>
    <row r="11" spans="2:39" ht="16">
      <c r="B11" s="274"/>
      <c r="C11" s="228" t="s">
        <v>148</v>
      </c>
      <c r="D11" s="275"/>
      <c r="E11" s="287">
        <v>1133.364</v>
      </c>
      <c r="F11" s="287">
        <v>1140.338</v>
      </c>
      <c r="G11" s="287">
        <v>1200.7950000000001</v>
      </c>
      <c r="H11" s="287">
        <v>1339.2239999999999</v>
      </c>
      <c r="I11" s="227"/>
      <c r="J11" s="287">
        <v>2585.8000000000002</v>
      </c>
      <c r="K11" s="287">
        <v>1391.4</v>
      </c>
      <c r="L11" s="287">
        <v>1834.6</v>
      </c>
      <c r="M11" s="287">
        <v>2441.1999999999998</v>
      </c>
      <c r="N11" s="227"/>
      <c r="O11" s="287">
        <v>952.31799999999998</v>
      </c>
      <c r="P11" s="287">
        <v>806.84100000000001</v>
      </c>
      <c r="Q11" s="287">
        <v>977.31899999999996</v>
      </c>
      <c r="R11" s="287">
        <v>1119.923</v>
      </c>
      <c r="S11" s="227"/>
      <c r="T11" s="287">
        <v>4253</v>
      </c>
      <c r="U11" s="287">
        <v>2703</v>
      </c>
      <c r="V11" s="287">
        <v>3257</v>
      </c>
      <c r="W11" s="287">
        <v>4091</v>
      </c>
      <c r="X11" s="227"/>
      <c r="Y11" s="287">
        <v>3140</v>
      </c>
      <c r="Z11" s="287">
        <v>2670</v>
      </c>
      <c r="AA11" s="287">
        <v>2447</v>
      </c>
      <c r="AB11" s="287">
        <v>2776</v>
      </c>
      <c r="AC11" s="227"/>
      <c r="AD11" s="287">
        <v>2362</v>
      </c>
      <c r="AE11" s="287">
        <v>2053</v>
      </c>
      <c r="AF11" s="287">
        <v>2023</v>
      </c>
      <c r="AG11" s="287">
        <v>1961</v>
      </c>
      <c r="AH11" s="290"/>
      <c r="AI11" s="287" t="s">
        <v>24</v>
      </c>
      <c r="AJ11" s="287">
        <f>Model!F67/1000</f>
        <v>-69.476400000000012</v>
      </c>
      <c r="AK11" s="287">
        <f>Model!G67/1000</f>
        <v>-97.498793726741098</v>
      </c>
      <c r="AL11" s="287">
        <f>Model!H67/1000</f>
        <v>-54.335993104635634</v>
      </c>
    </row>
    <row r="12" spans="2:39" ht="16">
      <c r="B12" s="274"/>
      <c r="C12" s="292" t="s">
        <v>244</v>
      </c>
      <c r="D12" s="289"/>
      <c r="E12" s="287">
        <v>23.274000000000001</v>
      </c>
      <c r="F12" s="287">
        <v>6.9050000000000002</v>
      </c>
      <c r="G12" s="287">
        <v>9.2170000000000005</v>
      </c>
      <c r="H12" s="287">
        <v>7.734</v>
      </c>
      <c r="J12" s="287"/>
      <c r="K12" s="287"/>
      <c r="L12" s="287"/>
      <c r="M12" s="287"/>
      <c r="N12" s="227"/>
      <c r="O12" s="287">
        <v>-219</v>
      </c>
      <c r="P12" s="287">
        <v>-70.474000000000004</v>
      </c>
      <c r="Q12" s="287">
        <v>7.165</v>
      </c>
      <c r="R12" s="287">
        <v>0</v>
      </c>
      <c r="S12" s="227"/>
      <c r="T12" s="287">
        <v>-49</v>
      </c>
      <c r="U12" s="287">
        <v>-226</v>
      </c>
      <c r="V12" s="287">
        <v>-233</v>
      </c>
      <c r="W12" s="287">
        <v>-1217</v>
      </c>
      <c r="X12" s="227"/>
      <c r="Y12" s="287">
        <v>-3</v>
      </c>
      <c r="Z12" s="287">
        <v>108</v>
      </c>
      <c r="AA12" s="287">
        <v>-62</v>
      </c>
      <c r="AB12" s="287">
        <v>16</v>
      </c>
      <c r="AC12" s="227"/>
      <c r="AD12" s="287">
        <v>0</v>
      </c>
      <c r="AE12" s="287">
        <v>0</v>
      </c>
      <c r="AF12" s="287">
        <v>0</v>
      </c>
      <c r="AG12" s="287">
        <v>0</v>
      </c>
      <c r="AH12" s="417"/>
      <c r="AI12" s="287"/>
      <c r="AJ12" s="287">
        <v>0</v>
      </c>
      <c r="AK12" s="287">
        <v>0</v>
      </c>
      <c r="AL12" s="287">
        <v>0</v>
      </c>
      <c r="AM12" s="2"/>
    </row>
    <row r="13" spans="2:39" ht="16">
      <c r="B13" s="274"/>
      <c r="C13" s="292" t="s">
        <v>245</v>
      </c>
      <c r="D13" s="289"/>
      <c r="E13" s="409">
        <v>90.941000000000003</v>
      </c>
      <c r="F13" s="409">
        <v>89.921999999999997</v>
      </c>
      <c r="G13" s="409">
        <v>88.356999999999999</v>
      </c>
      <c r="H13" s="409">
        <v>94.295000000000002</v>
      </c>
      <c r="J13" s="409">
        <v>212.1</v>
      </c>
      <c r="K13" s="409">
        <v>214.4</v>
      </c>
      <c r="L13" s="409">
        <v>227.5</v>
      </c>
      <c r="M13" s="409">
        <v>235.7</v>
      </c>
      <c r="N13" s="227"/>
      <c r="O13" s="409">
        <v>333.33499999999998</v>
      </c>
      <c r="P13" s="409">
        <v>363.34399999999999</v>
      </c>
      <c r="Q13" s="409">
        <v>415.113</v>
      </c>
      <c r="R13" s="409">
        <v>401.73</v>
      </c>
      <c r="S13" s="227"/>
      <c r="T13" s="409">
        <v>932</v>
      </c>
      <c r="U13" s="409">
        <v>2345</v>
      </c>
      <c r="V13" s="409">
        <v>2530</v>
      </c>
      <c r="W13" s="409">
        <v>2524</v>
      </c>
      <c r="X13" s="227"/>
      <c r="Y13" s="409">
        <v>437</v>
      </c>
      <c r="Z13" s="409">
        <v>411</v>
      </c>
      <c r="AA13" s="409">
        <v>419</v>
      </c>
      <c r="AB13" s="409">
        <v>439</v>
      </c>
      <c r="AC13" s="227"/>
      <c r="AD13" s="409">
        <v>91</v>
      </c>
      <c r="AE13" s="409">
        <v>96</v>
      </c>
      <c r="AF13" s="409">
        <v>95</v>
      </c>
      <c r="AG13" s="409">
        <v>110</v>
      </c>
      <c r="AH13" s="290"/>
      <c r="AI13" s="409"/>
      <c r="AJ13" s="409">
        <f>Model!F130/1000</f>
        <v>8.758799999999999</v>
      </c>
      <c r="AK13" s="409">
        <f>Model!G130/1000</f>
        <v>11.5</v>
      </c>
      <c r="AL13" s="409">
        <f>Model!H130/1000</f>
        <v>23.5</v>
      </c>
    </row>
    <row r="14" spans="2:39" ht="16">
      <c r="B14" s="274"/>
      <c r="C14" s="293" t="s">
        <v>151</v>
      </c>
      <c r="D14" s="294"/>
      <c r="E14" s="295">
        <f>SUM(E11:E13)</f>
        <v>1247.579</v>
      </c>
      <c r="F14" s="295">
        <f t="shared" ref="F14:G14" si="26">SUM(F11:F13)</f>
        <v>1237.165</v>
      </c>
      <c r="G14" s="295">
        <f t="shared" si="26"/>
        <v>1298.3690000000001</v>
      </c>
      <c r="H14" s="295">
        <f>SUM(H11:H13)</f>
        <v>1441.2529999999999</v>
      </c>
      <c r="J14" s="419">
        <f>SUM(J11:J13)</f>
        <v>2797.9</v>
      </c>
      <c r="K14" s="419">
        <f>SUM(K11:K13)</f>
        <v>1605.8000000000002</v>
      </c>
      <c r="L14" s="419">
        <f>SUM(L11:L13)</f>
        <v>2062.1</v>
      </c>
      <c r="M14" s="419">
        <f>SUM(M11:M13)</f>
        <v>2676.8999999999996</v>
      </c>
      <c r="N14" s="227"/>
      <c r="O14" s="295">
        <f>SUM(O11:O13)</f>
        <v>1066.653</v>
      </c>
      <c r="P14" s="295">
        <f t="shared" ref="P14:Q14" si="27">SUM(P11:P13)</f>
        <v>1099.711</v>
      </c>
      <c r="Q14" s="295">
        <f t="shared" si="27"/>
        <v>1399.597</v>
      </c>
      <c r="R14" s="295">
        <f>SUM(R11:R13)</f>
        <v>1521.653</v>
      </c>
      <c r="S14" s="227"/>
      <c r="T14" s="295">
        <f t="shared" ref="T14:V14" si="28">SUM(T11:T13)</f>
        <v>5136</v>
      </c>
      <c r="U14" s="295">
        <f t="shared" si="28"/>
        <v>4822</v>
      </c>
      <c r="V14" s="295">
        <f t="shared" si="28"/>
        <v>5554</v>
      </c>
      <c r="W14" s="295">
        <f>SUM(W11:W13)</f>
        <v>5398</v>
      </c>
      <c r="X14" s="227"/>
      <c r="Y14" s="295">
        <f t="shared" ref="Y14:AA14" si="29">SUM(Y11:Y13)</f>
        <v>3574</v>
      </c>
      <c r="Z14" s="295">
        <f t="shared" si="29"/>
        <v>3189</v>
      </c>
      <c r="AA14" s="295">
        <f t="shared" si="29"/>
        <v>2804</v>
      </c>
      <c r="AB14" s="295">
        <f>SUM(AB11:AB13)</f>
        <v>3231</v>
      </c>
      <c r="AC14" s="227"/>
      <c r="AD14" s="295">
        <f t="shared" ref="AD14:AF14" si="30">SUM(AD11:AD13)</f>
        <v>2453</v>
      </c>
      <c r="AE14" s="295">
        <f t="shared" si="30"/>
        <v>2149</v>
      </c>
      <c r="AF14" s="295">
        <f t="shared" si="30"/>
        <v>2118</v>
      </c>
      <c r="AG14" s="295">
        <f>SUM(AG11:AG13)</f>
        <v>2071</v>
      </c>
      <c r="AH14" s="295"/>
      <c r="AI14" s="295" t="s">
        <v>24</v>
      </c>
      <c r="AJ14" s="295">
        <f t="shared" ref="AJ14" si="31">SUM(AJ11:AJ13)</f>
        <v>-60.717600000000012</v>
      </c>
      <c r="AK14" s="295">
        <f t="shared" ref="AK14" si="32">SUM(AK11:AK13)</f>
        <v>-85.998793726741098</v>
      </c>
      <c r="AL14" s="295">
        <f>SUM(AL11:AL13)</f>
        <v>-30.835993104635634</v>
      </c>
    </row>
    <row r="15" spans="2:39" ht="16">
      <c r="B15" s="274"/>
      <c r="C15" s="296"/>
      <c r="D15" s="289"/>
      <c r="F15" s="179">
        <f>F14/E14-1</f>
        <v>-8.3473671807556826E-3</v>
      </c>
      <c r="G15" s="179">
        <f t="shared" ref="G15:H15" si="33">G14/F14-1</f>
        <v>4.9471169973285933E-2</v>
      </c>
      <c r="H15" s="179">
        <f t="shared" si="33"/>
        <v>0.11004883819622902</v>
      </c>
      <c r="I15" s="408">
        <f>AVERAGE(F15:H15)</f>
        <v>5.039088032958642E-2</v>
      </c>
      <c r="J15" s="297"/>
      <c r="K15" s="179">
        <f>K14/J14-1</f>
        <v>-0.42606955216412301</v>
      </c>
      <c r="L15" s="179">
        <f t="shared" ref="L15" si="34">L14/K14-1</f>
        <v>0.28415742931871946</v>
      </c>
      <c r="M15" s="179">
        <f t="shared" ref="M15" si="35">M14/L14-1</f>
        <v>0.29814267009359385</v>
      </c>
      <c r="N15" s="417">
        <f>AVERAGE(K15:M15)</f>
        <v>5.2076849082730102E-2</v>
      </c>
      <c r="P15" s="421">
        <f>P14/O14-1</f>
        <v>3.0992272088486095E-2</v>
      </c>
      <c r="Q15" s="421">
        <f t="shared" ref="Q15" si="36">Q14/P14-1</f>
        <v>0.27269528085105987</v>
      </c>
      <c r="R15" s="420">
        <f t="shared" ref="R15" si="37">R14/Q14-1</f>
        <v>8.7207960577223353E-2</v>
      </c>
      <c r="S15" s="417">
        <f>AVERAGE(P15:R15)</f>
        <v>0.13029850450558977</v>
      </c>
      <c r="U15" s="179">
        <f>U14/T14-1</f>
        <v>-6.1137071651090391E-2</v>
      </c>
      <c r="V15" s="179">
        <f t="shared" ref="V15" si="38">V14/U14-1</f>
        <v>0.1518042306097056</v>
      </c>
      <c r="W15" s="179">
        <f t="shared" ref="W15" si="39">W14/V14-1</f>
        <v>-2.8087864602088564E-2</v>
      </c>
      <c r="X15" s="417">
        <f>AVERAGE(U15:W15)</f>
        <v>2.0859764785508883E-2</v>
      </c>
      <c r="Z15" s="179">
        <f>Z14/Y14-1</f>
        <v>-0.10772243984331287</v>
      </c>
      <c r="AA15" s="179">
        <f t="shared" ref="AA15" si="40">AA14/Z14-1</f>
        <v>-0.12072750078394479</v>
      </c>
      <c r="AB15" s="179">
        <f t="shared" ref="AB15" si="41">AB14/AA14-1</f>
        <v>0.15228245363766058</v>
      </c>
      <c r="AC15" s="417">
        <f>AVERAGE(Z15:AB15)</f>
        <v>-2.5389162329865694E-2</v>
      </c>
      <c r="AE15" s="179">
        <f>AE14/AD14-1</f>
        <v>-0.12392988177741537</v>
      </c>
      <c r="AF15" s="179">
        <f t="shared" ref="AF15" si="42">AF14/AE14-1</f>
        <v>-1.4425314099581255E-2</v>
      </c>
      <c r="AG15" s="179">
        <f t="shared" ref="AG15" si="43">AG14/AF14-1</f>
        <v>-2.2190745986779947E-2</v>
      </c>
      <c r="AH15" s="417">
        <f>AVERAGE(AE15:AG15)</f>
        <v>-5.3515313954592192E-2</v>
      </c>
      <c r="AJ15" s="179"/>
      <c r="AK15" s="179">
        <f t="shared" ref="AK15" si="44">AK14/AJ14-1</f>
        <v>0.41637340288056657</v>
      </c>
      <c r="AL15" s="179">
        <f t="shared" ref="AL15" si="45">AL14/AK14-1</f>
        <v>-0.64143691128254443</v>
      </c>
    </row>
    <row r="16" spans="2:39" ht="16">
      <c r="B16" s="274"/>
      <c r="C16" s="228" t="s">
        <v>17</v>
      </c>
      <c r="D16" s="275"/>
      <c r="F16" s="298"/>
      <c r="G16" s="298"/>
      <c r="H16" s="299">
        <f>532.5/4360.2</f>
        <v>0.12212742534746113</v>
      </c>
      <c r="I16" s="227"/>
      <c r="J16" s="298"/>
      <c r="K16" s="298"/>
      <c r="L16" s="298"/>
      <c r="M16" s="299">
        <f>1342.4/8268.7</f>
        <v>0.1623471646087051</v>
      </c>
      <c r="N16" s="300"/>
      <c r="P16" s="298"/>
      <c r="Q16" s="298"/>
      <c r="R16" s="299">
        <f>450.6/3417</f>
        <v>0.13187006145741881</v>
      </c>
      <c r="S16" s="227"/>
      <c r="U16" s="298"/>
      <c r="V16" s="298"/>
      <c r="W16" s="299">
        <f>4633/11793</f>
        <v>0.39286017128805223</v>
      </c>
      <c r="X16" s="227"/>
      <c r="Z16" s="298"/>
      <c r="AA16" s="298"/>
      <c r="AB16" s="299">
        <f>226/10336</f>
        <v>2.186532507739938E-2</v>
      </c>
      <c r="AC16" s="227"/>
      <c r="AE16" s="298"/>
      <c r="AF16" s="298"/>
      <c r="AG16" s="299">
        <f>975/8152</f>
        <v>0.11960255152109912</v>
      </c>
      <c r="AH16" s="299"/>
      <c r="AJ16" s="298"/>
      <c r="AK16" s="298"/>
      <c r="AL16" s="299">
        <f>Tax_Rate</f>
        <v>0.16860997432667954</v>
      </c>
    </row>
    <row r="17" spans="2:38" ht="16">
      <c r="B17" s="274"/>
      <c r="C17" s="275"/>
      <c r="D17" s="275"/>
      <c r="E17" s="275"/>
      <c r="F17" s="275"/>
      <c r="G17" s="301"/>
      <c r="H17" s="298"/>
      <c r="I17" s="227"/>
      <c r="J17" s="275"/>
      <c r="K17" s="275"/>
      <c r="L17" s="301"/>
      <c r="M17" s="298"/>
      <c r="N17" s="227"/>
      <c r="O17" s="275"/>
      <c r="P17" s="275"/>
      <c r="Q17" s="301"/>
      <c r="R17" s="298"/>
      <c r="S17" s="227"/>
      <c r="T17" s="275"/>
      <c r="U17" s="275"/>
      <c r="V17" s="301"/>
      <c r="W17" s="298"/>
      <c r="X17" s="227"/>
      <c r="Y17" s="275"/>
      <c r="Z17" s="275"/>
      <c r="AA17" s="301"/>
      <c r="AB17" s="298"/>
      <c r="AC17" s="227"/>
      <c r="AD17" s="275"/>
      <c r="AE17" s="275"/>
      <c r="AF17" s="301"/>
      <c r="AG17" s="298"/>
      <c r="AH17" s="298"/>
      <c r="AI17" s="275"/>
      <c r="AJ17" s="275"/>
      <c r="AK17" s="301"/>
      <c r="AL17" s="298"/>
    </row>
    <row r="18" spans="2:38" ht="16">
      <c r="B18" s="274"/>
      <c r="C18" s="289"/>
      <c r="D18" s="289"/>
      <c r="E18" s="302" t="s">
        <v>246</v>
      </c>
      <c r="F18" s="303"/>
      <c r="G18" s="303"/>
      <c r="H18" s="303"/>
      <c r="I18" s="227"/>
      <c r="J18" s="302" t="s">
        <v>246</v>
      </c>
      <c r="K18" s="303"/>
      <c r="L18" s="303"/>
      <c r="M18" s="303"/>
      <c r="N18" s="227"/>
      <c r="O18" s="302" t="s">
        <v>246</v>
      </c>
      <c r="P18" s="303"/>
      <c r="Q18" s="303"/>
      <c r="R18" s="303"/>
      <c r="S18" s="227"/>
      <c r="T18" s="302" t="s">
        <v>246</v>
      </c>
      <c r="U18" s="303"/>
      <c r="V18" s="303"/>
      <c r="W18" s="303"/>
      <c r="X18" s="227"/>
      <c r="Y18" s="302" t="s">
        <v>246</v>
      </c>
      <c r="Z18" s="303"/>
      <c r="AA18" s="303"/>
      <c r="AB18" s="303"/>
      <c r="AC18" s="227"/>
      <c r="AD18" s="302" t="s">
        <v>246</v>
      </c>
      <c r="AE18" s="303"/>
      <c r="AF18" s="303"/>
      <c r="AG18" s="303"/>
      <c r="AH18" s="304"/>
      <c r="AI18" s="302" t="s">
        <v>246</v>
      </c>
      <c r="AJ18" s="303"/>
      <c r="AK18" s="303"/>
      <c r="AL18" s="303"/>
    </row>
    <row r="19" spans="2:38" ht="16">
      <c r="B19" s="274"/>
      <c r="C19" s="229" t="s">
        <v>114</v>
      </c>
      <c r="D19" s="296"/>
      <c r="E19" s="305"/>
      <c r="F19" s="306"/>
      <c r="G19" s="415"/>
      <c r="H19" s="308">
        <v>-6067</v>
      </c>
      <c r="I19" s="416"/>
      <c r="J19" s="305"/>
      <c r="K19" s="306"/>
      <c r="L19" s="306"/>
      <c r="M19" s="308">
        <v>-7004</v>
      </c>
      <c r="N19" s="227"/>
      <c r="O19" s="305"/>
      <c r="P19" s="306"/>
      <c r="Q19" s="306"/>
      <c r="R19" s="308">
        <v>-4692</v>
      </c>
      <c r="S19" s="227"/>
      <c r="T19" s="305"/>
      <c r="U19" s="306"/>
      <c r="V19" s="306"/>
      <c r="W19" s="288">
        <v>-9952</v>
      </c>
      <c r="X19" s="227"/>
      <c r="Y19" s="305"/>
      <c r="Z19" s="306"/>
      <c r="AA19" s="306"/>
      <c r="AB19" s="307">
        <v>-13300</v>
      </c>
      <c r="AC19" s="227"/>
      <c r="AD19" s="305"/>
      <c r="AE19" s="306"/>
      <c r="AF19" s="306"/>
      <c r="AG19" s="307">
        <v>-9471</v>
      </c>
      <c r="AH19" s="307"/>
      <c r="AI19" s="305"/>
      <c r="AJ19" s="306"/>
      <c r="AK19" s="306"/>
      <c r="AL19" s="307">
        <v>-2288</v>
      </c>
    </row>
    <row r="20" spans="2:38" ht="16">
      <c r="B20" s="274"/>
      <c r="C20" s="229" t="s">
        <v>115</v>
      </c>
      <c r="D20" s="296"/>
      <c r="E20" s="305"/>
      <c r="F20" s="306"/>
      <c r="G20" s="306"/>
      <c r="H20" s="308">
        <v>0</v>
      </c>
      <c r="I20" s="227"/>
      <c r="J20" s="305"/>
      <c r="K20" s="306"/>
      <c r="L20" s="306"/>
      <c r="M20" s="308">
        <v>-930.9</v>
      </c>
      <c r="N20" s="227"/>
      <c r="O20" s="305"/>
      <c r="P20" s="306"/>
      <c r="Q20" s="306"/>
      <c r="R20" s="308">
        <v>0</v>
      </c>
      <c r="S20" s="227"/>
      <c r="T20" s="305"/>
      <c r="U20" s="306"/>
      <c r="V20" s="306"/>
      <c r="W20" s="308">
        <v>0</v>
      </c>
      <c r="X20" s="227"/>
      <c r="Y20" s="305"/>
      <c r="Z20" s="306"/>
      <c r="AA20" s="306"/>
      <c r="AB20" s="308"/>
      <c r="AC20" s="227"/>
      <c r="AD20" s="305"/>
      <c r="AE20" s="306"/>
      <c r="AF20" s="306"/>
      <c r="AG20" s="308">
        <v>-2787</v>
      </c>
      <c r="AH20" s="308"/>
      <c r="AI20" s="305"/>
      <c r="AJ20" s="306"/>
      <c r="AK20" s="306"/>
      <c r="AL20" s="308">
        <v>-97</v>
      </c>
    </row>
    <row r="21" spans="2:38" ht="16">
      <c r="B21" s="274"/>
      <c r="C21" s="229" t="s">
        <v>116</v>
      </c>
      <c r="D21" s="296"/>
      <c r="E21" s="305"/>
      <c r="F21" s="306"/>
      <c r="G21" s="306"/>
      <c r="H21" s="308">
        <v>0</v>
      </c>
      <c r="I21" s="227"/>
      <c r="J21" s="305"/>
      <c r="K21" s="306"/>
      <c r="L21" s="306"/>
      <c r="M21" s="308">
        <v>-640.5</v>
      </c>
      <c r="N21" s="227"/>
      <c r="O21" s="305"/>
      <c r="P21" s="306"/>
      <c r="Q21" s="306"/>
      <c r="R21" s="308">
        <v>0</v>
      </c>
      <c r="S21" s="227"/>
      <c r="T21" s="305"/>
      <c r="U21" s="306"/>
      <c r="V21" s="306"/>
      <c r="W21" s="308">
        <v>0</v>
      </c>
      <c r="X21" s="227"/>
      <c r="Y21" s="305"/>
      <c r="Z21" s="306"/>
      <c r="AA21" s="306"/>
      <c r="AB21" s="308">
        <v>0</v>
      </c>
      <c r="AC21" s="227"/>
      <c r="AD21" s="305"/>
      <c r="AE21" s="306"/>
      <c r="AF21" s="306"/>
      <c r="AG21" s="308">
        <v>0</v>
      </c>
      <c r="AH21" s="308"/>
      <c r="AI21" s="305"/>
      <c r="AJ21" s="306"/>
      <c r="AK21" s="306"/>
      <c r="AL21" s="308">
        <v>0</v>
      </c>
    </row>
    <row r="22" spans="2:38" ht="16">
      <c r="B22" s="274"/>
      <c r="C22" s="229" t="s">
        <v>117</v>
      </c>
      <c r="D22" s="296"/>
      <c r="E22" s="305"/>
      <c r="F22" s="306"/>
      <c r="G22" s="306"/>
      <c r="H22" s="308">
        <v>0</v>
      </c>
      <c r="I22" s="227"/>
      <c r="J22" s="305"/>
      <c r="K22" s="306"/>
      <c r="L22" s="306"/>
      <c r="M22" s="308">
        <v>0</v>
      </c>
      <c r="N22" s="227"/>
      <c r="O22" s="305"/>
      <c r="P22" s="306"/>
      <c r="Q22" s="306"/>
      <c r="R22" s="308">
        <v>0</v>
      </c>
      <c r="S22" s="227"/>
      <c r="T22" s="305"/>
      <c r="U22" s="306"/>
      <c r="V22" s="306"/>
      <c r="W22" s="308">
        <v>0</v>
      </c>
      <c r="X22" s="227"/>
      <c r="Y22" s="305"/>
      <c r="Z22" s="306"/>
      <c r="AA22" s="306"/>
      <c r="AB22" s="308">
        <v>0</v>
      </c>
      <c r="AC22" s="227"/>
      <c r="AD22" s="305"/>
      <c r="AE22" s="306"/>
      <c r="AF22" s="306"/>
      <c r="AG22" s="308">
        <v>0</v>
      </c>
      <c r="AH22" s="308"/>
      <c r="AI22" s="305"/>
      <c r="AJ22" s="306"/>
      <c r="AK22" s="306"/>
      <c r="AL22" s="308">
        <v>0</v>
      </c>
    </row>
    <row r="23" spans="2:38" ht="16">
      <c r="B23" s="274"/>
      <c r="C23" s="229" t="s">
        <v>198</v>
      </c>
      <c r="D23" s="296"/>
      <c r="E23" s="305"/>
      <c r="F23" s="306"/>
      <c r="G23" s="306"/>
      <c r="H23" s="308">
        <v>4983</v>
      </c>
      <c r="I23" s="227"/>
      <c r="J23" s="305"/>
      <c r="K23" s="306"/>
      <c r="L23" s="306"/>
      <c r="M23" s="308">
        <v>4694.2</v>
      </c>
      <c r="N23" s="227"/>
      <c r="O23" s="305"/>
      <c r="P23" s="306"/>
      <c r="Q23" s="306"/>
      <c r="R23" s="308">
        <v>6826</v>
      </c>
      <c r="S23" s="227"/>
      <c r="T23" s="305"/>
      <c r="U23" s="306"/>
      <c r="V23" s="306"/>
      <c r="W23" s="308">
        <v>69959</v>
      </c>
      <c r="X23" s="227"/>
      <c r="Y23" s="305"/>
      <c r="Z23" s="306"/>
      <c r="AA23" s="306"/>
      <c r="AB23" s="308">
        <v>14634</v>
      </c>
      <c r="AC23" s="227"/>
      <c r="AD23" s="305"/>
      <c r="AE23" s="306"/>
      <c r="AF23" s="306"/>
      <c r="AG23" s="308">
        <v>6606</v>
      </c>
      <c r="AH23" s="308"/>
      <c r="AI23" s="305"/>
      <c r="AJ23" s="306"/>
      <c r="AK23" s="306"/>
      <c r="AL23" s="308">
        <v>0</v>
      </c>
    </row>
    <row r="24" spans="2:38" ht="16">
      <c r="B24" s="274"/>
      <c r="C24" s="229" t="s">
        <v>122</v>
      </c>
      <c r="D24" s="296"/>
      <c r="E24" s="305"/>
      <c r="F24" s="306"/>
      <c r="G24" s="306"/>
      <c r="H24" s="308">
        <v>0</v>
      </c>
      <c r="I24" s="227"/>
      <c r="J24" s="305"/>
      <c r="K24" s="306"/>
      <c r="L24" s="306"/>
      <c r="M24" s="308">
        <v>0</v>
      </c>
      <c r="N24" s="227"/>
      <c r="O24" s="305"/>
      <c r="P24" s="306"/>
      <c r="Q24" s="306"/>
      <c r="R24" s="308">
        <v>0</v>
      </c>
      <c r="S24" s="227"/>
      <c r="U24" s="306"/>
      <c r="V24" s="306"/>
      <c r="W24" s="308">
        <v>0</v>
      </c>
      <c r="X24" s="227"/>
      <c r="Y24" s="305"/>
      <c r="Z24" s="306"/>
      <c r="AA24" s="306"/>
      <c r="AB24" s="308">
        <v>0</v>
      </c>
      <c r="AC24" s="227"/>
      <c r="AD24" s="305"/>
      <c r="AE24" s="306"/>
      <c r="AF24" s="306"/>
      <c r="AG24" s="308">
        <v>0</v>
      </c>
      <c r="AH24" s="308"/>
      <c r="AI24" s="305"/>
      <c r="AJ24" s="306"/>
      <c r="AK24" s="306"/>
      <c r="AL24" s="308">
        <v>0</v>
      </c>
    </row>
    <row r="25" spans="2:38" ht="16">
      <c r="B25" s="274"/>
      <c r="C25" s="229" t="s">
        <v>123</v>
      </c>
      <c r="D25" s="296"/>
      <c r="E25" s="305"/>
      <c r="F25" s="306"/>
      <c r="G25" s="306"/>
      <c r="H25" s="308">
        <v>0</v>
      </c>
      <c r="I25" s="309"/>
      <c r="J25" s="305"/>
      <c r="K25" s="306"/>
      <c r="L25" s="306"/>
      <c r="M25" s="308">
        <v>0</v>
      </c>
      <c r="N25" s="227"/>
      <c r="O25" s="305"/>
      <c r="P25" s="306"/>
      <c r="Q25" s="306"/>
      <c r="R25" s="308">
        <v>0</v>
      </c>
      <c r="S25" s="227"/>
      <c r="T25" s="305"/>
      <c r="U25" s="306"/>
      <c r="V25" s="306"/>
      <c r="W25" s="308">
        <v>0</v>
      </c>
      <c r="X25" s="227"/>
      <c r="Y25" s="305"/>
      <c r="Z25" s="306"/>
      <c r="AA25" s="306"/>
      <c r="AB25" s="308">
        <v>0</v>
      </c>
      <c r="AC25" s="227"/>
      <c r="AD25" s="305"/>
      <c r="AE25" s="306"/>
      <c r="AF25" s="306"/>
      <c r="AG25" s="308">
        <v>0</v>
      </c>
      <c r="AH25" s="308"/>
      <c r="AI25" s="305"/>
      <c r="AJ25" s="306"/>
      <c r="AK25" s="306"/>
      <c r="AL25" s="308">
        <v>0</v>
      </c>
    </row>
    <row r="26" spans="2:38" ht="16">
      <c r="B26" s="274"/>
      <c r="C26" s="229" t="s">
        <v>125</v>
      </c>
      <c r="D26" s="296"/>
      <c r="E26" s="305"/>
      <c r="F26" s="306"/>
      <c r="G26" s="306"/>
      <c r="H26" s="308">
        <v>0</v>
      </c>
      <c r="I26" s="227"/>
      <c r="J26" s="305"/>
      <c r="K26" s="306"/>
      <c r="L26" s="306"/>
      <c r="M26" s="308">
        <v>0</v>
      </c>
      <c r="N26" s="227"/>
      <c r="O26" s="305"/>
      <c r="P26" s="306"/>
      <c r="Q26" s="306"/>
      <c r="R26" s="308">
        <v>0</v>
      </c>
      <c r="S26" s="227"/>
      <c r="T26" s="305"/>
      <c r="U26" s="306"/>
      <c r="V26" s="306"/>
      <c r="W26" s="308">
        <v>0</v>
      </c>
      <c r="X26" s="227"/>
      <c r="Y26" s="305"/>
      <c r="Z26" s="306"/>
      <c r="AA26" s="306"/>
      <c r="AB26" s="308">
        <v>0</v>
      </c>
      <c r="AC26" s="227"/>
      <c r="AD26" s="305"/>
      <c r="AE26" s="306"/>
      <c r="AF26" s="306"/>
      <c r="AG26" s="308">
        <v>0</v>
      </c>
      <c r="AH26" s="308"/>
      <c r="AI26" s="305"/>
      <c r="AJ26" s="306"/>
      <c r="AK26" s="306"/>
      <c r="AL26" s="308">
        <v>0</v>
      </c>
    </row>
    <row r="27" spans="2:38" ht="16">
      <c r="B27" s="274"/>
      <c r="C27" s="229" t="s">
        <v>127</v>
      </c>
      <c r="D27" s="296"/>
      <c r="E27" s="305"/>
      <c r="F27" s="306"/>
      <c r="G27" s="306"/>
      <c r="H27" s="308">
        <v>0</v>
      </c>
      <c r="I27" s="227"/>
      <c r="J27" s="305"/>
      <c r="K27" s="306"/>
      <c r="L27" s="306"/>
      <c r="M27" s="308">
        <v>0</v>
      </c>
      <c r="N27" s="227"/>
      <c r="O27" s="305"/>
      <c r="P27" s="306"/>
      <c r="Q27" s="306"/>
      <c r="R27" s="308">
        <v>0</v>
      </c>
      <c r="S27" s="227"/>
      <c r="T27" s="305"/>
      <c r="U27" s="306"/>
      <c r="V27" s="306"/>
      <c r="W27" s="308">
        <v>0</v>
      </c>
      <c r="X27" s="227"/>
      <c r="Y27" s="305"/>
      <c r="Z27" s="306"/>
      <c r="AA27" s="306"/>
      <c r="AB27" s="308">
        <v>0</v>
      </c>
      <c r="AC27" s="227"/>
      <c r="AD27" s="305"/>
      <c r="AE27" s="306"/>
      <c r="AF27" s="306"/>
      <c r="AG27" s="308"/>
      <c r="AH27" s="308"/>
      <c r="AI27" s="305"/>
      <c r="AJ27" s="306"/>
      <c r="AK27" s="306"/>
      <c r="AL27" s="308"/>
    </row>
    <row r="28" spans="2:38" ht="16">
      <c r="B28" s="274"/>
      <c r="C28" s="275"/>
      <c r="D28" s="275"/>
      <c r="E28" s="275"/>
      <c r="F28" s="275"/>
      <c r="G28" s="275"/>
      <c r="H28" s="275"/>
      <c r="I28" s="227"/>
      <c r="J28" s="275"/>
      <c r="K28" s="275"/>
      <c r="L28" s="275"/>
      <c r="M28" s="275"/>
      <c r="N28" s="227"/>
      <c r="O28" s="275"/>
      <c r="P28" s="275"/>
      <c r="Q28" s="275"/>
      <c r="R28" s="275"/>
      <c r="S28" s="227"/>
      <c r="T28" s="275"/>
      <c r="U28" s="275"/>
      <c r="V28" s="275"/>
      <c r="W28" s="275"/>
      <c r="X28" s="227"/>
      <c r="Y28" s="275"/>
      <c r="Z28" s="275"/>
      <c r="AA28" s="275"/>
      <c r="AB28" s="275"/>
      <c r="AC28" s="227"/>
      <c r="AD28" s="275"/>
      <c r="AE28" s="275"/>
      <c r="AF28" s="275"/>
      <c r="AG28" s="275"/>
      <c r="AH28" s="275"/>
      <c r="AI28" s="275"/>
      <c r="AJ28" s="275"/>
      <c r="AK28" s="275"/>
      <c r="AL28" s="275"/>
    </row>
    <row r="29" spans="2:38" ht="16">
      <c r="B29" s="274"/>
      <c r="C29" s="275"/>
      <c r="D29" s="275"/>
      <c r="E29" s="302" t="s">
        <v>247</v>
      </c>
      <c r="F29" s="310"/>
      <c r="G29" s="310"/>
      <c r="H29" s="311"/>
      <c r="I29" s="227"/>
      <c r="J29" s="302" t="s">
        <v>247</v>
      </c>
      <c r="K29" s="310"/>
      <c r="L29" s="310"/>
      <c r="M29" s="311"/>
      <c r="N29" s="227"/>
      <c r="O29" s="302" t="s">
        <v>247</v>
      </c>
      <c r="P29" s="310"/>
      <c r="Q29" s="310"/>
      <c r="R29" s="311"/>
      <c r="S29" s="227"/>
      <c r="T29" s="302" t="s">
        <v>247</v>
      </c>
      <c r="U29" s="310"/>
      <c r="V29" s="310"/>
      <c r="W29" s="311"/>
      <c r="X29" s="227"/>
      <c r="Y29" s="302" t="s">
        <v>247</v>
      </c>
      <c r="Z29" s="310"/>
      <c r="AA29" s="310"/>
      <c r="AB29" s="311"/>
      <c r="AC29" s="227"/>
      <c r="AD29" s="302" t="s">
        <v>247</v>
      </c>
      <c r="AE29" s="310"/>
      <c r="AF29" s="310"/>
      <c r="AG29" s="311"/>
      <c r="AH29" s="306"/>
      <c r="AI29" s="302" t="s">
        <v>247</v>
      </c>
      <c r="AJ29" s="310"/>
      <c r="AK29" s="310"/>
      <c r="AL29" s="311"/>
    </row>
    <row r="30" spans="2:38" ht="16">
      <c r="B30" s="274"/>
      <c r="C30" s="275"/>
      <c r="D30" s="275"/>
      <c r="E30" s="285">
        <f>_xlfn.SINGLE(Forward_Quart_1)</f>
        <v>45657</v>
      </c>
      <c r="F30" s="285">
        <f>_xlfn.SINGLE(Forward_Quart_2)</f>
        <v>45747</v>
      </c>
      <c r="G30" s="285">
        <f>_xlfn.SINGLE(Forward_Quart_3)</f>
        <v>45838</v>
      </c>
      <c r="H30" s="312"/>
      <c r="I30" s="227"/>
      <c r="J30" s="285">
        <f>_xlfn.SINGLE(Forward_Quart_1)</f>
        <v>45657</v>
      </c>
      <c r="K30" s="285">
        <f>_xlfn.SINGLE(Forward_Quart_2)</f>
        <v>45747</v>
      </c>
      <c r="L30" s="285">
        <f>_xlfn.SINGLE(Forward_Quart_3)</f>
        <v>45838</v>
      </c>
      <c r="M30" s="312"/>
      <c r="N30" s="227"/>
      <c r="O30" s="285">
        <f>_xlfn.SINGLE(Forward_Quart_1)</f>
        <v>45657</v>
      </c>
      <c r="P30" s="285">
        <f>_xlfn.SINGLE(Forward_Quart_2)</f>
        <v>45747</v>
      </c>
      <c r="Q30" s="285">
        <f>_xlfn.SINGLE(Forward_Quart_3)</f>
        <v>45838</v>
      </c>
      <c r="R30" s="312"/>
      <c r="S30" s="227"/>
      <c r="T30" s="285">
        <f>_xlfn.SINGLE(Forward_Quart_1)</f>
        <v>45657</v>
      </c>
      <c r="U30" s="285">
        <f>_xlfn.SINGLE(Forward_Quart_2)</f>
        <v>45747</v>
      </c>
      <c r="V30" s="285">
        <f>_xlfn.SINGLE(Forward_Quart_3)</f>
        <v>45838</v>
      </c>
      <c r="W30" s="312"/>
      <c r="X30" s="227"/>
      <c r="Y30" s="285">
        <f>_xlfn.SINGLE(Forward_Quart_1)</f>
        <v>45657</v>
      </c>
      <c r="Z30" s="285">
        <f>_xlfn.SINGLE(Forward_Quart_2)</f>
        <v>45747</v>
      </c>
      <c r="AA30" s="285">
        <f>_xlfn.SINGLE(Forward_Quart_3)</f>
        <v>45838</v>
      </c>
      <c r="AB30" s="312"/>
      <c r="AC30" s="227"/>
      <c r="AD30" s="285">
        <f>_xlfn.SINGLE(Forward_Quart_1)</f>
        <v>45657</v>
      </c>
      <c r="AE30" s="285">
        <f>_xlfn.SINGLE(Forward_Quart_2)</f>
        <v>45747</v>
      </c>
      <c r="AF30" s="285">
        <f>_xlfn.SINGLE(Forward_Quart_3)</f>
        <v>45838</v>
      </c>
      <c r="AG30" s="312"/>
      <c r="AH30" s="306"/>
      <c r="AI30" s="285">
        <f>_xlfn.SINGLE(Forward_Quart_1)</f>
        <v>45657</v>
      </c>
      <c r="AJ30" s="285">
        <f>_xlfn.SINGLE(Forward_Quart_2)</f>
        <v>45747</v>
      </c>
      <c r="AK30" s="285">
        <f>_xlfn.SINGLE(Forward_Quart_3)</f>
        <v>45838</v>
      </c>
      <c r="AL30" s="312"/>
    </row>
    <row r="31" spans="2:38" ht="16">
      <c r="B31" s="274"/>
      <c r="C31" s="292" t="s">
        <v>248</v>
      </c>
      <c r="D31" s="289"/>
      <c r="E31" s="313">
        <f>H7*(1+0.04)</f>
        <v>4334.6950399999996</v>
      </c>
      <c r="F31" s="313">
        <f>E31*(1+0.04)</f>
        <v>4508.0828415999995</v>
      </c>
      <c r="G31" s="313">
        <f>F31*(1+0.04)</f>
        <v>4688.4061552639996</v>
      </c>
      <c r="H31" s="306"/>
      <c r="I31" s="227"/>
      <c r="J31" s="313">
        <f>M7*(1+0.04)</f>
        <v>7765.9920000000002</v>
      </c>
      <c r="K31" s="313">
        <f>J31*(1+0.04)</f>
        <v>8076.6316800000004</v>
      </c>
      <c r="L31" s="313">
        <f>K31*(1+0.04)</f>
        <v>8399.6969472000001</v>
      </c>
      <c r="M31" s="306"/>
      <c r="N31" s="227"/>
      <c r="O31" s="313">
        <f>R7*(1+0.05)</f>
        <v>2983.6180500000005</v>
      </c>
      <c r="P31" s="313">
        <f>O31*(1+0.05)</f>
        <v>3132.7989525000007</v>
      </c>
      <c r="Q31" s="313">
        <f>P31*(1+0.05)</f>
        <v>3289.4389001250011</v>
      </c>
      <c r="R31" s="306"/>
      <c r="S31" s="227"/>
      <c r="T31" s="313">
        <f>W7*(1+0.4)</f>
        <v>18300.8</v>
      </c>
      <c r="U31" s="313">
        <f>T31*(1+0.05)</f>
        <v>19215.84</v>
      </c>
      <c r="V31" s="313">
        <f>U31*(1+0.07)</f>
        <v>20560.948800000002</v>
      </c>
      <c r="W31" s="306"/>
      <c r="X31" s="227"/>
      <c r="Y31" s="313">
        <f>AB7*(1+0.01)</f>
        <v>10346.44</v>
      </c>
      <c r="Z31" s="313">
        <f>Y31*(1+0.01)</f>
        <v>10449.904400000001</v>
      </c>
      <c r="AA31" s="313">
        <f>Z31*(1+0.01)</f>
        <v>10554.403444000001</v>
      </c>
      <c r="AB31" s="306"/>
      <c r="AC31" s="227"/>
      <c r="AD31" s="313">
        <f>AG7*(1+0.02)</f>
        <v>7185.9000000000005</v>
      </c>
      <c r="AE31" s="313">
        <f>AD31*(1+0.05)</f>
        <v>7545.1950000000006</v>
      </c>
      <c r="AF31" s="313">
        <f>AE31*(1+0.05)</f>
        <v>7922.4547500000008</v>
      </c>
      <c r="AG31" s="306"/>
      <c r="AH31" s="306"/>
      <c r="AI31" s="313">
        <f>Model!J21/1000</f>
        <v>176.952</v>
      </c>
      <c r="AJ31" s="313">
        <f>Model!K21/1000</f>
        <v>242.214</v>
      </c>
      <c r="AK31" s="313">
        <f>Model!L21/1000</f>
        <v>287.32799999999997</v>
      </c>
      <c r="AL31" s="306"/>
    </row>
    <row r="32" spans="2:38" ht="16">
      <c r="B32" s="274"/>
      <c r="C32" s="292" t="s">
        <v>151</v>
      </c>
      <c r="D32" s="289"/>
      <c r="E32" s="291">
        <f>H14*(1+0.05)</f>
        <v>1513.31565</v>
      </c>
      <c r="F32" s="291">
        <f>E32*(1+0.05)</f>
        <v>1588.9814325</v>
      </c>
      <c r="G32" s="291">
        <f>F32*(1+0.05)</f>
        <v>1668.430504125</v>
      </c>
      <c r="H32" s="306"/>
      <c r="I32" s="227"/>
      <c r="J32" s="291">
        <f>M14*(1+0.05)</f>
        <v>2810.7449999999999</v>
      </c>
      <c r="K32" s="291">
        <f>J32*(1+0.05)</f>
        <v>2951.2822500000002</v>
      </c>
      <c r="L32" s="291">
        <f>K32*(1+0.05)</f>
        <v>3098.8463625000004</v>
      </c>
      <c r="M32" s="306"/>
      <c r="N32" s="227"/>
      <c r="O32" s="291">
        <f>R14*(1+0.13)</f>
        <v>1719.4678899999999</v>
      </c>
      <c r="P32" s="291">
        <f>O32*(1+0.13)</f>
        <v>1942.9987156999996</v>
      </c>
      <c r="Q32" s="291">
        <f>P32*(1+0.11)</f>
        <v>2156.7285744269998</v>
      </c>
      <c r="R32" s="306"/>
      <c r="S32" s="227"/>
      <c r="T32" s="291">
        <f>W14*(1+0.6)</f>
        <v>8636.8000000000011</v>
      </c>
      <c r="U32" s="291">
        <f>T32*(1+0.05)</f>
        <v>9068.6400000000012</v>
      </c>
      <c r="V32" s="291">
        <f>U32*(1+0.05)</f>
        <v>9522.0720000000019</v>
      </c>
      <c r="W32" s="306"/>
      <c r="X32" s="227"/>
      <c r="Y32" s="291">
        <f>AB14*(1+0.01)</f>
        <v>3263.31</v>
      </c>
      <c r="Z32" s="291">
        <f>Y32*(1+0.02)</f>
        <v>3328.5762</v>
      </c>
      <c r="AA32" s="291">
        <f>Z32*(1+0.02)</f>
        <v>3395.1477239999999</v>
      </c>
      <c r="AB32" s="306"/>
      <c r="AC32" s="227"/>
      <c r="AD32" s="291">
        <f>AG14*(1+0.05)</f>
        <v>2174.5500000000002</v>
      </c>
      <c r="AE32" s="291">
        <f>AD32*(1+0.04)</f>
        <v>2261.5320000000002</v>
      </c>
      <c r="AF32" s="291">
        <f>AE32*(1+0.04)</f>
        <v>2351.9932800000001</v>
      </c>
      <c r="AG32" s="306"/>
      <c r="AH32" s="306"/>
      <c r="AI32" s="291">
        <f>Model!I79/1000</f>
        <v>74.055751472736475</v>
      </c>
      <c r="AJ32" s="291">
        <f>Model!J79/1000</f>
        <v>172.10945894217818</v>
      </c>
      <c r="AK32" s="291">
        <f>Model!K79/1000</f>
        <v>251.6729979158296</v>
      </c>
      <c r="AL32" s="306"/>
    </row>
    <row r="33" spans="2:38" ht="16">
      <c r="B33" s="274"/>
      <c r="C33" s="292" t="s">
        <v>249</v>
      </c>
      <c r="D33" s="289"/>
      <c r="E33" s="291">
        <f>H9*(1+0.05)</f>
        <v>1172.2662</v>
      </c>
      <c r="F33" s="291">
        <f>E33*(1+0.05)</f>
        <v>1230.87951</v>
      </c>
      <c r="G33" s="291">
        <f>F33*(1+0.05)</f>
        <v>1292.4234855</v>
      </c>
      <c r="H33" s="306"/>
      <c r="I33" s="227"/>
      <c r="J33" s="291">
        <f>M9*(1+0.07)</f>
        <v>2221.855</v>
      </c>
      <c r="K33" s="291">
        <f>J33*(1+0.07)</f>
        <v>2377.3848500000004</v>
      </c>
      <c r="L33" s="291">
        <f>K33*(1+0.07)</f>
        <v>2543.8017895000007</v>
      </c>
      <c r="M33" s="306"/>
      <c r="N33" s="227"/>
      <c r="O33" s="291">
        <f>R9*(1+0.18)</f>
        <v>1116.10418</v>
      </c>
      <c r="P33" s="291">
        <f>O33*(1+0.15)</f>
        <v>1283.5198069999999</v>
      </c>
      <c r="Q33" s="291">
        <f>P33+(1+0.15)</f>
        <v>1284.669807</v>
      </c>
      <c r="R33" s="306"/>
      <c r="S33" s="227"/>
      <c r="T33" s="291">
        <f>V9*(1+0.9)</f>
        <v>4029.8999999999996</v>
      </c>
      <c r="U33" s="291">
        <f>T33*(1+0.05)</f>
        <v>4231.3949999999995</v>
      </c>
      <c r="V33" s="291">
        <f>U33*(1+0.05)</f>
        <v>4442.9647500000001</v>
      </c>
      <c r="W33" s="306"/>
      <c r="X33" s="227"/>
      <c r="Y33" s="291">
        <f>AB9*(1+0.03)</f>
        <v>3007.6</v>
      </c>
      <c r="Z33" s="291">
        <f>Y33*(1+0.02)</f>
        <v>3067.752</v>
      </c>
      <c r="AA33" s="291">
        <f>Z33*(1+0.04)</f>
        <v>3190.4620800000002</v>
      </c>
      <c r="AB33" s="306"/>
      <c r="AC33" s="227"/>
      <c r="AD33" s="291">
        <f>AG9*(1+0.04)</f>
        <v>1800.24</v>
      </c>
      <c r="AE33" s="291">
        <f>AD33*(1+0.04)</f>
        <v>1872.2496000000001</v>
      </c>
      <c r="AF33" s="291">
        <f>AE33*(1+0.05)</f>
        <v>1965.8620800000001</v>
      </c>
      <c r="AG33" s="306"/>
      <c r="AH33" s="306"/>
      <c r="AI33" s="291">
        <f>Model!I77/1000</f>
        <v>59.107713376132871</v>
      </c>
      <c r="AJ33" s="291">
        <f>Model!J77/1000</f>
        <v>130.56189942495089</v>
      </c>
      <c r="AK33" s="291">
        <f>Model!K77/1000</f>
        <v>186.63390014276331</v>
      </c>
      <c r="AL33" s="306"/>
    </row>
    <row r="34" spans="2:38" ht="16">
      <c r="B34" s="314"/>
      <c r="C34" s="227"/>
      <c r="D34" s="227"/>
      <c r="E34" s="227"/>
      <c r="F34" s="227"/>
      <c r="G34" s="227"/>
      <c r="H34" s="227"/>
      <c r="I34" s="227"/>
      <c r="J34" s="315"/>
      <c r="K34" s="315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  <c r="AL34" s="227"/>
    </row>
    <row r="35" spans="2:38" ht="16">
      <c r="B35" s="314"/>
      <c r="C35" s="227"/>
      <c r="D35" s="227"/>
      <c r="E35" s="302" t="s">
        <v>250</v>
      </c>
      <c r="F35" s="310"/>
      <c r="G35" s="310"/>
      <c r="H35" s="310"/>
      <c r="I35" s="227"/>
      <c r="J35" s="302" t="s">
        <v>250</v>
      </c>
      <c r="K35" s="310"/>
      <c r="L35" s="310"/>
      <c r="M35" s="310"/>
      <c r="N35" s="227"/>
      <c r="O35" s="302" t="s">
        <v>250</v>
      </c>
      <c r="P35" s="310"/>
      <c r="Q35" s="310"/>
      <c r="R35" s="310"/>
      <c r="S35" s="227"/>
      <c r="T35" s="302" t="s">
        <v>250</v>
      </c>
      <c r="U35" s="310"/>
      <c r="V35" s="310"/>
      <c r="W35" s="310"/>
      <c r="X35" s="227"/>
      <c r="Y35" s="302" t="s">
        <v>250</v>
      </c>
      <c r="Z35" s="310"/>
      <c r="AA35" s="310"/>
      <c r="AB35" s="310"/>
      <c r="AC35" s="227"/>
      <c r="AD35" s="302" t="s">
        <v>250</v>
      </c>
      <c r="AE35" s="310"/>
      <c r="AF35" s="310"/>
      <c r="AG35" s="310"/>
      <c r="AH35" s="316"/>
      <c r="AI35" s="302" t="s">
        <v>250</v>
      </c>
      <c r="AJ35" s="310"/>
      <c r="AK35" s="310"/>
      <c r="AL35" s="310"/>
    </row>
    <row r="36" spans="2:38" ht="16">
      <c r="B36" s="314"/>
      <c r="C36" s="226" t="s">
        <v>194</v>
      </c>
      <c r="D36" s="226"/>
      <c r="E36" s="317"/>
      <c r="F36" s="284"/>
      <c r="G36" s="284"/>
      <c r="H36" s="318">
        <v>73.069999999999993</v>
      </c>
      <c r="I36" s="227"/>
      <c r="J36" s="317"/>
      <c r="K36" s="284"/>
      <c r="L36" s="284"/>
      <c r="M36" s="318">
        <v>672.88</v>
      </c>
      <c r="N36" s="227"/>
      <c r="O36" s="317"/>
      <c r="P36" s="284"/>
      <c r="Q36" s="284"/>
      <c r="R36" s="318">
        <v>639.54999999999995</v>
      </c>
      <c r="S36" s="227"/>
      <c r="T36" s="317"/>
      <c r="U36" s="284"/>
      <c r="V36" s="284"/>
      <c r="W36" s="318">
        <v>164.23</v>
      </c>
      <c r="X36" s="227"/>
      <c r="Y36" s="317"/>
      <c r="Z36" s="284"/>
      <c r="AA36" s="284"/>
      <c r="AB36" s="318">
        <v>156.79</v>
      </c>
      <c r="AC36" s="227"/>
      <c r="AD36" s="317"/>
      <c r="AE36" s="284"/>
      <c r="AF36" s="284"/>
      <c r="AG36" s="318">
        <v>175.55</v>
      </c>
      <c r="AH36" s="318"/>
      <c r="AI36" s="317"/>
      <c r="AJ36" s="284"/>
      <c r="AK36" s="284"/>
      <c r="AL36" s="318">
        <f>Share_Price</f>
        <v>26.71</v>
      </c>
    </row>
    <row r="37" spans="2:38" ht="16">
      <c r="B37" s="314"/>
      <c r="C37" s="226" t="s">
        <v>251</v>
      </c>
      <c r="D37" s="226"/>
      <c r="E37" s="317"/>
      <c r="F37" s="284"/>
      <c r="G37" s="284"/>
      <c r="H37" s="319">
        <v>1286</v>
      </c>
      <c r="I37" s="227"/>
      <c r="J37" s="317"/>
      <c r="K37" s="284"/>
      <c r="L37" s="284"/>
      <c r="M37" s="319">
        <v>393.2</v>
      </c>
      <c r="N37" s="227"/>
      <c r="O37" s="317"/>
      <c r="P37" s="284"/>
      <c r="Q37" s="284"/>
      <c r="R37" s="320">
        <v>133.80000000000001</v>
      </c>
      <c r="S37" s="227"/>
      <c r="T37" s="317"/>
      <c r="U37" s="284"/>
      <c r="V37" s="284"/>
      <c r="W37" s="320">
        <v>4671.3999999999996</v>
      </c>
      <c r="X37" s="227"/>
      <c r="Y37" s="317"/>
      <c r="Z37" s="284"/>
      <c r="AA37" s="284"/>
      <c r="AB37" s="320">
        <v>1110</v>
      </c>
      <c r="AC37" s="227"/>
      <c r="AD37" s="317"/>
      <c r="AE37" s="284"/>
      <c r="AF37" s="284"/>
      <c r="AG37" s="320">
        <v>824.4</v>
      </c>
      <c r="AH37" s="320"/>
      <c r="AI37" s="317"/>
      <c r="AJ37" s="284"/>
      <c r="AK37" s="284"/>
      <c r="AL37" s="320">
        <f>Diluted_Shares</f>
        <v>201.77</v>
      </c>
    </row>
    <row r="38" spans="2:38" ht="16">
      <c r="B38" s="314"/>
      <c r="C38" s="226" t="s">
        <v>252</v>
      </c>
      <c r="D38" s="226"/>
      <c r="E38" s="227"/>
      <c r="F38" s="227"/>
      <c r="G38" s="227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227"/>
      <c r="AI38" s="227"/>
      <c r="AJ38" s="227"/>
      <c r="AK38" s="227"/>
      <c r="AL38" s="227"/>
    </row>
    <row r="39" spans="2:38" ht="16">
      <c r="B39" s="314"/>
      <c r="C39" s="227"/>
      <c r="D39" s="227"/>
      <c r="E39" s="227"/>
      <c r="F39" s="321" t="s">
        <v>169</v>
      </c>
      <c r="G39" s="321" t="s">
        <v>253</v>
      </c>
      <c r="H39" s="321" t="s">
        <v>254</v>
      </c>
      <c r="I39" s="227"/>
      <c r="J39" s="227"/>
      <c r="K39" s="321" t="s">
        <v>169</v>
      </c>
      <c r="L39" s="321" t="s">
        <v>253</v>
      </c>
      <c r="M39" s="321" t="s">
        <v>254</v>
      </c>
      <c r="N39" s="227"/>
      <c r="O39" s="227"/>
      <c r="P39" s="322" t="s">
        <v>169</v>
      </c>
      <c r="Q39" s="322" t="s">
        <v>253</v>
      </c>
      <c r="R39" s="322" t="s">
        <v>254</v>
      </c>
      <c r="S39" s="227"/>
      <c r="T39" s="227"/>
      <c r="U39" s="322" t="s">
        <v>169</v>
      </c>
      <c r="V39" s="322" t="s">
        <v>253</v>
      </c>
      <c r="W39" s="322" t="s">
        <v>254</v>
      </c>
      <c r="X39" s="227"/>
      <c r="Y39" s="227"/>
      <c r="Z39" s="322" t="s">
        <v>169</v>
      </c>
      <c r="AA39" s="322" t="s">
        <v>253</v>
      </c>
      <c r="AB39" s="322" t="s">
        <v>254</v>
      </c>
      <c r="AC39" s="227"/>
      <c r="AD39" s="227"/>
      <c r="AE39" s="322" t="s">
        <v>169</v>
      </c>
      <c r="AF39" s="322" t="s">
        <v>253</v>
      </c>
      <c r="AG39" s="322" t="s">
        <v>254</v>
      </c>
      <c r="AH39" s="322"/>
      <c r="AI39" s="227"/>
      <c r="AJ39" s="322" t="s">
        <v>169</v>
      </c>
      <c r="AK39" s="322" t="s">
        <v>253</v>
      </c>
      <c r="AL39" s="322" t="s">
        <v>254</v>
      </c>
    </row>
    <row r="40" spans="2:38" ht="16">
      <c r="B40" s="314"/>
      <c r="C40" s="227"/>
      <c r="D40" s="227"/>
      <c r="E40" s="227"/>
      <c r="F40" s="323"/>
      <c r="G40" s="324"/>
      <c r="H40" s="325">
        <f t="shared" ref="H40:H48" si="46">IF(G40&lt;H$35,F40-((F40*G40)/H$35),0)</f>
        <v>0</v>
      </c>
      <c r="I40" s="227"/>
      <c r="J40" s="227"/>
      <c r="K40" s="323"/>
      <c r="L40" s="324"/>
      <c r="M40" s="325">
        <f>IF(L40&lt;M$35,K40-((K40*L40)/M$35),0)</f>
        <v>0</v>
      </c>
      <c r="N40" s="227"/>
      <c r="O40" s="227"/>
      <c r="P40" s="323"/>
      <c r="Q40" s="324"/>
      <c r="R40" s="325">
        <f>IF(Q40&lt;R$35,P40-((P40*Q40)/R$35),0)</f>
        <v>0</v>
      </c>
      <c r="S40" s="227"/>
      <c r="T40" s="227"/>
      <c r="U40" s="323"/>
      <c r="V40" s="324"/>
      <c r="W40" s="325">
        <f>IF(V40&lt;W$35,U40-((U40*V40)/W$35),0)</f>
        <v>0</v>
      </c>
      <c r="X40" s="227"/>
      <c r="Y40" s="227"/>
      <c r="Z40" s="323"/>
      <c r="AA40" s="324"/>
      <c r="AB40" s="325">
        <f>IF(AA40&lt;AB$35,Z40-((Z40*AA40)/AB$35),0)</f>
        <v>0</v>
      </c>
      <c r="AC40" s="227"/>
      <c r="AD40" s="227"/>
      <c r="AE40" s="323"/>
      <c r="AF40" s="324"/>
      <c r="AG40" s="325">
        <f>IF(AF40&lt;AG$35,AE40-((AE40*AF40)/AG$35),0)</f>
        <v>0</v>
      </c>
      <c r="AH40" s="325"/>
      <c r="AI40" s="227"/>
      <c r="AJ40" s="323"/>
      <c r="AK40" s="324"/>
      <c r="AL40" s="325">
        <f>IF(AK40&lt;AL$35,AJ40-((AJ40*AK40)/AL$35),0)</f>
        <v>0</v>
      </c>
    </row>
    <row r="41" spans="2:38" ht="16">
      <c r="B41" s="314"/>
      <c r="C41" s="227"/>
      <c r="D41" s="227"/>
      <c r="E41" s="227"/>
      <c r="F41" s="323"/>
      <c r="G41" s="324"/>
      <c r="H41" s="325">
        <f t="shared" si="46"/>
        <v>0</v>
      </c>
      <c r="I41" s="227"/>
      <c r="J41" s="227"/>
      <c r="K41" s="323"/>
      <c r="L41" s="324"/>
      <c r="M41" s="325">
        <f t="shared" ref="M41:M45" si="47">IF(L41&lt;M$35,K41-((K41*L41)/M$35),0)</f>
        <v>0</v>
      </c>
      <c r="N41" s="227"/>
      <c r="O41" s="227"/>
      <c r="P41" s="323"/>
      <c r="Q41" s="324"/>
      <c r="R41" s="325">
        <f t="shared" ref="R41:R45" si="48">IF(Q41&lt;R$35,P41-((P41*Q41)/R$35),0)</f>
        <v>0</v>
      </c>
      <c r="S41" s="227"/>
      <c r="T41" s="227"/>
      <c r="U41" s="323"/>
      <c r="V41" s="324"/>
      <c r="W41" s="325">
        <f t="shared" ref="W41:W45" si="49">IF(V41&lt;W$35,U41-((U41*V41)/W$35),0)</f>
        <v>0</v>
      </c>
      <c r="X41" s="227"/>
      <c r="Y41" s="227"/>
      <c r="Z41" s="323"/>
      <c r="AA41" s="324"/>
      <c r="AB41" s="325">
        <f t="shared" ref="AB41:AB45" si="50">IF(AA41&lt;AB$35,Z41-((Z41*AA41)/AB$35),0)</f>
        <v>0</v>
      </c>
      <c r="AC41" s="227"/>
      <c r="AD41" s="227"/>
      <c r="AE41" s="323"/>
      <c r="AF41" s="324"/>
      <c r="AG41" s="325">
        <f t="shared" ref="AG41:AG45" si="51">IF(AF41&lt;AG$35,AE41-((AE41*AF41)/AG$35),0)</f>
        <v>0</v>
      </c>
      <c r="AH41" s="325"/>
      <c r="AI41" s="227"/>
      <c r="AJ41" s="323"/>
      <c r="AK41" s="324"/>
      <c r="AL41" s="325">
        <f t="shared" ref="AL41:AL45" si="52">IF(AK41&lt;AL$35,AJ41-((AJ41*AK41)/AL$35),0)</f>
        <v>0</v>
      </c>
    </row>
    <row r="42" spans="2:38" ht="16">
      <c r="B42" s="314"/>
      <c r="C42" s="227"/>
      <c r="D42" s="227"/>
      <c r="E42" s="227"/>
      <c r="F42" s="323"/>
      <c r="G42" s="324"/>
      <c r="H42" s="325">
        <f t="shared" si="46"/>
        <v>0</v>
      </c>
      <c r="I42" s="227"/>
      <c r="J42" s="227"/>
      <c r="K42" s="323"/>
      <c r="L42" s="324"/>
      <c r="M42" s="325">
        <f t="shared" si="47"/>
        <v>0</v>
      </c>
      <c r="N42" s="227"/>
      <c r="O42" s="227"/>
      <c r="P42" s="323"/>
      <c r="Q42" s="324"/>
      <c r="R42" s="325">
        <f t="shared" si="48"/>
        <v>0</v>
      </c>
      <c r="S42" s="227"/>
      <c r="T42" s="227"/>
      <c r="U42" s="323"/>
      <c r="V42" s="324"/>
      <c r="W42" s="325">
        <f t="shared" si="49"/>
        <v>0</v>
      </c>
      <c r="X42" s="227"/>
      <c r="Y42" s="227"/>
      <c r="Z42" s="323"/>
      <c r="AA42" s="324"/>
      <c r="AB42" s="325">
        <f t="shared" si="50"/>
        <v>0</v>
      </c>
      <c r="AC42" s="227"/>
      <c r="AD42" s="227"/>
      <c r="AE42" s="323"/>
      <c r="AF42" s="324"/>
      <c r="AG42" s="325">
        <f t="shared" si="51"/>
        <v>0</v>
      </c>
      <c r="AH42" s="325"/>
      <c r="AI42" s="227"/>
      <c r="AJ42" s="323"/>
      <c r="AK42" s="324"/>
      <c r="AL42" s="325">
        <f t="shared" si="52"/>
        <v>0</v>
      </c>
    </row>
    <row r="43" spans="2:38" ht="16">
      <c r="B43" s="314"/>
      <c r="C43" s="227"/>
      <c r="D43" s="227"/>
      <c r="E43" s="227"/>
      <c r="F43" s="323"/>
      <c r="G43" s="324"/>
      <c r="H43" s="325">
        <f t="shared" si="46"/>
        <v>0</v>
      </c>
      <c r="I43" s="227"/>
      <c r="J43" s="227"/>
      <c r="K43" s="323"/>
      <c r="L43" s="324"/>
      <c r="M43" s="325">
        <f t="shared" si="47"/>
        <v>0</v>
      </c>
      <c r="N43" s="227"/>
      <c r="O43" s="227"/>
      <c r="P43" s="323"/>
      <c r="Q43" s="324"/>
      <c r="R43" s="325">
        <f t="shared" si="48"/>
        <v>0</v>
      </c>
      <c r="S43" s="227"/>
      <c r="T43" s="227"/>
      <c r="U43" s="323"/>
      <c r="V43" s="324"/>
      <c r="W43" s="325">
        <f t="shared" si="49"/>
        <v>0</v>
      </c>
      <c r="X43" s="227"/>
      <c r="Y43" s="227"/>
      <c r="Z43" s="323"/>
      <c r="AA43" s="324"/>
      <c r="AB43" s="325">
        <f t="shared" si="50"/>
        <v>0</v>
      </c>
      <c r="AC43" s="227"/>
      <c r="AD43" s="227"/>
      <c r="AE43" s="323"/>
      <c r="AF43" s="324"/>
      <c r="AG43" s="325">
        <f t="shared" si="51"/>
        <v>0</v>
      </c>
      <c r="AH43" s="325"/>
      <c r="AI43" s="227"/>
      <c r="AJ43" s="323"/>
      <c r="AK43" s="324"/>
      <c r="AL43" s="325">
        <f t="shared" si="52"/>
        <v>0</v>
      </c>
    </row>
    <row r="44" spans="2:38" ht="16">
      <c r="B44" s="314"/>
      <c r="C44" s="227"/>
      <c r="D44" s="227"/>
      <c r="E44" s="227"/>
      <c r="F44" s="323"/>
      <c r="G44" s="324"/>
      <c r="H44" s="325">
        <f t="shared" si="46"/>
        <v>0</v>
      </c>
      <c r="I44" s="227"/>
      <c r="J44" s="227"/>
      <c r="K44" s="323"/>
      <c r="L44" s="324"/>
      <c r="M44" s="325">
        <f t="shared" si="47"/>
        <v>0</v>
      </c>
      <c r="N44" s="227"/>
      <c r="O44" s="227"/>
      <c r="P44" s="323"/>
      <c r="Q44" s="324"/>
      <c r="R44" s="325">
        <f t="shared" si="48"/>
        <v>0</v>
      </c>
      <c r="S44" s="227"/>
      <c r="T44" s="227"/>
      <c r="U44" s="323"/>
      <c r="V44" s="324"/>
      <c r="W44" s="325">
        <f t="shared" si="49"/>
        <v>0</v>
      </c>
      <c r="X44" s="227"/>
      <c r="Y44" s="227"/>
      <c r="Z44" s="323"/>
      <c r="AA44" s="324"/>
      <c r="AB44" s="325">
        <f t="shared" si="50"/>
        <v>0</v>
      </c>
      <c r="AC44" s="227"/>
      <c r="AD44" s="227"/>
      <c r="AE44" s="323"/>
      <c r="AF44" s="324"/>
      <c r="AG44" s="325">
        <f t="shared" si="51"/>
        <v>0</v>
      </c>
      <c r="AH44" s="325"/>
      <c r="AI44" s="227"/>
      <c r="AJ44" s="323"/>
      <c r="AK44" s="324"/>
      <c r="AL44" s="325">
        <f t="shared" si="52"/>
        <v>0</v>
      </c>
    </row>
    <row r="45" spans="2:38" ht="16">
      <c r="B45" s="314"/>
      <c r="C45" s="227"/>
      <c r="D45" s="227"/>
      <c r="E45" s="227"/>
      <c r="F45" s="323"/>
      <c r="G45" s="324"/>
      <c r="H45" s="325">
        <f t="shared" si="46"/>
        <v>0</v>
      </c>
      <c r="I45" s="227"/>
      <c r="J45" s="227"/>
      <c r="K45" s="323"/>
      <c r="L45" s="324"/>
      <c r="M45" s="325">
        <f t="shared" si="47"/>
        <v>0</v>
      </c>
      <c r="N45" s="227"/>
      <c r="O45" s="227"/>
      <c r="P45" s="323"/>
      <c r="Q45" s="324"/>
      <c r="R45" s="325">
        <f t="shared" si="48"/>
        <v>0</v>
      </c>
      <c r="S45" s="227"/>
      <c r="T45" s="227"/>
      <c r="U45" s="323"/>
      <c r="V45" s="324"/>
      <c r="W45" s="325">
        <f t="shared" si="49"/>
        <v>0</v>
      </c>
      <c r="X45" s="227"/>
      <c r="Y45" s="227"/>
      <c r="Z45" s="323"/>
      <c r="AA45" s="324"/>
      <c r="AB45" s="325">
        <f t="shared" si="50"/>
        <v>0</v>
      </c>
      <c r="AC45" s="227"/>
      <c r="AD45" s="227"/>
      <c r="AE45" s="323"/>
      <c r="AF45" s="324"/>
      <c r="AG45" s="325">
        <f t="shared" si="51"/>
        <v>0</v>
      </c>
      <c r="AH45" s="325"/>
      <c r="AI45" s="227"/>
      <c r="AJ45" s="323"/>
      <c r="AK45" s="324"/>
      <c r="AL45" s="325">
        <f t="shared" si="52"/>
        <v>0</v>
      </c>
    </row>
    <row r="46" spans="2:38" ht="16">
      <c r="B46" s="314"/>
      <c r="C46" s="227"/>
      <c r="D46" s="227"/>
      <c r="E46" s="227"/>
      <c r="F46" s="323"/>
      <c r="G46" s="324"/>
      <c r="H46" s="325">
        <f t="shared" si="46"/>
        <v>0</v>
      </c>
      <c r="I46" s="227"/>
      <c r="J46" s="227"/>
      <c r="K46" s="323"/>
      <c r="L46" s="324"/>
      <c r="M46" s="325">
        <f>IF(L46&lt;M$35,K46-((K46*L46)/M$35),0)</f>
        <v>0</v>
      </c>
      <c r="N46" s="227"/>
      <c r="O46" s="227"/>
      <c r="P46" s="323"/>
      <c r="Q46" s="324"/>
      <c r="R46" s="325">
        <f>IF(Q46&lt;R$35,P46-((P46*Q46)/R$35),0)</f>
        <v>0</v>
      </c>
      <c r="S46" s="227"/>
      <c r="T46" s="227"/>
      <c r="U46" s="323"/>
      <c r="V46" s="324"/>
      <c r="W46" s="325">
        <f>IF(V46&lt;W$35,U46-((U46*V46)/W$35),0)</f>
        <v>0</v>
      </c>
      <c r="X46" s="227"/>
      <c r="Y46" s="227"/>
      <c r="Z46" s="323"/>
      <c r="AA46" s="324"/>
      <c r="AB46" s="325">
        <f>IF(AA46&lt;AB$35,Z46-((Z46*AA46)/AB$35),0)</f>
        <v>0</v>
      </c>
      <c r="AC46" s="227"/>
      <c r="AD46" s="227"/>
      <c r="AE46" s="323"/>
      <c r="AF46" s="324"/>
      <c r="AG46" s="325">
        <f>IF(AF46&lt;AG$35,AE46-((AE46*AF46)/AG$35),0)</f>
        <v>0</v>
      </c>
      <c r="AH46" s="325"/>
      <c r="AI46" s="227"/>
      <c r="AJ46" s="323"/>
      <c r="AK46" s="324"/>
      <c r="AL46" s="325">
        <f>IF(AK46&lt;AL$35,AJ46-((AJ46*AK46)/AL$35),0)</f>
        <v>0</v>
      </c>
    </row>
    <row r="47" spans="2:38" ht="16">
      <c r="B47" s="314"/>
      <c r="C47" s="227"/>
      <c r="D47" s="227"/>
      <c r="E47" s="227"/>
      <c r="F47" s="323"/>
      <c r="G47" s="324"/>
      <c r="H47" s="325">
        <f t="shared" si="46"/>
        <v>0</v>
      </c>
      <c r="I47" s="227"/>
      <c r="J47" s="227"/>
      <c r="K47" s="323"/>
      <c r="L47" s="324"/>
      <c r="M47" s="325">
        <f t="shared" ref="M47:M48" si="53">IF(L47&lt;M$35,K47-((K47*L47)/M$35),0)</f>
        <v>0</v>
      </c>
      <c r="N47" s="227"/>
      <c r="O47" s="227"/>
      <c r="P47" s="323"/>
      <c r="Q47" s="324"/>
      <c r="R47" s="325">
        <f t="shared" ref="R47:R48" si="54">IF(Q47&lt;R$35,P47-((P47*Q47)/R$35),0)</f>
        <v>0</v>
      </c>
      <c r="S47" s="227"/>
      <c r="T47" s="227"/>
      <c r="U47" s="323"/>
      <c r="V47" s="324"/>
      <c r="W47" s="325">
        <f t="shared" ref="W47:W48" si="55">IF(V47&lt;W$35,U47-((U47*V47)/W$35),0)</f>
        <v>0</v>
      </c>
      <c r="X47" s="227"/>
      <c r="Y47" s="227"/>
      <c r="Z47" s="323"/>
      <c r="AA47" s="324"/>
      <c r="AB47" s="325">
        <f t="shared" ref="AB47:AB48" si="56">IF(AA47&lt;AB$35,Z47-((Z47*AA47)/AB$35),0)</f>
        <v>0</v>
      </c>
      <c r="AC47" s="227"/>
      <c r="AD47" s="227"/>
      <c r="AE47" s="323"/>
      <c r="AF47" s="324"/>
      <c r="AG47" s="325">
        <f t="shared" ref="AG47:AG48" si="57">IF(AF47&lt;AG$35,AE47-((AE47*AF47)/AG$35),0)</f>
        <v>0</v>
      </c>
      <c r="AH47" s="325"/>
      <c r="AI47" s="227"/>
      <c r="AJ47" s="323"/>
      <c r="AK47" s="324"/>
      <c r="AL47" s="325">
        <f t="shared" ref="AL47:AL48" si="58">IF(AK47&lt;AL$35,AJ47-((AJ47*AK47)/AL$35),0)</f>
        <v>0</v>
      </c>
    </row>
    <row r="48" spans="2:38" ht="16">
      <c r="B48" s="314"/>
      <c r="C48" s="227"/>
      <c r="D48" s="227"/>
      <c r="E48" s="227"/>
      <c r="F48" s="323"/>
      <c r="G48" s="324"/>
      <c r="H48" s="325">
        <f t="shared" si="46"/>
        <v>0</v>
      </c>
      <c r="I48" s="325"/>
      <c r="J48" s="227"/>
      <c r="K48" s="323"/>
      <c r="L48" s="324"/>
      <c r="M48" s="325">
        <f t="shared" si="53"/>
        <v>0</v>
      </c>
      <c r="N48" s="227"/>
      <c r="O48" s="227"/>
      <c r="P48" s="323"/>
      <c r="Q48" s="324"/>
      <c r="R48" s="325">
        <f t="shared" si="54"/>
        <v>0</v>
      </c>
      <c r="S48" s="227"/>
      <c r="T48" s="227"/>
      <c r="U48" s="323"/>
      <c r="V48" s="324"/>
      <c r="W48" s="325">
        <f t="shared" si="55"/>
        <v>0</v>
      </c>
      <c r="X48" s="227"/>
      <c r="Y48" s="227"/>
      <c r="Z48" s="323"/>
      <c r="AA48" s="324"/>
      <c r="AB48" s="325">
        <f t="shared" si="56"/>
        <v>0</v>
      </c>
      <c r="AC48" s="227"/>
      <c r="AD48" s="227"/>
      <c r="AE48" s="323"/>
      <c r="AF48" s="324"/>
      <c r="AG48" s="325">
        <f t="shared" si="57"/>
        <v>0</v>
      </c>
      <c r="AH48" s="325"/>
      <c r="AI48" s="227"/>
      <c r="AJ48" s="323"/>
      <c r="AK48" s="324"/>
      <c r="AL48" s="325">
        <f t="shared" si="58"/>
        <v>0</v>
      </c>
    </row>
    <row r="49" spans="2:38" ht="16">
      <c r="B49" s="314"/>
      <c r="C49" s="227"/>
      <c r="D49" s="227"/>
      <c r="E49" s="227"/>
      <c r="F49" s="323"/>
      <c r="G49" s="324"/>
      <c r="H49" s="326"/>
      <c r="I49" s="227"/>
      <c r="J49" s="227"/>
      <c r="K49" s="323"/>
      <c r="L49" s="324"/>
      <c r="M49" s="326"/>
      <c r="N49" s="227"/>
      <c r="O49" s="227"/>
      <c r="P49" s="323"/>
      <c r="Q49" s="324"/>
      <c r="R49" s="326"/>
      <c r="S49" s="227"/>
      <c r="T49" s="227"/>
      <c r="U49" s="323"/>
      <c r="V49" s="324"/>
      <c r="W49" s="326"/>
      <c r="X49" s="227"/>
      <c r="Y49" s="227"/>
      <c r="Z49" s="323"/>
      <c r="AA49" s="324"/>
      <c r="AB49" s="326"/>
      <c r="AC49" s="227"/>
      <c r="AD49" s="227"/>
      <c r="AE49" s="323"/>
      <c r="AF49" s="324"/>
      <c r="AG49" s="326"/>
      <c r="AH49" s="326"/>
      <c r="AI49" s="227"/>
      <c r="AJ49" s="323"/>
      <c r="AK49" s="324"/>
      <c r="AL49" s="326"/>
    </row>
    <row r="50" spans="2:38" ht="16">
      <c r="B50" s="314"/>
      <c r="C50" s="226" t="s">
        <v>255</v>
      </c>
      <c r="D50" s="227"/>
      <c r="E50" s="327" t="s">
        <v>256</v>
      </c>
      <c r="F50" s="327" t="s">
        <v>257</v>
      </c>
      <c r="G50" s="327" t="s">
        <v>258</v>
      </c>
      <c r="H50" s="327" t="s">
        <v>254</v>
      </c>
      <c r="I50" s="227"/>
      <c r="J50" s="327" t="s">
        <v>256</v>
      </c>
      <c r="K50" s="327" t="s">
        <v>257</v>
      </c>
      <c r="L50" s="327" t="s">
        <v>258</v>
      </c>
      <c r="M50" s="327" t="s">
        <v>254</v>
      </c>
      <c r="N50" s="227"/>
      <c r="O50" s="327" t="s">
        <v>256</v>
      </c>
      <c r="P50" s="327" t="s">
        <v>257</v>
      </c>
      <c r="Q50" s="327" t="s">
        <v>258</v>
      </c>
      <c r="R50" s="327" t="s">
        <v>254</v>
      </c>
      <c r="S50" s="227"/>
      <c r="T50" s="327" t="s">
        <v>256</v>
      </c>
      <c r="U50" s="327" t="s">
        <v>257</v>
      </c>
      <c r="V50" s="327" t="s">
        <v>258</v>
      </c>
      <c r="W50" s="327" t="s">
        <v>254</v>
      </c>
      <c r="X50" s="227"/>
      <c r="Y50" s="327" t="s">
        <v>256</v>
      </c>
      <c r="Z50" s="327" t="s">
        <v>257</v>
      </c>
      <c r="AA50" s="327" t="s">
        <v>258</v>
      </c>
      <c r="AB50" s="327" t="s">
        <v>254</v>
      </c>
      <c r="AC50" s="227"/>
      <c r="AD50" s="327" t="s">
        <v>256</v>
      </c>
      <c r="AE50" s="327" t="s">
        <v>257</v>
      </c>
      <c r="AF50" s="327" t="s">
        <v>258</v>
      </c>
      <c r="AG50" s="327" t="s">
        <v>254</v>
      </c>
      <c r="AH50" s="328"/>
      <c r="AI50" s="327" t="s">
        <v>256</v>
      </c>
      <c r="AJ50" s="327" t="s">
        <v>257</v>
      </c>
      <c r="AK50" s="327" t="s">
        <v>258</v>
      </c>
      <c r="AL50" s="327" t="s">
        <v>254</v>
      </c>
    </row>
    <row r="51" spans="2:38" ht="16">
      <c r="B51" s="314"/>
      <c r="C51" s="227"/>
      <c r="D51" s="227"/>
      <c r="E51" s="329"/>
      <c r="F51" s="330"/>
      <c r="G51" s="318"/>
      <c r="H51" s="325">
        <f>IFERROR(IF(G51&gt;H$35,0,(+F51/G51)*E51/F51), 0)</f>
        <v>0</v>
      </c>
      <c r="I51" s="227"/>
      <c r="J51" s="329"/>
      <c r="K51" s="330"/>
      <c r="L51" s="318"/>
      <c r="M51" s="325">
        <f>IFERROR(IF(L51&gt;M$35,0,(+K51/L51)*J51/K51),0)</f>
        <v>0</v>
      </c>
      <c r="N51" s="227"/>
      <c r="O51" s="329"/>
      <c r="P51" s="330"/>
      <c r="Q51" s="318"/>
      <c r="R51" s="325">
        <f>IFERROR(IF(Q51&gt;R$35,0,(+P51/Q51)*O51/P51),0)</f>
        <v>0</v>
      </c>
      <c r="S51" s="331"/>
      <c r="T51" s="329"/>
      <c r="U51" s="330"/>
      <c r="V51" s="318"/>
      <c r="W51" s="325">
        <f>IFERROR(IF(V51&gt;W$35,0,(+U51/V51)*T51/U51),0)</f>
        <v>0</v>
      </c>
      <c r="X51" s="331"/>
      <c r="Y51" s="329"/>
      <c r="Z51" s="330"/>
      <c r="AA51" s="318"/>
      <c r="AB51" s="325">
        <f>IFERROR(IF(AA51&gt;AB$35,0,+Y51/AA51-(AB$35*(Y51/AA51)-Y51)*0.5/AB$35),0)</f>
        <v>0</v>
      </c>
      <c r="AC51" s="331"/>
      <c r="AD51" s="329"/>
      <c r="AE51" s="330"/>
      <c r="AF51" s="318"/>
      <c r="AG51" s="325">
        <f>IFERROR(IF(AF51&gt;AG$35,0,+AD51/AF51-(AG$35*(AD51/AF51)-AD51)*0.5/AG$35),0)</f>
        <v>0</v>
      </c>
      <c r="AH51" s="325"/>
      <c r="AI51" s="329"/>
      <c r="AJ51" s="330"/>
      <c r="AK51" s="318"/>
      <c r="AL51" s="325">
        <f>IFERROR(IF(AK51&gt;AL$35,0,+AI51/AK51-(AL$35*(AI51/AK51)-AI51)*0.5/AL$35),0)</f>
        <v>0</v>
      </c>
    </row>
    <row r="52" spans="2:38" ht="16">
      <c r="B52" s="314"/>
      <c r="C52" s="227"/>
      <c r="D52" s="227"/>
      <c r="E52" s="329"/>
      <c r="F52" s="330"/>
      <c r="G52" s="318"/>
      <c r="H52" s="325">
        <f>IFERROR(IF(G52&gt;H$35,0,(+F52/G52)*E52/F52),0)</f>
        <v>0</v>
      </c>
      <c r="I52" s="227"/>
      <c r="J52" s="329"/>
      <c r="K52" s="330"/>
      <c r="L52" s="318"/>
      <c r="M52" s="325">
        <f>IFERROR(IF(L52&gt;M$35,0,(+K52/L52)*J52/K52),0)</f>
        <v>0</v>
      </c>
      <c r="N52" s="227"/>
      <c r="O52" s="329"/>
      <c r="P52" s="330"/>
      <c r="Q52" s="318"/>
      <c r="R52" s="325">
        <f>IFERROR(IF(Q52&gt;R$35,0,(+P52/Q52)*O52/P52),0)</f>
        <v>0</v>
      </c>
      <c r="S52" s="227"/>
      <c r="T52" s="329"/>
      <c r="U52" s="330"/>
      <c r="V52" s="318"/>
      <c r="W52" s="325">
        <f>IFERROR(IF(V52&gt;W$35,0,(+U52/V52)*T52/U52),0)</f>
        <v>0</v>
      </c>
      <c r="X52" s="227"/>
      <c r="Y52" s="329"/>
      <c r="Z52" s="330"/>
      <c r="AA52" s="318"/>
      <c r="AB52" s="325">
        <f>IFERROR(IF(AA52&gt;AB$35,0,(+Z52/AA52)*Y52/Z52),0)</f>
        <v>0</v>
      </c>
      <c r="AC52" s="227"/>
      <c r="AD52" s="329"/>
      <c r="AE52" s="330"/>
      <c r="AF52" s="318"/>
      <c r="AG52" s="325">
        <f>IFERROR(IF(AF52&gt;AG$35,0,(+AE52/AF52)*AD52/AE52),0)</f>
        <v>0</v>
      </c>
      <c r="AH52" s="325"/>
      <c r="AI52" s="329"/>
      <c r="AJ52" s="330"/>
      <c r="AK52" s="318"/>
      <c r="AL52" s="325">
        <f>IFERROR(IF(AK52&gt;AL$35,0,(+AJ52/AK52)*AI52/AJ52),0)</f>
        <v>0</v>
      </c>
    </row>
    <row r="53" spans="2:38" ht="16">
      <c r="B53" s="314"/>
      <c r="C53" s="227"/>
      <c r="D53" s="227"/>
      <c r="E53" s="227"/>
      <c r="F53" s="323"/>
      <c r="G53" s="324"/>
      <c r="H53" s="326"/>
      <c r="I53" s="227"/>
      <c r="J53" s="227"/>
      <c r="K53" s="323"/>
      <c r="L53" s="324"/>
      <c r="M53" s="326"/>
      <c r="N53" s="227"/>
      <c r="O53" s="227"/>
      <c r="P53" s="323"/>
      <c r="Q53" s="324"/>
      <c r="R53" s="326"/>
      <c r="S53" s="227"/>
      <c r="T53" s="227"/>
      <c r="U53" s="323"/>
      <c r="V53" s="324"/>
      <c r="W53" s="326"/>
      <c r="X53" s="227"/>
      <c r="Y53" s="227"/>
      <c r="Z53" s="323"/>
      <c r="AA53" s="324"/>
      <c r="AB53" s="326"/>
      <c r="AC53" s="227"/>
      <c r="AD53" s="227"/>
      <c r="AE53" s="323"/>
      <c r="AF53" s="324"/>
      <c r="AG53" s="326"/>
      <c r="AH53" s="326"/>
      <c r="AI53" s="227"/>
      <c r="AJ53" s="323"/>
      <c r="AK53" s="324"/>
      <c r="AL53" s="326"/>
    </row>
    <row r="54" spans="2:38" ht="16">
      <c r="B54" s="314"/>
      <c r="C54" s="227"/>
      <c r="D54" s="227"/>
      <c r="E54" s="227"/>
      <c r="F54" s="323"/>
      <c r="G54" s="322" t="s">
        <v>259</v>
      </c>
      <c r="H54" s="322" t="s">
        <v>254</v>
      </c>
      <c r="I54" s="227"/>
      <c r="J54" s="227"/>
      <c r="K54" s="323"/>
      <c r="L54" s="322" t="s">
        <v>259</v>
      </c>
      <c r="M54" s="322" t="s">
        <v>254</v>
      </c>
      <c r="N54" s="227"/>
      <c r="O54" s="227"/>
      <c r="P54" s="323"/>
      <c r="Q54" s="322" t="s">
        <v>259</v>
      </c>
      <c r="R54" s="322" t="s">
        <v>254</v>
      </c>
      <c r="S54" s="227"/>
      <c r="T54" s="227"/>
      <c r="U54" s="323"/>
      <c r="V54" s="322" t="s">
        <v>259</v>
      </c>
      <c r="W54" s="322" t="s">
        <v>254</v>
      </c>
      <c r="X54" s="227"/>
      <c r="Y54" s="227"/>
      <c r="Z54" s="323"/>
      <c r="AA54" s="322" t="s">
        <v>259</v>
      </c>
      <c r="AB54" s="322" t="s">
        <v>254</v>
      </c>
      <c r="AC54" s="227"/>
      <c r="AD54" s="227"/>
      <c r="AE54" s="323"/>
      <c r="AF54" s="322" t="s">
        <v>259</v>
      </c>
      <c r="AG54" s="322" t="s">
        <v>254</v>
      </c>
      <c r="AH54" s="322"/>
      <c r="AI54" s="227"/>
      <c r="AJ54" s="323"/>
      <c r="AK54" s="322" t="s">
        <v>259</v>
      </c>
      <c r="AL54" s="322" t="s">
        <v>254</v>
      </c>
    </row>
    <row r="55" spans="2:38" ht="16">
      <c r="B55" s="314"/>
      <c r="C55" s="226" t="s">
        <v>260</v>
      </c>
      <c r="D55" s="227"/>
      <c r="E55" s="227"/>
      <c r="F55" s="323"/>
      <c r="G55" s="323">
        <f>(0.749+0.174)*10</f>
        <v>9.23</v>
      </c>
      <c r="H55" s="325">
        <f>+G55</f>
        <v>9.23</v>
      </c>
      <c r="I55" s="325"/>
      <c r="J55" s="227"/>
      <c r="K55" s="323"/>
      <c r="L55" s="323">
        <v>2.0299999999999998</v>
      </c>
      <c r="M55" s="325">
        <f>+L55</f>
        <v>2.0299999999999998</v>
      </c>
      <c r="N55" s="227"/>
      <c r="O55" s="227"/>
      <c r="P55" s="323"/>
      <c r="Q55" s="323">
        <v>2.3899999999999864</v>
      </c>
      <c r="R55" s="325">
        <f>+Q55</f>
        <v>2.3899999999999864</v>
      </c>
      <c r="S55" s="227"/>
      <c r="T55" s="227"/>
      <c r="U55" s="323"/>
      <c r="V55" s="323"/>
      <c r="W55" s="325">
        <f>+V55</f>
        <v>0</v>
      </c>
      <c r="X55" s="227"/>
      <c r="Y55" s="227"/>
      <c r="Z55" s="323"/>
      <c r="AA55" s="323">
        <v>80</v>
      </c>
      <c r="AB55" s="325">
        <f>+AA55</f>
        <v>80</v>
      </c>
      <c r="AC55" s="227"/>
      <c r="AD55" s="227"/>
      <c r="AE55" s="323"/>
      <c r="AF55" s="323" t="s">
        <v>24</v>
      </c>
      <c r="AG55" s="325"/>
      <c r="AH55" s="325"/>
      <c r="AI55" s="227"/>
      <c r="AJ55" s="323"/>
      <c r="AK55" s="323" t="s">
        <v>24</v>
      </c>
      <c r="AL55" s="325"/>
    </row>
    <row r="56" spans="2:38" ht="16">
      <c r="B56" s="314"/>
      <c r="C56" s="226"/>
      <c r="D56" s="227"/>
      <c r="E56" s="227"/>
      <c r="F56" s="323"/>
      <c r="G56" s="323"/>
      <c r="H56" s="323"/>
      <c r="I56" s="227"/>
      <c r="J56" s="227"/>
      <c r="K56" s="323"/>
      <c r="L56" s="323"/>
      <c r="M56" s="323"/>
      <c r="N56" s="227"/>
      <c r="O56" s="227"/>
      <c r="P56" s="323"/>
      <c r="Q56" s="323"/>
      <c r="R56" s="323"/>
      <c r="S56" s="227"/>
      <c r="T56" s="227"/>
      <c r="U56" s="323"/>
      <c r="V56" s="323"/>
      <c r="W56" s="323"/>
      <c r="X56" s="227"/>
      <c r="Y56" s="227"/>
      <c r="Z56" s="323"/>
      <c r="AA56" s="323"/>
      <c r="AB56" s="323"/>
      <c r="AC56" s="227"/>
      <c r="AD56" s="227"/>
      <c r="AE56" s="323"/>
      <c r="AF56" s="323"/>
      <c r="AG56" s="323"/>
      <c r="AH56" s="323"/>
      <c r="AI56" s="227"/>
      <c r="AJ56" s="323"/>
      <c r="AK56" s="323"/>
      <c r="AL56" s="323"/>
    </row>
    <row r="57" spans="2:38" ht="16">
      <c r="B57" s="314"/>
      <c r="C57" s="226" t="s">
        <v>195</v>
      </c>
      <c r="D57" s="226"/>
      <c r="E57" s="227"/>
      <c r="F57" s="227"/>
      <c r="G57" s="227"/>
      <c r="H57" s="332">
        <f>+H55+SUM(H40:H48)+SUM(H51:H52)+H37</f>
        <v>1295.23</v>
      </c>
      <c r="I57" s="227"/>
      <c r="J57" s="227"/>
      <c r="K57" s="227"/>
      <c r="L57" s="227"/>
      <c r="M57" s="332">
        <f>+M55+SUM(M40:M48)+SUM(M51:M52)+M37</f>
        <v>395.22999999999996</v>
      </c>
      <c r="N57" s="227"/>
      <c r="O57" s="227"/>
      <c r="P57" s="227"/>
      <c r="Q57" s="227"/>
      <c r="R57" s="332">
        <f>+R55+SUM(R40:R48)+SUM(R51:R52)+R37</f>
        <v>136.19</v>
      </c>
      <c r="S57" s="227"/>
      <c r="T57" s="227"/>
      <c r="U57" s="227"/>
      <c r="V57" s="227"/>
      <c r="W57" s="332">
        <f>+W55+SUM(W40:W48)+SUM(W51:W52)+W37</f>
        <v>4671.3999999999996</v>
      </c>
      <c r="X57" s="227"/>
      <c r="Y57" s="227"/>
      <c r="Z57" s="227"/>
      <c r="AA57" s="227"/>
      <c r="AB57" s="332">
        <f>+AB55+SUM(AB40:AB48)+SUM(AB51:AB52)+AB37</f>
        <v>1190</v>
      </c>
      <c r="AC57" s="227"/>
      <c r="AD57" s="227"/>
      <c r="AE57" s="227"/>
      <c r="AF57" s="227"/>
      <c r="AG57" s="332">
        <v>824.4</v>
      </c>
      <c r="AH57" s="332"/>
      <c r="AI57" s="227"/>
      <c r="AJ57" s="227"/>
      <c r="AK57" s="227"/>
      <c r="AL57" s="332">
        <f>AL37</f>
        <v>201.77</v>
      </c>
    </row>
    <row r="58" spans="2:38" ht="16">
      <c r="B58" s="314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326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</row>
    <row r="59" spans="2:38" ht="16">
      <c r="B59" s="314"/>
      <c r="C59" s="227"/>
      <c r="D59" s="227"/>
      <c r="E59" s="302" t="s">
        <v>261</v>
      </c>
      <c r="F59" s="310"/>
      <c r="G59" s="310"/>
      <c r="H59" s="310"/>
      <c r="I59" s="227"/>
      <c r="J59" s="302" t="s">
        <v>261</v>
      </c>
      <c r="K59" s="310"/>
      <c r="L59" s="310"/>
      <c r="M59" s="310"/>
      <c r="N59" s="227"/>
      <c r="O59" s="302" t="s">
        <v>261</v>
      </c>
      <c r="P59" s="310"/>
      <c r="Q59" s="310"/>
      <c r="R59" s="310"/>
      <c r="S59" s="227"/>
      <c r="T59" s="302" t="s">
        <v>261</v>
      </c>
      <c r="U59" s="310"/>
      <c r="V59" s="310"/>
      <c r="W59" s="310"/>
      <c r="X59" s="227"/>
      <c r="Y59" s="302" t="s">
        <v>261</v>
      </c>
      <c r="Z59" s="310"/>
      <c r="AA59" s="310"/>
      <c r="AB59" s="310"/>
      <c r="AC59" s="227"/>
      <c r="AD59" s="302" t="s">
        <v>261</v>
      </c>
      <c r="AE59" s="310"/>
      <c r="AF59" s="310"/>
      <c r="AG59" s="310"/>
      <c r="AH59" s="316"/>
      <c r="AI59" s="302" t="s">
        <v>261</v>
      </c>
      <c r="AJ59" s="310"/>
      <c r="AK59" s="310"/>
      <c r="AL59" s="310"/>
    </row>
    <row r="60" spans="2:38" ht="16">
      <c r="B60" s="314"/>
      <c r="C60" s="227"/>
      <c r="D60" s="227"/>
      <c r="E60" s="317"/>
      <c r="F60" s="284"/>
      <c r="G60" s="284"/>
      <c r="H60" s="333"/>
      <c r="I60" s="227"/>
      <c r="J60" s="317"/>
      <c r="K60" s="284"/>
      <c r="L60" s="284"/>
      <c r="M60" s="284"/>
      <c r="N60" s="227"/>
      <c r="O60" s="317"/>
      <c r="P60" s="284"/>
      <c r="Q60" s="284"/>
      <c r="R60" s="284"/>
      <c r="S60" s="227"/>
      <c r="T60" s="317"/>
      <c r="U60" s="284"/>
      <c r="V60" s="284"/>
      <c r="W60" s="284"/>
      <c r="X60" s="227"/>
      <c r="Y60" s="317"/>
      <c r="Z60" s="284"/>
      <c r="AA60" s="284"/>
      <c r="AB60" s="284"/>
      <c r="AC60" s="227"/>
      <c r="AD60" s="317"/>
      <c r="AE60" s="284"/>
      <c r="AF60" s="284"/>
      <c r="AG60" s="284"/>
      <c r="AH60" s="284"/>
      <c r="AI60" s="317"/>
      <c r="AJ60" s="284"/>
      <c r="AK60" s="284"/>
      <c r="AL60" s="284"/>
    </row>
    <row r="61" spans="2:38" ht="16">
      <c r="B61" s="314"/>
      <c r="C61" s="227" t="s">
        <v>196</v>
      </c>
      <c r="D61" s="227"/>
      <c r="E61" s="317"/>
      <c r="F61" s="284"/>
      <c r="G61" s="284"/>
      <c r="H61" s="334">
        <f>+H57*H36</f>
        <v>94642.456099999996</v>
      </c>
      <c r="I61" s="227"/>
      <c r="J61" s="317"/>
      <c r="K61" s="284"/>
      <c r="L61" s="284"/>
      <c r="M61" s="334">
        <f>+M57*M36</f>
        <v>265942.36239999998</v>
      </c>
      <c r="N61" s="227"/>
      <c r="O61" s="317"/>
      <c r="P61" s="284"/>
      <c r="Q61" s="284"/>
      <c r="R61" s="334">
        <f>+R57*R36</f>
        <v>87100.314499999993</v>
      </c>
      <c r="S61" s="227"/>
      <c r="T61" s="317"/>
      <c r="U61" s="284"/>
      <c r="V61" s="284"/>
      <c r="W61" s="334">
        <f>+W57*W36</f>
        <v>767184.02199999988</v>
      </c>
      <c r="X61" s="227"/>
      <c r="Y61" s="317"/>
      <c r="Z61" s="284"/>
      <c r="AA61" s="284"/>
      <c r="AB61" s="334">
        <f>+AB57*AB36</f>
        <v>186580.09999999998</v>
      </c>
      <c r="AC61" s="227"/>
      <c r="AD61" s="317"/>
      <c r="AE61" s="284"/>
      <c r="AF61" s="284"/>
      <c r="AG61" s="334">
        <f>+AG57*AG36</f>
        <v>144723.42000000001</v>
      </c>
      <c r="AH61" s="334"/>
      <c r="AI61" s="317"/>
      <c r="AJ61" s="284"/>
      <c r="AK61" s="284"/>
      <c r="AL61" s="334">
        <f>+AL57*AL36</f>
        <v>5389.2767000000003</v>
      </c>
    </row>
    <row r="62" spans="2:38" ht="16">
      <c r="B62" s="314"/>
      <c r="C62" s="227" t="s">
        <v>199</v>
      </c>
      <c r="D62" s="227"/>
      <c r="E62" s="227"/>
      <c r="F62" s="227"/>
      <c r="G62" s="227"/>
      <c r="H62" s="335">
        <f>+H61+SUM(H19:H27)</f>
        <v>93558.456099999996</v>
      </c>
      <c r="I62" s="227"/>
      <c r="J62" s="227"/>
      <c r="K62" s="227"/>
      <c r="L62" s="227"/>
      <c r="M62" s="335">
        <f>+M61+SUM(M19:M27)</f>
        <v>262061.16239999997</v>
      </c>
      <c r="N62" s="227"/>
      <c r="O62" s="227"/>
      <c r="P62" s="227"/>
      <c r="Q62" s="227"/>
      <c r="R62" s="335">
        <f>+R61+SUM(R19:R27)</f>
        <v>89234.314499999993</v>
      </c>
      <c r="S62" s="227"/>
      <c r="T62" s="227"/>
      <c r="U62" s="227"/>
      <c r="V62" s="227"/>
      <c r="W62" s="335">
        <f>+W61+SUM(W19:W27)</f>
        <v>827191.02199999988</v>
      </c>
      <c r="X62" s="227"/>
      <c r="Y62" s="227"/>
      <c r="Z62" s="227"/>
      <c r="AA62" s="227"/>
      <c r="AB62" s="335">
        <f>+AB61+SUM(AB19:AB27)</f>
        <v>187914.09999999998</v>
      </c>
      <c r="AC62" s="227"/>
      <c r="AD62" s="227"/>
      <c r="AE62" s="227"/>
      <c r="AF62" s="227"/>
      <c r="AG62" s="335">
        <f>+AG61+SUM(AG19:AG27)</f>
        <v>139071.42000000001</v>
      </c>
      <c r="AH62" s="335"/>
      <c r="AI62" s="227"/>
      <c r="AJ62" s="227"/>
      <c r="AK62" s="227"/>
      <c r="AL62" s="335">
        <f>+AL61+SUM(AL19:AL27)</f>
        <v>3004.2767000000003</v>
      </c>
    </row>
    <row r="63" spans="2:38" ht="16">
      <c r="B63" s="314"/>
      <c r="C63" s="227" t="s">
        <v>197</v>
      </c>
      <c r="D63" s="227"/>
      <c r="E63" s="227"/>
      <c r="F63" s="227"/>
      <c r="G63" s="227"/>
      <c r="H63" s="336">
        <v>1.49</v>
      </c>
      <c r="I63" s="227"/>
      <c r="J63" s="227"/>
      <c r="K63" s="227"/>
      <c r="L63" s="227"/>
      <c r="M63" s="336">
        <v>1.1000000000000001</v>
      </c>
      <c r="N63" s="227"/>
      <c r="O63" s="227"/>
      <c r="P63" s="227"/>
      <c r="Q63" s="227"/>
      <c r="R63" s="336">
        <v>1.29</v>
      </c>
      <c r="S63" s="227"/>
      <c r="T63" s="227"/>
      <c r="U63" s="227"/>
      <c r="V63" s="227"/>
      <c r="W63" s="336">
        <v>1.19</v>
      </c>
      <c r="X63" s="227"/>
      <c r="Y63" s="227"/>
      <c r="Z63" s="227"/>
      <c r="AA63" s="227"/>
      <c r="AB63" s="336">
        <v>1.29</v>
      </c>
      <c r="AC63" s="227"/>
      <c r="AD63" s="227"/>
      <c r="AE63" s="227"/>
      <c r="AF63" s="227"/>
      <c r="AG63" s="336">
        <v>1.29</v>
      </c>
      <c r="AH63" s="336"/>
      <c r="AI63" s="227"/>
      <c r="AJ63" s="227"/>
      <c r="AK63" s="227"/>
      <c r="AL63" s="336">
        <v>2.57</v>
      </c>
    </row>
    <row r="64" spans="2:38" ht="16">
      <c r="B64" s="314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</row>
    <row r="65" spans="2:38" ht="16">
      <c r="B65" s="314"/>
      <c r="C65" s="227"/>
      <c r="D65" s="227"/>
      <c r="E65" s="302" t="s">
        <v>262</v>
      </c>
      <c r="F65" s="310"/>
      <c r="G65" s="310"/>
      <c r="H65" s="310"/>
      <c r="I65" s="227"/>
      <c r="J65" s="302" t="s">
        <v>262</v>
      </c>
      <c r="K65" s="310"/>
      <c r="L65" s="310"/>
      <c r="M65" s="310"/>
      <c r="N65" s="227"/>
      <c r="O65" s="302" t="s">
        <v>262</v>
      </c>
      <c r="P65" s="310"/>
      <c r="Q65" s="310"/>
      <c r="R65" s="310"/>
      <c r="S65" s="227"/>
      <c r="T65" s="302" t="s">
        <v>262</v>
      </c>
      <c r="U65" s="310"/>
      <c r="V65" s="310"/>
      <c r="W65" s="310"/>
      <c r="X65" s="227"/>
      <c r="Y65" s="302" t="s">
        <v>262</v>
      </c>
      <c r="Z65" s="310"/>
      <c r="AA65" s="310"/>
      <c r="AB65" s="310"/>
      <c r="AC65" s="227"/>
      <c r="AD65" s="302" t="s">
        <v>262</v>
      </c>
      <c r="AE65" s="310"/>
      <c r="AF65" s="310"/>
      <c r="AG65" s="310"/>
      <c r="AH65" s="316"/>
      <c r="AI65" s="302" t="s">
        <v>262</v>
      </c>
      <c r="AJ65" s="310"/>
      <c r="AK65" s="310"/>
      <c r="AL65" s="310"/>
    </row>
    <row r="66" spans="2:38" ht="16">
      <c r="B66" s="314"/>
      <c r="C66" s="227"/>
      <c r="D66" s="227"/>
      <c r="E66" s="337">
        <f>Current_Quart</f>
        <v>45565</v>
      </c>
      <c r="F66" s="285">
        <f>E30</f>
        <v>45657</v>
      </c>
      <c r="G66" s="285">
        <f>F30</f>
        <v>45747</v>
      </c>
      <c r="H66" s="285">
        <f>G30</f>
        <v>45838</v>
      </c>
      <c r="I66" s="227"/>
      <c r="J66" s="337">
        <f>Current_Quart</f>
        <v>45565</v>
      </c>
      <c r="K66" s="337">
        <f>J30</f>
        <v>45657</v>
      </c>
      <c r="L66" s="337">
        <f>K30</f>
        <v>45747</v>
      </c>
      <c r="M66" s="337">
        <f>L30</f>
        <v>45838</v>
      </c>
      <c r="N66" s="227"/>
      <c r="O66" s="337">
        <f>Current_Quart</f>
        <v>45565</v>
      </c>
      <c r="P66" s="337">
        <f>O30</f>
        <v>45657</v>
      </c>
      <c r="Q66" s="337">
        <f>P30</f>
        <v>45747</v>
      </c>
      <c r="R66" s="337">
        <f>Q30</f>
        <v>45838</v>
      </c>
      <c r="S66" s="227"/>
      <c r="T66" s="337">
        <f>Current_Quart</f>
        <v>45565</v>
      </c>
      <c r="U66" s="337">
        <f>T30</f>
        <v>45657</v>
      </c>
      <c r="V66" s="337">
        <f>U30</f>
        <v>45747</v>
      </c>
      <c r="W66" s="337">
        <f>V30</f>
        <v>45838</v>
      </c>
      <c r="X66" s="227"/>
      <c r="Y66" s="337">
        <f>Current_Quart</f>
        <v>45565</v>
      </c>
      <c r="Z66" s="337">
        <f>Y30</f>
        <v>45657</v>
      </c>
      <c r="AA66" s="337">
        <f>Z30</f>
        <v>45747</v>
      </c>
      <c r="AB66" s="337">
        <f>AA30</f>
        <v>45838</v>
      </c>
      <c r="AC66" s="227"/>
      <c r="AD66" s="337">
        <f>Current_Quart</f>
        <v>45565</v>
      </c>
      <c r="AE66" s="337">
        <f>AD30</f>
        <v>45657</v>
      </c>
      <c r="AF66" s="337">
        <f>AE30</f>
        <v>45747</v>
      </c>
      <c r="AG66" s="337">
        <f>AF30</f>
        <v>45838</v>
      </c>
      <c r="AH66" s="338"/>
      <c r="AI66" s="337">
        <f>Current_Quart</f>
        <v>45565</v>
      </c>
      <c r="AJ66" s="337">
        <f>AI30</f>
        <v>45657</v>
      </c>
      <c r="AK66" s="337">
        <f>AJ30</f>
        <v>45747</v>
      </c>
      <c r="AL66" s="337">
        <f>AK30</f>
        <v>45838</v>
      </c>
    </row>
    <row r="67" spans="2:38" ht="16">
      <c r="B67" s="314"/>
      <c r="C67" s="227" t="s">
        <v>263</v>
      </c>
      <c r="D67" s="227"/>
      <c r="E67" s="339">
        <f>IFERROR(IF(OR(+H$62/(F7*4)&lt;0,+H$62/(F7*4)&gt;=100),"NM",+H$62/(F7*4)), "N/A")</f>
        <v>6.1656139236568936</v>
      </c>
      <c r="F67" s="339">
        <f>IFERROR(IF(OR(+$H$62/(E31*4)&lt;0,+$H$62/(E31*4)&gt;=100),"NM",+$H$62/(E31*4)), "N/A")</f>
        <v>5.3959076265259025</v>
      </c>
      <c r="G67" s="339">
        <f t="shared" ref="G67:H67" si="59">IFERROR(IF(OR(+$H$62/(F31*4)&lt;0,+$H$62/(F31*4)&gt;=100),"NM",+$H$62/(F31*4)), "N/A")</f>
        <v>5.1883727178133681</v>
      </c>
      <c r="H67" s="339">
        <f t="shared" si="59"/>
        <v>4.9888199209743922</v>
      </c>
      <c r="I67" s="227"/>
      <c r="J67" s="339">
        <f>IFERROR(IF(OR(+M$62/(J31*4)&lt;0,+M$62/(J31*4)&gt;=100),"NM",+M$62/(J31*4)),"N/A")</f>
        <v>8.4361779667040597</v>
      </c>
      <c r="K67" s="339">
        <f>IFERROR(IF(OR(+$M$62/(J31*4)&lt;0,+$M$62/(J31*4)&gt;=100),"NM",+$M$62/(J31*4)), "N/A")</f>
        <v>8.4361779667040597</v>
      </c>
      <c r="L67" s="339">
        <f t="shared" ref="L67:M67" si="60">IFERROR(IF(OR(+$M$62/(K31*4)&lt;0,+$M$62/(K31*4)&gt;=100),"NM",+$M$62/(K31*4)), "N/A")</f>
        <v>8.1117095833692883</v>
      </c>
      <c r="M67" s="339">
        <f t="shared" si="60"/>
        <v>7.7997207532396997</v>
      </c>
      <c r="N67" s="227"/>
      <c r="O67" s="339">
        <f>IFERROR(IF(OR(+R$62/(R$7*4)&lt;0,+R$62/(R$7*4)&gt;=100),"NM",+R$62/(R$7*4)),"N/A")</f>
        <v>7.8508733905299968</v>
      </c>
      <c r="P67" s="339">
        <f>IFERROR(IF(OR(+R$62/(O$31*4)&lt;0,+R$62/(O$31*4)&gt;=100),"NM",+R$62/(O$31*4)), "N/A")</f>
        <v>7.4770222766952337</v>
      </c>
      <c r="Q67" s="339">
        <f>IFERROR(IF(OR(+R$62/(P$31*4)&lt;0,+R$62/(P$31*4)&gt;=100),"NM",+R$62/(P$31*4)), "N/A")</f>
        <v>7.1209735968526031</v>
      </c>
      <c r="R67" s="339">
        <f>IFERROR(IF(OR(+R$62/(Q$31*4)&lt;0,+R$62/(Q$31*4)&gt;=100),"NM",+R$62/(Q$31*4)), "N/A")</f>
        <v>6.781879616050098</v>
      </c>
      <c r="S67" s="227"/>
      <c r="T67" s="339">
        <f>IFERROR(IF(OR(+W$62/(W$7*4)&lt;0,+W$62/(W$7*4)&gt;=100),"NM",+W$62/(W$7*4)),"N/A")</f>
        <v>15.819901736536105</v>
      </c>
      <c r="U67" s="339">
        <f>IFERROR(IF(OR(+W$62/(T$31*4)&lt;0,+W$62/(T$31*4)&gt;=100),"NM",+W$62/(T$31*4)), "N/A")</f>
        <v>11.299929811811504</v>
      </c>
      <c r="V67" s="339">
        <f>IFERROR(IF(OR(+W$62/(U$31*4)&lt;0,+W$62/(U$31*4)&gt;=100),"NM",+W$62/(U$31*4)), "N/A")</f>
        <v>10.761837916010956</v>
      </c>
      <c r="W67" s="339">
        <f>IFERROR(IF(OR(+W$62/(V$31*4)&lt;0,+W$62/(V$31*4)&gt;=100),"NM",+W$62/(V$31*4)), "N/A")</f>
        <v>10.057792444870051</v>
      </c>
      <c r="X67" s="227"/>
      <c r="Y67" s="339">
        <f>IFERROR(IF(OR(+AB$62/(AB7*4)&lt;0,+AB$62/(AB7*4)&gt;=100),"NM",+AB$62/(AB7*4)),"N/A")</f>
        <v>4.5859551932838727</v>
      </c>
      <c r="Z67" s="339">
        <f>IFERROR(IF(OR(+AB$62/(Y$31*4)&lt;0,+AB$62/(Y$31*4)&gt;=100),"NM",+AB$62/(Y$31*4)), "N/A")</f>
        <v>4.5405496963206664</v>
      </c>
      <c r="AA67" s="339">
        <f>IFERROR(IF(OR(+AB$62/(Z$31*4)&lt;0,+AB$62/(Z$31*4)&gt;=100),"NM",+AB$62/(Z$31*4)), "N/A")</f>
        <v>4.4955937587333326</v>
      </c>
      <c r="AB67" s="339">
        <f>IFERROR(IF(OR(+AB$62/(AA$31*4)&lt;0,+AB$62/(AA$31*4)&gt;=100),"NM",+AB$62/(AA$31*4)), "N/A")</f>
        <v>4.4510829294389431</v>
      </c>
      <c r="AC67" s="227"/>
      <c r="AD67" s="339">
        <f>IFERROR(IF(OR(+AG$62/(AG7*4)&lt;0,+AG$62/(AG7*4)&gt;=100),"NM",+AG$62/(AG7*4)),"N/A")</f>
        <v>4.9351107168204402</v>
      </c>
      <c r="AE67" s="339">
        <f>IFERROR(IF(OR(+AG$62/(AD$31*4)&lt;0,+AG$62/(AD$31*4)&gt;=100),"NM",+AG$62/(AD$31*4)), "N/A")</f>
        <v>4.8383438400200394</v>
      </c>
      <c r="AF67" s="339">
        <f>IFERROR(IF(OR(+AG$62/(AE$31*4)&lt;0,+AG$62/(AE$31*4)&gt;=100),"NM",+AG$62/(AE$31*4)), "N/A")</f>
        <v>4.6079465143047997</v>
      </c>
      <c r="AG67" s="339">
        <f>IFERROR(IF(OR(+AG$62/(AF$31*4)&lt;0,+AG$62/(AF$31*4)&gt;=100),"NM",+AG$62/(AF$31*4)), "N/A")</f>
        <v>4.3885204898140948</v>
      </c>
      <c r="AH67" s="339"/>
      <c r="AI67" s="339">
        <f>IFERROR(IF(OR(+AL$62/(AL7*4)&lt;0,+AL$62/(AL7*4)&gt;=100),"NM",+AL$62/(AL7*4)),"N/A")</f>
        <v>19.774480050923952</v>
      </c>
      <c r="AJ67" s="339">
        <f>IFERROR(IF(OR(+AL$62/(AI$31*4)&lt;0,+AL$62/(AI$31*4)&gt;=100),"NM",+AL$62/(AI$31*4)), "N/A")</f>
        <v>4.2444797176635474</v>
      </c>
      <c r="AK67" s="339">
        <f>IFERROR(IF(OR(+AL$62/(AJ$31*4)&lt;0,+AL$62/(AJ$31*4)&gt;=100),"NM",+AL$62/(AJ$31*4)), "N/A")</f>
        <v>3.1008495586547435</v>
      </c>
      <c r="AL67" s="339">
        <f>IFERROR(IF(OR(+AL$62/(AK$31*4)&lt;0,+AL$62/(AK$31*4)&gt;=100),"NM",+AL$62/(AK$31*4)), "N/A")</f>
        <v>2.6139783627074289</v>
      </c>
    </row>
    <row r="68" spans="2:38" ht="16">
      <c r="B68" s="314"/>
      <c r="C68" s="227" t="s">
        <v>264</v>
      </c>
      <c r="D68" s="227"/>
      <c r="E68" s="339">
        <f>IFERROR(IF(OR(+$H$62/(H14*4)&lt;0,+$H$62/(H14*4)&gt;=100),"NM",+$H$62/(H14*4)), "N/A")</f>
        <v>16.228666323678077</v>
      </c>
      <c r="F68" s="339">
        <f>IFERROR(IF(OR(+$H$62/(E32*4)&lt;0,+$H$62/(E32*4)&gt;=100),"NM",+$H$62/(E32*4)), "N/A")</f>
        <v>15.455872689217216</v>
      </c>
      <c r="G68" s="339">
        <f t="shared" ref="G68:H68" si="61">IFERROR(IF(OR(+$H$62/(F32*4)&lt;0,+$H$62/(F32*4)&gt;=100),"NM",+$H$62/(F32*4)), "N/A")</f>
        <v>14.719878751635443</v>
      </c>
      <c r="H68" s="339">
        <f t="shared" si="61"/>
        <v>14.018932144414709</v>
      </c>
      <c r="I68" s="227"/>
      <c r="J68" s="339">
        <f>IFERROR(IF(OR(+M$62/(M14*4)&lt;0,+M$62/(M14*4)&gt;=100),"NM",+M$62/(M14*4)),"N/A")</f>
        <v>24.474313795808584</v>
      </c>
      <c r="K68" s="339">
        <f>IFERROR(IF(OR(+$M$62/(J32*4)&lt;0,+$M$62/(J32*4)&gt;=100),"NM",+$M$62/(J32*4)),"N/A")</f>
        <v>23.308870281722459</v>
      </c>
      <c r="L68" s="339">
        <f t="shared" ref="L68:M68" si="62">IFERROR(IF(OR(+$M$62/(K32*4)&lt;0,+$M$62/(K32*4)&gt;=100),"NM",+$M$62/(K32*4)),"N/A")</f>
        <v>22.198924077830913</v>
      </c>
      <c r="M68" s="339">
        <f t="shared" si="62"/>
        <v>21.141832455077058</v>
      </c>
      <c r="N68" s="227"/>
      <c r="O68" s="339">
        <f>IFERROR(IF(OR(+R$62/(R$14*4)&lt;0,+R$62/(R$14*4)&gt;=100),"NM",+R$62/(R$14*4)),"N/A")</f>
        <v>14.66075289504243</v>
      </c>
      <c r="P68" s="339">
        <f>IFERROR(IF(OR(+R$62/(O$32*4)&lt;0,+R$62/(O$32*4)&gt;=100),"NM",+R$62/(O$32*4)),"N/A")</f>
        <v>12.974117606232239</v>
      </c>
      <c r="Q68" s="339">
        <f>IFERROR(IF(OR(+R$62/(P$32*4)&lt;0,+R$62/(P$32*4)&gt;=100),"NM",+R$62/(P$32*4)),"N/A")</f>
        <v>11.481520005515257</v>
      </c>
      <c r="R68" s="339">
        <f>IFERROR(IF(OR(+R$62/(Q$32*4)&lt;0,+R$62/(Q$32*4)&gt;=100),"NM",+R$62/(Q$32*4)),"N/A")</f>
        <v>10.343711716680412</v>
      </c>
      <c r="S68" s="227"/>
      <c r="T68" s="339">
        <f>IFERROR(IF(OR(+W$62/(W$14*4)&lt;0,+W$62/(W$14*4)&gt;=100),"NM",+W$62/(W$14*4)),"N/A")</f>
        <v>38.310069562801033</v>
      </c>
      <c r="U68" s="339">
        <f>IFERROR(IF(OR(+W$62/(T$32*4)&lt;0,+W$62/(T$32*4)&gt;=100),"NM",+W$62/(T$32*4)),"N/A")</f>
        <v>23.943793476750642</v>
      </c>
      <c r="V68" s="339">
        <f>IFERROR(IF(OR(+W$62/(U$32*4)&lt;0,+W$62/(U$32*4)&gt;=100),"NM",+W$62/(U$32*4)),"N/A")</f>
        <v>22.80361283500061</v>
      </c>
      <c r="W68" s="339">
        <f>IFERROR(IF(OR(+W$62/(V$32*4)&lt;0,+W$62/(V$32*4)&gt;=100),"NM",+W$62/(V$32*4)),"N/A")</f>
        <v>21.71772650952439</v>
      </c>
      <c r="X68" s="227"/>
      <c r="Y68" s="339">
        <f>IFERROR(IF(OR(+AB$62/(AB$14*4)&lt;0,+AB$62/(AB$14*4)&gt;=100),"NM",+AB$62/(AB$14*4)),"N/A")</f>
        <v>14.539933457134012</v>
      </c>
      <c r="Z68" s="339">
        <f>IFERROR(IF(OR(+AB$62/(Y$32*4)&lt;0,+AB$62/(Y$32*4)&gt;=100),"NM",+AB$62/(Y$32*4)),"N/A")</f>
        <v>14.395973719934666</v>
      </c>
      <c r="AA68" s="339">
        <f>IFERROR(IF(OR(+AB$62/(Z$32*4)&lt;0,+AB$62/(Z$32*4)&gt;=100),"NM",+AB$62/(Z$32*4)),"N/A")</f>
        <v>14.113699725426143</v>
      </c>
      <c r="AB68" s="339">
        <f>IFERROR(IF(OR(+AB$62/(AA$32*4)&lt;0,+AB$62/(AA$32*4)&gt;=100),"NM",+AB$62/(AA$32*4)),"N/A")</f>
        <v>13.836960515123669</v>
      </c>
      <c r="AC68" s="227"/>
      <c r="AD68" s="339">
        <f>IFERROR(IF(OR(+AG$62/(AG$14*4)&lt;0,+AG$62/(AG$14*4)&gt;=100),"NM",+AG$62/(AG$14*4)),"N/A")</f>
        <v>16.787955094157414</v>
      </c>
      <c r="AE68" s="339">
        <f>IFERROR(IF(OR(+AG$62/(AD$32*4)&lt;0,+AG$62/(AD$32*4)&gt;=100),"NM",+AG$62/(AD$32*4)),"N/A")</f>
        <v>15.988528661102297</v>
      </c>
      <c r="AF68" s="339">
        <f>IFERROR(IF(OR(+AG$62/(AE$32*4)&lt;0,+AG$62/(AE$32*4)&gt;=100),"NM",+AG$62/(AE$32*4)),"N/A")</f>
        <v>15.373585251059902</v>
      </c>
      <c r="AG68" s="339">
        <f>IFERROR(IF(OR(+AG$62/(AF$32*4)&lt;0,+AG$62/(AF$32*4)&gt;=100),"NM",+AG$62/(AF$32*4)),"N/A")</f>
        <v>14.782293510634521</v>
      </c>
      <c r="AH68" s="339"/>
      <c r="AI68" s="339" t="str">
        <f>IFERROR(IF(OR(+AL$62/(AL$14*4)&lt;0,+AL$62/(AL$14*4)&gt;=100),"NM",+AL$62/(AL$14*4)),"N/A")</f>
        <v>NM</v>
      </c>
      <c r="AJ68" s="339">
        <f>IFERROR(IF(OR(+AL$62/(AI$32*4)&lt;0,+AL$62/(AI$32*4)&gt;=100),"NM",+AL$62/(AI$32*4)),"N/A")</f>
        <v>10.141942523890332</v>
      </c>
      <c r="AK68" s="339">
        <f>IFERROR(IF(OR(+AL$62/(AJ$32*4)&lt;0,+AL$62/(AJ$32*4)&gt;=100),"NM",+AL$62/(AJ$32*4)),"N/A")</f>
        <v>4.3639041085611048</v>
      </c>
      <c r="AL68" s="339">
        <f>IFERROR(IF(OR(+AL$62/(AK$32*4)&lt;0,+AL$62/(AK$32*4)&gt;=100),"NM",+AL$62/(AK$32*4)),"N/A")</f>
        <v>2.984305750794888</v>
      </c>
    </row>
    <row r="69" spans="2:38" ht="16">
      <c r="B69" s="314"/>
      <c r="C69" s="227" t="s">
        <v>265</v>
      </c>
      <c r="D69" s="227"/>
      <c r="E69" s="339">
        <f>IFERROR(IF(OR(+H$61/(H9*4)&lt;0,+H$61/(H9*4)&gt;=100),"NM",+H$61/(H9*4)),"N/A")</f>
        <v>21.192835489285624</v>
      </c>
      <c r="F69" s="339">
        <f>IFERROR(IF(OR(+$H61/(E33*4)&lt;0,+$H61/(E33*4)&gt;=100),"NM",+$H61/(E33*4)),"N/A")</f>
        <v>20.183652846938688</v>
      </c>
      <c r="G69" s="339">
        <f t="shared" ref="G69:H69" si="63">IFERROR(IF(OR(+$H61/(F33*4)&lt;0,+$H61/(F33*4)&gt;=100),"NM",+$H61/(F33*4)),"N/A")</f>
        <v>19.222526520893989</v>
      </c>
      <c r="H69" s="339">
        <f t="shared" si="63"/>
        <v>18.307168115137134</v>
      </c>
      <c r="I69" s="227"/>
      <c r="J69" s="339">
        <f>IFERROR(IF(OR(+M$61/(M9*4)&lt;0,+M$61/(M9*4)&gt;=100),"NM",+M$61/(M9*4)),"N/A")</f>
        <v>32.018102865398504</v>
      </c>
      <c r="K69" s="339">
        <f>IFERROR(IF(OR(+$M61/(J33*4)&lt;0,+$M61/(J33*4)&gt;=100),"NM",+$M61/(J33*4)),"N/A")</f>
        <v>29.923460621867761</v>
      </c>
      <c r="L69" s="339">
        <f t="shared" ref="L69:M69" si="64">IFERROR(IF(OR(+$M61/(K33*4)&lt;0,+$M61/(K33*4)&gt;=100),"NM",+$M61/(K33*4)),"N/A")</f>
        <v>27.965851048474541</v>
      </c>
      <c r="M69" s="339">
        <f t="shared" si="64"/>
        <v>26.136309391097697</v>
      </c>
      <c r="N69" s="227"/>
      <c r="O69" s="339">
        <f>IFERROR(IF(OR(+R$61/(R$9*4)&lt;0,+R$61/(R$9*4)&gt;=100),"NM",+R$61/(R$9*4)),"N/A")</f>
        <v>23.021679551007505</v>
      </c>
      <c r="P69" s="339">
        <f>IFERROR(IF(OR(+R$61/(O$33*4)&lt;0,+R$61/(O$33*4)&gt;=100),"NM",+R$61/(O$33*4)),"N/A")</f>
        <v>19.509897924582628</v>
      </c>
      <c r="Q69" s="339">
        <f>IFERROR(IF(OR(+R$61/(P$33*4)&lt;0,+R$61/(P$33*4)&gt;=100),"NM",+R$61/(P$33*4)),"N/A")</f>
        <v>16.965128630071852</v>
      </c>
      <c r="R69" s="339">
        <f>IFERROR(IF(OR(+R$61/(Q$33*4)&lt;0,+R$61/(Q$33*4)&gt;=100),"NM",+R$61/(Q$33*4)),"N/A")</f>
        <v>16.949941927762609</v>
      </c>
      <c r="S69" s="227"/>
      <c r="T69" s="339" t="str">
        <f>IFERROR(IF(OR(+W$61/(W$9*4)&lt;0,+W$61/(W$9*4)&gt;=100),"NM",+W$61/(W$9*4)),"N/A")</f>
        <v>NM</v>
      </c>
      <c r="U69" s="339">
        <f>IFERROR(IF(OR(+W$61/(T$33*4)&lt;0,+W$61/(T$33*4)&gt;=100),"NM",+W$61/(T$33*4)),"N/A")</f>
        <v>47.593241891858355</v>
      </c>
      <c r="V69" s="339">
        <f>IFERROR(IF(OR(+W$61/(U$33*4)&lt;0,+W$61/(U$33*4)&gt;=100),"NM",+W$61/(U$33*4)),"N/A")</f>
        <v>45.326897039865102</v>
      </c>
      <c r="W69" s="339">
        <f>IFERROR(IF(OR(+W$61/(V$33*4)&lt;0,+W$61/(V$33*4)&gt;=100),"NM",+W$61/(V$33*4)),"N/A")</f>
        <v>43.168473371300088</v>
      </c>
      <c r="X69" s="227"/>
      <c r="Y69" s="339">
        <f>IFERROR(IF(OR(+AB$61/(AB14*4)&lt;0,+AB$61/(AB14*4)&gt;=100),"NM",+AB$61/(AB14*4)),"N/A")</f>
        <v>14.436714639430516</v>
      </c>
      <c r="Z69" s="339">
        <f>IFERROR(IF(OR(+AB$61/(Y$33*4)&lt;0,+AB$61/(Y$33*4)&gt;=100),"NM",+AB$61/(Y$33*4)),"N/A")</f>
        <v>15.50905206809416</v>
      </c>
      <c r="AA69" s="339">
        <f>IFERROR(IF(OR(+AB$61/(Z$33*4)&lt;0,+AB$61/(Z$33*4)&gt;=100),"NM",+AB$61/(Z$33*4)),"N/A")</f>
        <v>15.204953007935451</v>
      </c>
      <c r="AB69" s="339">
        <f>IFERROR(IF(OR(+AB$61/(AA$33*4)&lt;0,+AB$61/(AA$33*4)&gt;=100),"NM",+AB$61/(AA$33*4)),"N/A")</f>
        <v>14.620147123014855</v>
      </c>
      <c r="AC69" s="227"/>
      <c r="AD69" s="339">
        <f>IFERROR(IF(OR(+AG$61/(AG$9*4)&lt;0,+AG$61/(AG$9*4)&gt;=100),"NM",+AG$61/(AG$9*4)),"N/A")</f>
        <v>20.90170710571924</v>
      </c>
      <c r="AE69" s="339">
        <f>IFERROR(IF(OR(+AG$61/(AD$33*4)&lt;0,+AG$61/(AD$33*4)&gt;=100),"NM",+AG$61/(AD$33*4)),"N/A")</f>
        <v>20.097795293960807</v>
      </c>
      <c r="AF69" s="339">
        <f>IFERROR(IF(OR(+AG$61/(AE$33*4)&lt;0,+AG$61/(AE$33*4)&gt;=100),"NM",+AG$61/(AE$33*4)),"N/A")</f>
        <v>19.324803167270005</v>
      </c>
      <c r="AG69" s="339">
        <f>IFERROR(IF(OR(+AG$61/(AF$33*4)&lt;0,+AG$61/(AF$33*4)&gt;=100),"NM",+AG$61/(AF$33*4)),"N/A")</f>
        <v>18.404574445019055</v>
      </c>
      <c r="AH69" s="339"/>
      <c r="AI69" s="339">
        <f>IFERROR(IF(OR(+AL$61/(AL$9*4)&lt;0,+AL$61/(AL$9*4)&gt;=100),"NM",+AL$61/(AL$9*4)),"N/A")</f>
        <v>22.794303789529348</v>
      </c>
      <c r="AJ69" s="339">
        <f>IFERROR(IF(OR(+AL$61/(AI$33*4)&lt;0,+AL$61/(AI$33*4)&gt;=100),"NM",+AL$61/(AI$33*4)),"N/A")</f>
        <v>22.794303789529348</v>
      </c>
      <c r="AK69" s="339">
        <f>IFERROR(IF(OR(+AL$61/(AJ$33*4)&lt;0,+AL$61/(AJ$33*4)&gt;=100),"NM",+AL$61/(AJ$33*4)),"N/A")</f>
        <v>10.319390120197058</v>
      </c>
      <c r="AL69" s="339">
        <f>IFERROR(IF(OR(+AL$61/(AK$33*4)&lt;0,+AL$61/(AK$33*4)&gt;=100),"NM",+AL$61/(AK$33*4)),"N/A")</f>
        <v>7.2190484899548517</v>
      </c>
    </row>
    <row r="70" spans="2:38" ht="16">
      <c r="B70" s="314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</row>
    <row r="71" spans="2:38" ht="16">
      <c r="B71" s="314"/>
      <c r="C71" s="227"/>
      <c r="D71" s="227"/>
      <c r="E71" s="302" t="s">
        <v>266</v>
      </c>
      <c r="F71" s="310"/>
      <c r="G71" s="310"/>
      <c r="H71" s="310"/>
      <c r="I71" s="227"/>
      <c r="J71" s="302" t="s">
        <v>266</v>
      </c>
      <c r="K71" s="310"/>
      <c r="L71" s="310"/>
      <c r="M71" s="310"/>
      <c r="N71" s="227"/>
      <c r="O71" s="302" t="s">
        <v>266</v>
      </c>
      <c r="P71" s="310"/>
      <c r="Q71" s="310"/>
      <c r="R71" s="310"/>
      <c r="S71" s="227"/>
      <c r="T71" s="302" t="s">
        <v>266</v>
      </c>
      <c r="U71" s="310"/>
      <c r="V71" s="310"/>
      <c r="W71" s="310"/>
      <c r="X71" s="227"/>
      <c r="Y71" s="302" t="s">
        <v>266</v>
      </c>
      <c r="Z71" s="310"/>
      <c r="AA71" s="310"/>
      <c r="AB71" s="310"/>
      <c r="AC71" s="227"/>
      <c r="AD71" s="302" t="s">
        <v>266</v>
      </c>
      <c r="AE71" s="310"/>
      <c r="AF71" s="310"/>
      <c r="AG71" s="310"/>
      <c r="AH71" s="316"/>
      <c r="AI71" s="302" t="s">
        <v>266</v>
      </c>
      <c r="AJ71" s="310"/>
      <c r="AK71" s="310"/>
      <c r="AL71" s="310"/>
    </row>
    <row r="72" spans="2:38" ht="16">
      <c r="B72" s="314"/>
      <c r="C72" s="227"/>
      <c r="D72" s="227"/>
      <c r="E72" s="340"/>
      <c r="F72" s="340"/>
      <c r="G72" s="340"/>
      <c r="H72" s="340"/>
      <c r="I72" s="227"/>
      <c r="J72" s="340"/>
      <c r="K72" s="340"/>
      <c r="L72" s="340"/>
      <c r="M72" s="340"/>
      <c r="N72" s="227"/>
      <c r="O72" s="340"/>
      <c r="P72" s="340"/>
      <c r="Q72" s="340"/>
      <c r="R72" s="340"/>
      <c r="S72" s="227"/>
      <c r="T72" s="340"/>
      <c r="U72" s="340"/>
      <c r="V72" s="340"/>
      <c r="W72" s="340"/>
      <c r="X72" s="227"/>
      <c r="Y72" s="340"/>
      <c r="Z72" s="340"/>
      <c r="AA72" s="340"/>
      <c r="AB72" s="340"/>
      <c r="AC72" s="227"/>
      <c r="AD72" s="340"/>
      <c r="AE72" s="340"/>
      <c r="AF72" s="340"/>
      <c r="AG72" s="340"/>
      <c r="AH72" s="227"/>
      <c r="AI72" s="340"/>
      <c r="AJ72" s="340"/>
      <c r="AK72" s="340"/>
      <c r="AL72" s="340"/>
    </row>
    <row r="73" spans="2:38" ht="16">
      <c r="B73" s="314"/>
      <c r="C73" s="227" t="str">
        <f>TEXT(_xlfn.SINGLE(Forward_Quart_1),"yyyy-mm-dd")&amp;" "&amp;C31</f>
        <v>2024-12-31 Revenue:</v>
      </c>
      <c r="D73" s="227"/>
      <c r="E73" s="340"/>
      <c r="F73" s="340"/>
      <c r="G73" s="340"/>
      <c r="H73" s="341">
        <f>+E31</f>
        <v>4334.6950399999996</v>
      </c>
      <c r="I73" s="227"/>
      <c r="J73" s="340"/>
      <c r="K73" s="340"/>
      <c r="L73" s="340"/>
      <c r="M73" s="341">
        <f>+J31</f>
        <v>7765.9920000000002</v>
      </c>
      <c r="N73" s="227"/>
      <c r="O73" s="340"/>
      <c r="P73" s="340"/>
      <c r="Q73" s="340"/>
      <c r="R73" s="341">
        <f>+O31</f>
        <v>2983.6180500000005</v>
      </c>
      <c r="S73" s="227"/>
      <c r="T73" s="340"/>
      <c r="U73" s="340"/>
      <c r="V73" s="340"/>
      <c r="W73" s="341">
        <f>+T31</f>
        <v>18300.8</v>
      </c>
      <c r="X73" s="227"/>
      <c r="Y73" s="340"/>
      <c r="Z73" s="340"/>
      <c r="AA73" s="340"/>
      <c r="AB73" s="341">
        <f>+Y31</f>
        <v>10346.44</v>
      </c>
      <c r="AC73" s="227"/>
      <c r="AD73" s="340"/>
      <c r="AE73" s="340"/>
      <c r="AF73" s="340"/>
      <c r="AG73" s="341">
        <f>+AD31</f>
        <v>7185.9000000000005</v>
      </c>
      <c r="AH73" s="341"/>
      <c r="AI73" s="340"/>
      <c r="AJ73" s="340"/>
      <c r="AK73" s="340"/>
      <c r="AL73" s="341">
        <f>+AI31</f>
        <v>176.952</v>
      </c>
    </row>
    <row r="74" spans="2:38" ht="16">
      <c r="B74" s="314"/>
      <c r="C74" s="227" t="str">
        <f>TEXT(_xlfn.SINGLE(Forward_Quart_1),"yyyy-mm-dd")&amp;" "&amp;C32</f>
        <v>2024-12-31 EBITDA:</v>
      </c>
      <c r="D74" s="227"/>
      <c r="E74" s="340"/>
      <c r="F74" s="340"/>
      <c r="G74" s="340"/>
      <c r="H74" s="342">
        <f>+E32</f>
        <v>1513.31565</v>
      </c>
      <c r="I74" s="227"/>
      <c r="J74" s="340"/>
      <c r="K74" s="340"/>
      <c r="L74" s="340"/>
      <c r="M74" s="342">
        <f>+J32</f>
        <v>2810.7449999999999</v>
      </c>
      <c r="N74" s="227"/>
      <c r="O74" s="340"/>
      <c r="P74" s="340"/>
      <c r="Q74" s="340"/>
      <c r="R74" s="342">
        <f>+O32</f>
        <v>1719.4678899999999</v>
      </c>
      <c r="S74" s="227"/>
      <c r="T74" s="340"/>
      <c r="U74" s="340"/>
      <c r="V74" s="340"/>
      <c r="W74" s="342">
        <f>+T32</f>
        <v>8636.8000000000011</v>
      </c>
      <c r="X74" s="227"/>
      <c r="Y74" s="340"/>
      <c r="Z74" s="340"/>
      <c r="AA74" s="340"/>
      <c r="AB74" s="342">
        <f>+Y32</f>
        <v>3263.31</v>
      </c>
      <c r="AC74" s="227"/>
      <c r="AD74" s="340"/>
      <c r="AE74" s="340"/>
      <c r="AF74" s="340"/>
      <c r="AG74" s="342">
        <f>+AD32</f>
        <v>2174.5500000000002</v>
      </c>
      <c r="AH74" s="342"/>
      <c r="AI74" s="340"/>
      <c r="AJ74" s="340"/>
      <c r="AK74" s="340"/>
      <c r="AL74" s="342">
        <f>+AI32</f>
        <v>74.055751472736475</v>
      </c>
    </row>
    <row r="75" spans="2:38" ht="16">
      <c r="B75" s="314"/>
      <c r="C75" s="227" t="str">
        <f>TEXT(_xlfn.SINGLE(Forward_Quart_1),"yyyy-mm-dd")&amp;" "&amp;C33</f>
        <v>2024-12-31 Reported Net Income:</v>
      </c>
      <c r="D75" s="227"/>
      <c r="E75" s="340"/>
      <c r="F75" s="340"/>
      <c r="G75" s="340"/>
      <c r="H75" s="342">
        <f>+E33</f>
        <v>1172.2662</v>
      </c>
      <c r="I75" s="227"/>
      <c r="J75" s="340"/>
      <c r="K75" s="340"/>
      <c r="L75" s="340"/>
      <c r="M75" s="342">
        <f>+J33</f>
        <v>2221.855</v>
      </c>
      <c r="N75" s="227"/>
      <c r="O75" s="340"/>
      <c r="P75" s="340"/>
      <c r="Q75" s="340"/>
      <c r="R75" s="342">
        <f>+O33</f>
        <v>1116.10418</v>
      </c>
      <c r="S75" s="227"/>
      <c r="T75" s="340"/>
      <c r="U75" s="340"/>
      <c r="V75" s="340"/>
      <c r="W75" s="342">
        <f>+T33</f>
        <v>4029.8999999999996</v>
      </c>
      <c r="X75" s="227"/>
      <c r="Y75" s="340"/>
      <c r="Z75" s="340"/>
      <c r="AA75" s="340"/>
      <c r="AB75" s="342">
        <f>+Y33</f>
        <v>3007.6</v>
      </c>
      <c r="AC75" s="227"/>
      <c r="AD75" s="340"/>
      <c r="AE75" s="340"/>
      <c r="AF75" s="340"/>
      <c r="AG75" s="342">
        <f>+AD33</f>
        <v>1800.24</v>
      </c>
      <c r="AH75" s="342"/>
      <c r="AI75" s="340"/>
      <c r="AJ75" s="340"/>
      <c r="AK75" s="340"/>
      <c r="AL75" s="342">
        <f>+AI33</f>
        <v>59.107713376132871</v>
      </c>
    </row>
    <row r="76" spans="2:38" ht="16">
      <c r="B76" s="314"/>
      <c r="C76" s="227"/>
      <c r="D76" s="227"/>
      <c r="E76" s="340"/>
      <c r="F76" s="340"/>
      <c r="G76" s="340"/>
      <c r="H76" s="340"/>
      <c r="I76" s="227"/>
      <c r="J76" s="340"/>
      <c r="K76" s="340"/>
      <c r="L76" s="340"/>
      <c r="M76" s="340"/>
      <c r="N76" s="227"/>
      <c r="O76" s="340"/>
      <c r="P76" s="340"/>
      <c r="Q76" s="340"/>
      <c r="R76" s="340"/>
      <c r="S76" s="227"/>
      <c r="T76" s="340"/>
      <c r="U76" s="340"/>
      <c r="V76" s="340"/>
      <c r="W76" s="340"/>
      <c r="X76" s="227"/>
      <c r="Y76" s="340"/>
      <c r="Z76" s="340"/>
      <c r="AA76" s="340"/>
      <c r="AB76" s="340"/>
      <c r="AC76" s="227"/>
      <c r="AD76" s="340"/>
      <c r="AE76" s="340"/>
      <c r="AF76" s="340"/>
      <c r="AG76" s="340"/>
      <c r="AH76" s="227"/>
      <c r="AI76" s="340"/>
      <c r="AJ76" s="340"/>
      <c r="AK76" s="340"/>
      <c r="AL76" s="340"/>
    </row>
    <row r="77" spans="2:38" ht="16">
      <c r="B77" s="314"/>
      <c r="C77" s="227" t="str">
        <f>TEXT(_xlfn.SINGLE(Forward_Quart_2),"yyyy-mm-dd")&amp;" "&amp;C31</f>
        <v>2025-03-31 Revenue:</v>
      </c>
      <c r="D77" s="227"/>
      <c r="E77" s="340"/>
      <c r="F77" s="340"/>
      <c r="G77" s="340"/>
      <c r="H77" s="343">
        <f>+F31</f>
        <v>4508.0828415999995</v>
      </c>
      <c r="I77" s="227"/>
      <c r="J77" s="340"/>
      <c r="K77" s="340"/>
      <c r="L77" s="340"/>
      <c r="M77" s="343">
        <f>+K31</f>
        <v>8076.6316800000004</v>
      </c>
      <c r="N77" s="227"/>
      <c r="O77" s="340"/>
      <c r="P77" s="340"/>
      <c r="Q77" s="340"/>
      <c r="R77" s="343">
        <f>+P31</f>
        <v>3132.7989525000007</v>
      </c>
      <c r="S77" s="227"/>
      <c r="T77" s="340"/>
      <c r="U77" s="340"/>
      <c r="V77" s="340"/>
      <c r="W77" s="343">
        <f>+U31</f>
        <v>19215.84</v>
      </c>
      <c r="X77" s="227"/>
      <c r="Y77" s="340"/>
      <c r="Z77" s="340"/>
      <c r="AA77" s="340"/>
      <c r="AB77" s="343">
        <f>+Z31</f>
        <v>10449.904400000001</v>
      </c>
      <c r="AC77" s="227"/>
      <c r="AD77" s="340"/>
      <c r="AE77" s="340"/>
      <c r="AF77" s="340"/>
      <c r="AG77" s="343">
        <f>+AE31</f>
        <v>7545.1950000000006</v>
      </c>
      <c r="AH77" s="343"/>
      <c r="AI77" s="340"/>
      <c r="AJ77" s="340"/>
      <c r="AK77" s="340"/>
      <c r="AL77" s="343">
        <f>+AJ31</f>
        <v>242.214</v>
      </c>
    </row>
    <row r="78" spans="2:38" ht="16">
      <c r="B78" s="314"/>
      <c r="C78" s="227" t="str">
        <f>TEXT(_xlfn.SINGLE(Forward_Quart_2),"yyyy-mm-dd")&amp;" "&amp;C32</f>
        <v>2025-03-31 EBITDA:</v>
      </c>
      <c r="D78" s="227"/>
      <c r="E78" s="340"/>
      <c r="F78" s="340"/>
      <c r="G78" s="340"/>
      <c r="H78" s="342">
        <f>+F32</f>
        <v>1588.9814325</v>
      </c>
      <c r="I78" s="227"/>
      <c r="J78" s="340"/>
      <c r="K78" s="340"/>
      <c r="L78" s="340"/>
      <c r="M78" s="342">
        <f>+K32</f>
        <v>2951.2822500000002</v>
      </c>
      <c r="N78" s="227"/>
      <c r="O78" s="340"/>
      <c r="P78" s="340"/>
      <c r="Q78" s="340"/>
      <c r="R78" s="342">
        <f>+P32</f>
        <v>1942.9987156999996</v>
      </c>
      <c r="S78" s="227"/>
      <c r="T78" s="340"/>
      <c r="U78" s="340"/>
      <c r="V78" s="340"/>
      <c r="W78" s="342">
        <f>+U32</f>
        <v>9068.6400000000012</v>
      </c>
      <c r="X78" s="227"/>
      <c r="Y78" s="340"/>
      <c r="Z78" s="340"/>
      <c r="AA78" s="340"/>
      <c r="AB78" s="342">
        <f>+Z32</f>
        <v>3328.5762</v>
      </c>
      <c r="AC78" s="227"/>
      <c r="AD78" s="340"/>
      <c r="AE78" s="340"/>
      <c r="AF78" s="340"/>
      <c r="AG78" s="342">
        <f>+AE32</f>
        <v>2261.5320000000002</v>
      </c>
      <c r="AH78" s="342"/>
      <c r="AI78" s="340"/>
      <c r="AJ78" s="340"/>
      <c r="AK78" s="340"/>
      <c r="AL78" s="342">
        <f>+AJ32</f>
        <v>172.10945894217818</v>
      </c>
    </row>
    <row r="79" spans="2:38" ht="16">
      <c r="B79" s="314"/>
      <c r="C79" s="227" t="str">
        <f>TEXT(_xlfn.SINGLE(Forward_Quart_2),"yyyy-mm-dd")&amp;" "&amp;C33</f>
        <v>2025-03-31 Reported Net Income:</v>
      </c>
      <c r="D79" s="227"/>
      <c r="E79" s="340"/>
      <c r="F79" s="340"/>
      <c r="G79" s="340"/>
      <c r="H79" s="342">
        <f>+F33</f>
        <v>1230.87951</v>
      </c>
      <c r="I79" s="227"/>
      <c r="J79" s="340"/>
      <c r="K79" s="340"/>
      <c r="L79" s="340"/>
      <c r="M79" s="342">
        <f>+K33</f>
        <v>2377.3848500000004</v>
      </c>
      <c r="N79" s="227"/>
      <c r="O79" s="340"/>
      <c r="P79" s="340"/>
      <c r="Q79" s="340"/>
      <c r="R79" s="342">
        <f>+P33</f>
        <v>1283.5198069999999</v>
      </c>
      <c r="S79" s="227"/>
      <c r="T79" s="340"/>
      <c r="U79" s="340"/>
      <c r="V79" s="340"/>
      <c r="W79" s="342">
        <f>+U33</f>
        <v>4231.3949999999995</v>
      </c>
      <c r="X79" s="227"/>
      <c r="Y79" s="340"/>
      <c r="Z79" s="340"/>
      <c r="AA79" s="340"/>
      <c r="AB79" s="342">
        <f>+Z33</f>
        <v>3067.752</v>
      </c>
      <c r="AC79" s="227"/>
      <c r="AD79" s="340"/>
      <c r="AE79" s="340"/>
      <c r="AF79" s="340"/>
      <c r="AG79" s="342">
        <f>+AE33</f>
        <v>1872.2496000000001</v>
      </c>
      <c r="AH79" s="342"/>
      <c r="AI79" s="340"/>
      <c r="AJ79" s="340"/>
      <c r="AK79" s="340"/>
      <c r="AL79" s="342">
        <f>+AJ33</f>
        <v>130.56189942495089</v>
      </c>
    </row>
    <row r="80" spans="2:38" ht="16">
      <c r="B80" s="314"/>
      <c r="C80" s="227"/>
      <c r="D80" s="227"/>
      <c r="E80" s="340"/>
      <c r="F80" s="340"/>
      <c r="G80" s="340"/>
      <c r="H80" s="340"/>
      <c r="I80" s="227"/>
      <c r="J80" s="340"/>
      <c r="K80" s="340"/>
      <c r="L80" s="340"/>
      <c r="M80" s="340"/>
      <c r="N80" s="227"/>
      <c r="O80" s="340"/>
      <c r="P80" s="340"/>
      <c r="Q80" s="340"/>
      <c r="R80" s="340"/>
      <c r="S80" s="227"/>
      <c r="T80" s="340"/>
      <c r="U80" s="340"/>
      <c r="V80" s="340"/>
      <c r="W80" s="340"/>
      <c r="X80" s="227"/>
      <c r="Y80" s="340"/>
      <c r="Z80" s="340"/>
      <c r="AA80" s="340"/>
      <c r="AB80" s="340"/>
      <c r="AC80" s="227"/>
      <c r="AD80" s="340"/>
      <c r="AE80" s="340"/>
      <c r="AF80" s="340"/>
      <c r="AG80" s="340"/>
      <c r="AH80" s="227"/>
      <c r="AI80" s="340"/>
      <c r="AJ80" s="340"/>
      <c r="AK80" s="340"/>
      <c r="AL80" s="340"/>
    </row>
    <row r="81" spans="2:38" ht="16">
      <c r="B81" s="314"/>
      <c r="C81" s="227" t="str">
        <f>TEXT(_xlfn.SINGLE(Forward_Quart_3),"yyyy-mm-dd")&amp;" "&amp;C31</f>
        <v>2025-06-30 Revenue:</v>
      </c>
      <c r="D81" s="227"/>
      <c r="E81" s="340"/>
      <c r="F81" s="340"/>
      <c r="G81" s="340"/>
      <c r="H81" s="342">
        <f>+G31</f>
        <v>4688.4061552639996</v>
      </c>
      <c r="I81" s="227"/>
      <c r="J81" s="340"/>
      <c r="K81" s="340"/>
      <c r="L81" s="340"/>
      <c r="M81" s="342">
        <f>+L31</f>
        <v>8399.6969472000001</v>
      </c>
      <c r="N81" s="227"/>
      <c r="O81" s="340"/>
      <c r="P81" s="340"/>
      <c r="Q81" s="340"/>
      <c r="R81" s="342">
        <f>+Q31</f>
        <v>3289.4389001250011</v>
      </c>
      <c r="S81" s="227"/>
      <c r="T81" s="340"/>
      <c r="U81" s="340"/>
      <c r="V81" s="340"/>
      <c r="W81" s="342">
        <f>+V31</f>
        <v>20560.948800000002</v>
      </c>
      <c r="X81" s="227"/>
      <c r="Y81" s="340"/>
      <c r="Z81" s="340"/>
      <c r="AA81" s="340"/>
      <c r="AB81" s="342">
        <f>+AA31</f>
        <v>10554.403444000001</v>
      </c>
      <c r="AC81" s="227"/>
      <c r="AD81" s="340"/>
      <c r="AE81" s="340"/>
      <c r="AF81" s="340"/>
      <c r="AG81" s="342">
        <f>+AF31</f>
        <v>7922.4547500000008</v>
      </c>
      <c r="AH81" s="342"/>
      <c r="AI81" s="340"/>
      <c r="AJ81" s="340"/>
      <c r="AK81" s="340"/>
      <c r="AL81" s="342">
        <f>+AK31</f>
        <v>287.32799999999997</v>
      </c>
    </row>
    <row r="82" spans="2:38" ht="16">
      <c r="B82" s="314"/>
      <c r="C82" s="227" t="str">
        <f>TEXT(_xlfn.SINGLE(Forward_Quart_3),"yyyy-mm-dd")&amp;" "&amp;C32</f>
        <v>2025-06-30 EBITDA:</v>
      </c>
      <c r="D82" s="227"/>
      <c r="E82" s="340"/>
      <c r="F82" s="340"/>
      <c r="G82" s="340"/>
      <c r="H82" s="342">
        <f>+G32</f>
        <v>1668.430504125</v>
      </c>
      <c r="I82" s="227"/>
      <c r="J82" s="340"/>
      <c r="K82" s="340"/>
      <c r="L82" s="340"/>
      <c r="M82" s="342">
        <f>+L32</f>
        <v>3098.8463625000004</v>
      </c>
      <c r="N82" s="227"/>
      <c r="O82" s="340"/>
      <c r="P82" s="340"/>
      <c r="Q82" s="340"/>
      <c r="R82" s="342">
        <f>+Q32</f>
        <v>2156.7285744269998</v>
      </c>
      <c r="S82" s="227"/>
      <c r="T82" s="340"/>
      <c r="U82" s="340"/>
      <c r="V82" s="340"/>
      <c r="W82" s="342">
        <f>+V32</f>
        <v>9522.0720000000019</v>
      </c>
      <c r="X82" s="227"/>
      <c r="Y82" s="340"/>
      <c r="Z82" s="340"/>
      <c r="AA82" s="340"/>
      <c r="AB82" s="342">
        <f>+AA32</f>
        <v>3395.1477239999999</v>
      </c>
      <c r="AC82" s="227"/>
      <c r="AD82" s="340"/>
      <c r="AE82" s="340"/>
      <c r="AF82" s="340"/>
      <c r="AG82" s="342">
        <f>+AF32</f>
        <v>2351.9932800000001</v>
      </c>
      <c r="AH82" s="342"/>
      <c r="AI82" s="340"/>
      <c r="AJ82" s="340"/>
      <c r="AK82" s="340"/>
      <c r="AL82" s="342">
        <f>+AK32</f>
        <v>251.6729979158296</v>
      </c>
    </row>
    <row r="83" spans="2:38" ht="16">
      <c r="B83" s="314"/>
      <c r="C83" s="227" t="str">
        <f>TEXT(_xlfn.SINGLE(Forward_Quart_3),"yyyy-mm-dd")&amp;" "&amp;C33</f>
        <v>2025-06-30 Reported Net Income:</v>
      </c>
      <c r="D83" s="227"/>
      <c r="E83" s="340"/>
      <c r="F83" s="340"/>
      <c r="G83" s="340"/>
      <c r="H83" s="342">
        <f>+G33</f>
        <v>1292.4234855</v>
      </c>
      <c r="I83" s="227"/>
      <c r="J83" s="340"/>
      <c r="K83" s="340"/>
      <c r="L83" s="340"/>
      <c r="M83" s="342">
        <f>+L33</f>
        <v>2543.8017895000007</v>
      </c>
      <c r="N83" s="227"/>
      <c r="O83" s="340"/>
      <c r="P83" s="340"/>
      <c r="Q83" s="340"/>
      <c r="R83" s="342">
        <f>+Q33</f>
        <v>1284.669807</v>
      </c>
      <c r="S83" s="227"/>
      <c r="T83" s="340"/>
      <c r="U83" s="340"/>
      <c r="V83" s="340"/>
      <c r="W83" s="342">
        <f>+V33</f>
        <v>4442.9647500000001</v>
      </c>
      <c r="X83" s="227"/>
      <c r="Y83" s="340"/>
      <c r="Z83" s="340"/>
      <c r="AA83" s="340"/>
      <c r="AB83" s="342">
        <f>+AA33</f>
        <v>3190.4620800000002</v>
      </c>
      <c r="AC83" s="227"/>
      <c r="AD83" s="340"/>
      <c r="AE83" s="340"/>
      <c r="AF83" s="340"/>
      <c r="AG83" s="342">
        <f>+AF33</f>
        <v>1965.8620800000001</v>
      </c>
      <c r="AH83" s="342"/>
      <c r="AI83" s="340"/>
      <c r="AJ83" s="340"/>
      <c r="AK83" s="340"/>
      <c r="AL83" s="342">
        <f>+AK33</f>
        <v>186.63390014276331</v>
      </c>
    </row>
    <row r="84" spans="2:38" ht="16">
      <c r="B84" s="314"/>
      <c r="C84" s="227"/>
      <c r="D84" s="227"/>
      <c r="E84" s="340"/>
      <c r="F84" s="340"/>
      <c r="G84" s="340"/>
      <c r="H84" s="340"/>
      <c r="I84" s="227"/>
      <c r="J84" s="340"/>
      <c r="K84" s="340"/>
      <c r="L84" s="340"/>
      <c r="M84" s="340"/>
      <c r="N84" s="227"/>
      <c r="O84" s="340"/>
      <c r="P84" s="340"/>
      <c r="Q84" s="340"/>
      <c r="R84" s="340"/>
      <c r="S84" s="227"/>
      <c r="T84" s="340"/>
      <c r="U84" s="340"/>
      <c r="V84" s="340"/>
      <c r="W84" s="340"/>
      <c r="X84" s="227"/>
      <c r="Y84" s="340"/>
      <c r="Z84" s="340"/>
      <c r="AA84" s="340"/>
      <c r="AB84" s="340"/>
      <c r="AC84" s="227"/>
      <c r="AD84" s="340"/>
      <c r="AE84" s="340"/>
      <c r="AF84" s="340"/>
      <c r="AG84" s="340"/>
      <c r="AH84" s="227"/>
      <c r="AI84" s="340"/>
      <c r="AJ84" s="340"/>
      <c r="AK84" s="340"/>
      <c r="AL84" s="340"/>
    </row>
    <row r="85" spans="2:38" ht="16">
      <c r="B85" s="314"/>
      <c r="C85" s="227" t="s">
        <v>304</v>
      </c>
      <c r="D85" s="227"/>
      <c r="E85" s="340"/>
      <c r="F85" s="340"/>
      <c r="G85" s="340"/>
      <c r="H85" s="344">
        <f>IFERROR(+H77/H73-1,"N/A")</f>
        <v>4.0000000000000036E-2</v>
      </c>
      <c r="I85" s="227"/>
      <c r="J85" s="340"/>
      <c r="K85" s="340"/>
      <c r="L85" s="340"/>
      <c r="M85" s="344">
        <f>IFERROR(+M77/M73-1,"N/A")</f>
        <v>4.0000000000000036E-2</v>
      </c>
      <c r="N85" s="227"/>
      <c r="O85" s="340"/>
      <c r="P85" s="340"/>
      <c r="Q85" s="340"/>
      <c r="R85" s="344">
        <f>IFERROR(+R77/R73-1,"N/A")</f>
        <v>5.0000000000000044E-2</v>
      </c>
      <c r="S85" s="227"/>
      <c r="T85" s="340"/>
      <c r="U85" s="340"/>
      <c r="V85" s="340"/>
      <c r="W85" s="344">
        <f>IFERROR(+W77/W73-1,"N/A")</f>
        <v>5.0000000000000044E-2</v>
      </c>
      <c r="X85" s="227"/>
      <c r="Y85" s="340"/>
      <c r="Z85" s="340"/>
      <c r="AA85" s="340"/>
      <c r="AB85" s="344">
        <f>IFERROR(+AB77/AB73-1,"N/A")</f>
        <v>1.0000000000000009E-2</v>
      </c>
      <c r="AC85" s="227"/>
      <c r="AD85" s="340"/>
      <c r="AE85" s="340"/>
      <c r="AF85" s="340"/>
      <c r="AG85" s="344">
        <f>IFERROR(+AG77/AG73-1,"N/A")</f>
        <v>5.0000000000000044E-2</v>
      </c>
      <c r="AH85" s="344"/>
      <c r="AI85" s="340"/>
      <c r="AJ85" s="340"/>
      <c r="AK85" s="340"/>
      <c r="AL85" s="344">
        <f>IFERROR(+AL77/AL73-1,"N/A")</f>
        <v>0.36881188118811892</v>
      </c>
    </row>
    <row r="86" spans="2:38" ht="16">
      <c r="B86" s="314"/>
      <c r="C86" s="227" t="s">
        <v>305</v>
      </c>
      <c r="D86" s="227"/>
      <c r="E86" s="340"/>
      <c r="F86" s="340"/>
      <c r="G86" s="340"/>
      <c r="H86" s="344">
        <f>IFERROR(+H78/H74-1,"N/A")</f>
        <v>5.0000000000000044E-2</v>
      </c>
      <c r="I86" s="227"/>
      <c r="J86" s="340"/>
      <c r="K86" s="340"/>
      <c r="L86" s="340"/>
      <c r="M86" s="344">
        <f>IFERROR(+M78/M74-1,"N/A")</f>
        <v>5.0000000000000044E-2</v>
      </c>
      <c r="N86" s="227"/>
      <c r="O86" s="340"/>
      <c r="P86" s="340"/>
      <c r="Q86" s="340"/>
      <c r="R86" s="344">
        <f>IFERROR(+R78/R74-1,"N/A")</f>
        <v>0.12999999999999989</v>
      </c>
      <c r="S86" s="227"/>
      <c r="T86" s="340"/>
      <c r="U86" s="340"/>
      <c r="V86" s="340"/>
      <c r="W86" s="344">
        <f>IFERROR(+W78/W74-1,"N/A")</f>
        <v>5.0000000000000044E-2</v>
      </c>
      <c r="X86" s="227"/>
      <c r="Y86" s="340"/>
      <c r="Z86" s="340"/>
      <c r="AA86" s="340"/>
      <c r="AB86" s="344">
        <f>IFERROR(+AB78/AB74-1,"N/A")</f>
        <v>2.0000000000000018E-2</v>
      </c>
      <c r="AC86" s="227"/>
      <c r="AD86" s="340"/>
      <c r="AE86" s="340"/>
      <c r="AF86" s="340"/>
      <c r="AG86" s="344">
        <f>IFERROR(+AG78/AG74-1,"N/A")</f>
        <v>4.0000000000000036E-2</v>
      </c>
      <c r="AH86" s="344"/>
      <c r="AI86" s="340"/>
      <c r="AJ86" s="340"/>
      <c r="AK86" s="340"/>
      <c r="AL86" s="344">
        <f>IFERROR(+AL78/AL74-1,"N/A")</f>
        <v>1.3240525620152548</v>
      </c>
    </row>
    <row r="87" spans="2:38" ht="16">
      <c r="B87" s="314"/>
      <c r="C87" s="227"/>
      <c r="D87" s="227"/>
      <c r="E87" s="340"/>
      <c r="F87" s="340"/>
      <c r="G87" s="340"/>
      <c r="H87" s="340"/>
      <c r="I87" s="227"/>
      <c r="J87" s="340"/>
      <c r="K87" s="340"/>
      <c r="L87" s="340"/>
      <c r="M87" s="340"/>
      <c r="N87" s="227"/>
      <c r="O87" s="340"/>
      <c r="P87" s="340"/>
      <c r="Q87" s="340"/>
      <c r="R87" s="340"/>
      <c r="S87" s="227"/>
      <c r="T87" s="340"/>
      <c r="U87" s="340"/>
      <c r="V87" s="340"/>
      <c r="W87" s="340"/>
      <c r="X87" s="227"/>
      <c r="Y87" s="340"/>
      <c r="Z87" s="340"/>
      <c r="AA87" s="340"/>
      <c r="AB87" s="340"/>
      <c r="AC87" s="227"/>
      <c r="AD87" s="340"/>
      <c r="AE87" s="340"/>
      <c r="AF87" s="340"/>
      <c r="AG87" s="340"/>
      <c r="AH87" s="227"/>
      <c r="AI87" s="340"/>
      <c r="AJ87" s="340"/>
      <c r="AK87" s="340"/>
      <c r="AL87" s="340"/>
    </row>
    <row r="88" spans="2:38" ht="16">
      <c r="B88" s="314"/>
      <c r="C88" s="227" t="s">
        <v>301</v>
      </c>
      <c r="D88" s="227"/>
      <c r="E88" s="340"/>
      <c r="F88" s="340"/>
      <c r="G88" s="340"/>
      <c r="H88" s="344">
        <f>IFERROR(+H14/F7,"N/A")</f>
        <v>0.37992117162832356</v>
      </c>
      <c r="I88" s="227"/>
      <c r="J88" s="340"/>
      <c r="K88" s="340"/>
      <c r="L88" s="340"/>
      <c r="M88" s="344">
        <f>IFERROR(+M14/K7,"N/A")</f>
        <v>0.50603024574669175</v>
      </c>
      <c r="N88" s="227"/>
      <c r="O88" s="340"/>
      <c r="P88" s="340"/>
      <c r="Q88" s="340"/>
      <c r="R88" s="344">
        <f>IFERROR(+R14/P7,"N/A")</f>
        <v>0.64481466885326488</v>
      </c>
      <c r="S88" s="227"/>
      <c r="T88" s="340"/>
      <c r="U88" s="340"/>
      <c r="V88" s="340"/>
      <c r="W88" s="344">
        <f>IFERROR(+W14/W7,"N/A")</f>
        <v>0.41294369645042839</v>
      </c>
      <c r="X88" s="227"/>
      <c r="Y88" s="340"/>
      <c r="Z88" s="340"/>
      <c r="AA88" s="340"/>
      <c r="AB88" s="344">
        <f>IFERROR(+AB14/AB7,"N/A")</f>
        <v>0.31540413900819991</v>
      </c>
      <c r="AC88" s="227"/>
      <c r="AD88" s="340"/>
      <c r="AE88" s="340"/>
      <c r="AF88" s="340"/>
      <c r="AG88" s="344">
        <f>IFERROR(+AG14/AG7,"N/A")</f>
        <v>0.29396735273243435</v>
      </c>
      <c r="AH88" s="344"/>
      <c r="AI88" s="340"/>
      <c r="AJ88" s="340"/>
      <c r="AK88" s="340"/>
      <c r="AL88" s="344">
        <f>IFERROR(+AL14/AL7,"N/A")</f>
        <v>-0.81186360829952287</v>
      </c>
    </row>
    <row r="89" spans="2:38" ht="16">
      <c r="B89" s="314"/>
      <c r="C89" s="227" t="str">
        <f>TEXT(_xlfn.SINGLE(Forward_Quart_1),"yyyy-mm-dd")&amp;" EBITDA Margin:"</f>
        <v>2024-12-31 EBITDA Margin:</v>
      </c>
      <c r="D89" s="227"/>
      <c r="E89" s="340"/>
      <c r="F89" s="340"/>
      <c r="G89" s="340"/>
      <c r="H89" s="344">
        <f>IFERROR(+H74/H73,"N/A")</f>
        <v>0.34911698194113333</v>
      </c>
      <c r="I89" s="227"/>
      <c r="J89" s="340"/>
      <c r="K89" s="340"/>
      <c r="L89" s="340"/>
      <c r="M89" s="344">
        <f>IFERROR(+M74/M73,"N/A")</f>
        <v>0.36192993760488035</v>
      </c>
      <c r="N89" s="227"/>
      <c r="O89" s="340"/>
      <c r="P89" s="340"/>
      <c r="Q89" s="340"/>
      <c r="R89" s="344">
        <f>IFERROR(+R74/R73,"N/A")</f>
        <v>0.57630295204843651</v>
      </c>
      <c r="S89" s="227"/>
      <c r="T89" s="340"/>
      <c r="U89" s="340"/>
      <c r="V89" s="340"/>
      <c r="W89" s="344">
        <f>IFERROR(+W74/W73,"N/A")</f>
        <v>0.47193565308620394</v>
      </c>
      <c r="X89" s="227"/>
      <c r="Y89" s="340"/>
      <c r="Z89" s="340"/>
      <c r="AA89" s="340"/>
      <c r="AB89" s="344">
        <f>IFERROR(+AB74/AB73,"N/A")</f>
        <v>0.31540413900819991</v>
      </c>
      <c r="AC89" s="227"/>
      <c r="AD89" s="340"/>
      <c r="AE89" s="340"/>
      <c r="AF89" s="340"/>
      <c r="AG89" s="344">
        <f>IFERROR(+AG74/AG73,"N/A")</f>
        <v>0.30261345134221185</v>
      </c>
      <c r="AH89" s="344"/>
      <c r="AI89" s="340"/>
      <c r="AJ89" s="340"/>
      <c r="AK89" s="340"/>
      <c r="AL89" s="344">
        <f>IFERROR(+AL74/AL73,"N/A")</f>
        <v>0.41850756969537772</v>
      </c>
    </row>
    <row r="90" spans="2:38" ht="16">
      <c r="B90" s="314"/>
      <c r="C90" s="227" t="str">
        <f>TEXT(_xlfn.SINGLE(Forward_Quart_2),"yyyy-mm-dd")&amp;" EBITDA Margin:"</f>
        <v>2025-03-31 EBITDA Margin:</v>
      </c>
      <c r="D90" s="227"/>
      <c r="E90" s="340"/>
      <c r="F90" s="340"/>
      <c r="G90" s="340"/>
      <c r="H90" s="344">
        <f>IFERROR(+H78/H77,"N/A")</f>
        <v>0.35247387599825958</v>
      </c>
      <c r="I90" s="227"/>
      <c r="J90" s="340"/>
      <c r="K90" s="340"/>
      <c r="L90" s="340"/>
      <c r="M90" s="344">
        <f>IFERROR(+M78/M77,"N/A")</f>
        <v>0.36541003315877346</v>
      </c>
      <c r="N90" s="227"/>
      <c r="O90" s="340"/>
      <c r="P90" s="340"/>
      <c r="Q90" s="340"/>
      <c r="R90" s="344">
        <f>IFERROR(+R78/R77,"N/A")</f>
        <v>0.62021174839498394</v>
      </c>
      <c r="S90" s="227"/>
      <c r="T90" s="340"/>
      <c r="U90" s="340"/>
      <c r="V90" s="340"/>
      <c r="W90" s="344">
        <f>IFERROR(+W78/W77,"N/A")</f>
        <v>0.47193565308620394</v>
      </c>
      <c r="X90" s="227"/>
      <c r="Y90" s="340"/>
      <c r="Z90" s="340"/>
      <c r="AA90" s="340"/>
      <c r="AB90" s="344">
        <f>IFERROR(+AB78/AB77,"N/A")</f>
        <v>0.31852695226570682</v>
      </c>
      <c r="AC90" s="227"/>
      <c r="AD90" s="340"/>
      <c r="AE90" s="340"/>
      <c r="AF90" s="340"/>
      <c r="AG90" s="344">
        <f>IFERROR(+AG78/AG77,"N/A")</f>
        <v>0.29973141847228602</v>
      </c>
      <c r="AH90" s="344"/>
      <c r="AI90" s="340"/>
      <c r="AJ90" s="340"/>
      <c r="AK90" s="340"/>
      <c r="AL90" s="344">
        <f>IFERROR(+AL78/AL77,"N/A")</f>
        <v>0.7105677580246319</v>
      </c>
    </row>
    <row r="91" spans="2:38" ht="16">
      <c r="B91" s="314"/>
      <c r="C91" s="227"/>
      <c r="D91" s="227"/>
      <c r="E91" s="340"/>
      <c r="F91" s="340"/>
      <c r="G91" s="340"/>
      <c r="H91" s="340"/>
      <c r="I91" s="227"/>
      <c r="J91" s="340"/>
      <c r="K91" s="340"/>
      <c r="L91" s="340"/>
      <c r="M91" s="340"/>
      <c r="N91" s="227"/>
      <c r="O91" s="340"/>
      <c r="P91" s="340"/>
      <c r="Q91" s="340"/>
      <c r="R91" s="340"/>
      <c r="S91" s="227"/>
      <c r="T91" s="340"/>
      <c r="U91" s="340"/>
      <c r="V91" s="340"/>
      <c r="W91" s="340"/>
      <c r="X91" s="227"/>
      <c r="Y91" s="340"/>
      <c r="Z91" s="340"/>
      <c r="AA91" s="340"/>
      <c r="AB91" s="340"/>
      <c r="AC91" s="227"/>
      <c r="AD91" s="340"/>
      <c r="AE91" s="340"/>
      <c r="AF91" s="340"/>
      <c r="AG91" s="340"/>
      <c r="AH91" s="227"/>
      <c r="AI91" s="340"/>
      <c r="AJ91" s="340"/>
      <c r="AK91" s="340"/>
      <c r="AL91" s="340"/>
    </row>
    <row r="92" spans="2:38" ht="16">
      <c r="B92" s="314"/>
      <c r="C92" s="227" t="str">
        <f>TEXT(E66,"mm/dd/yyyy")&amp;" "&amp;C67</f>
        <v>09/30/2024 EV / Revenue:</v>
      </c>
      <c r="D92" s="227"/>
      <c r="E92" s="340"/>
      <c r="F92" s="340"/>
      <c r="G92" s="340"/>
      <c r="H92" s="339">
        <f>+E67</f>
        <v>6.1656139236568936</v>
      </c>
      <c r="I92" s="227"/>
      <c r="J92" s="340"/>
      <c r="K92" s="340"/>
      <c r="L92" s="340"/>
      <c r="M92" s="339">
        <f>+J67</f>
        <v>8.4361779667040597</v>
      </c>
      <c r="N92" s="227"/>
      <c r="O92" s="340"/>
      <c r="P92" s="340"/>
      <c r="Q92" s="340"/>
      <c r="R92" s="339">
        <f>+O67</f>
        <v>7.8508733905299968</v>
      </c>
      <c r="S92" s="227"/>
      <c r="T92" s="340"/>
      <c r="U92" s="340"/>
      <c r="V92" s="340"/>
      <c r="W92" s="339">
        <f>+T67</f>
        <v>15.819901736536105</v>
      </c>
      <c r="X92" s="227"/>
      <c r="Y92" s="340"/>
      <c r="Z92" s="340"/>
      <c r="AA92" s="340"/>
      <c r="AB92" s="339">
        <f>+Y67</f>
        <v>4.5859551932838727</v>
      </c>
      <c r="AC92" s="227"/>
      <c r="AD92" s="340"/>
      <c r="AE92" s="340"/>
      <c r="AF92" s="340"/>
      <c r="AG92" s="339">
        <f>+AD67</f>
        <v>4.9351107168204402</v>
      </c>
      <c r="AH92" s="339"/>
      <c r="AI92" s="340"/>
      <c r="AJ92" s="340"/>
      <c r="AK92" s="340"/>
      <c r="AL92" s="339">
        <f>+AI67</f>
        <v>19.774480050923952</v>
      </c>
    </row>
    <row r="93" spans="2:38" ht="16">
      <c r="B93" s="314"/>
      <c r="C93" s="227" t="str">
        <f>TEXT(E66,"mm/dd/yyyy")&amp;" "&amp;C68</f>
        <v>09/30/2024 EV / EBITDA:</v>
      </c>
      <c r="D93" s="227"/>
      <c r="E93" s="340"/>
      <c r="F93" s="340"/>
      <c r="G93" s="340"/>
      <c r="H93" s="339">
        <f>+E68</f>
        <v>16.228666323678077</v>
      </c>
      <c r="I93" s="227"/>
      <c r="J93" s="340"/>
      <c r="K93" s="340"/>
      <c r="L93" s="340"/>
      <c r="M93" s="339">
        <f>+J68</f>
        <v>24.474313795808584</v>
      </c>
      <c r="N93" s="227"/>
      <c r="O93" s="340"/>
      <c r="P93" s="340"/>
      <c r="Q93" s="340"/>
      <c r="R93" s="339">
        <f>+O68</f>
        <v>14.66075289504243</v>
      </c>
      <c r="S93" s="227"/>
      <c r="T93" s="340"/>
      <c r="U93" s="340"/>
      <c r="V93" s="340"/>
      <c r="W93" s="339">
        <f>+T68</f>
        <v>38.310069562801033</v>
      </c>
      <c r="X93" s="227"/>
      <c r="Y93" s="340"/>
      <c r="Z93" s="340"/>
      <c r="AA93" s="340"/>
      <c r="AB93" s="339">
        <f>+Y68</f>
        <v>14.539933457134012</v>
      </c>
      <c r="AC93" s="227"/>
      <c r="AD93" s="340"/>
      <c r="AE93" s="340"/>
      <c r="AF93" s="340"/>
      <c r="AG93" s="339">
        <f>+AD68</f>
        <v>16.787955094157414</v>
      </c>
      <c r="AH93" s="339"/>
      <c r="AI93" s="340"/>
      <c r="AJ93" s="340"/>
      <c r="AK93" s="340"/>
      <c r="AL93" s="339" t="str">
        <f>+AI68</f>
        <v>NM</v>
      </c>
    </row>
    <row r="94" spans="2:38" ht="16">
      <c r="B94" s="314"/>
      <c r="C94" s="227" t="str">
        <f>TEXT(E66,"mm/dd/yyyy")&amp;" "&amp;C69</f>
        <v>09/30/2024 P / E:</v>
      </c>
      <c r="D94" s="227"/>
      <c r="E94" s="340"/>
      <c r="F94" s="340"/>
      <c r="G94" s="340"/>
      <c r="H94" s="339">
        <f>+E69</f>
        <v>21.192835489285624</v>
      </c>
      <c r="I94" s="227"/>
      <c r="J94" s="340"/>
      <c r="K94" s="340"/>
      <c r="L94" s="340"/>
      <c r="M94" s="339">
        <f>+J69</f>
        <v>32.018102865398504</v>
      </c>
      <c r="N94" s="227"/>
      <c r="O94" s="340"/>
      <c r="P94" s="340"/>
      <c r="Q94" s="340"/>
      <c r="R94" s="339">
        <f>+O69</f>
        <v>23.021679551007505</v>
      </c>
      <c r="S94" s="227"/>
      <c r="T94" s="340"/>
      <c r="U94" s="340"/>
      <c r="V94" s="340"/>
      <c r="W94" s="339" t="str">
        <f>+T69</f>
        <v>NM</v>
      </c>
      <c r="X94" s="227"/>
      <c r="Y94" s="340"/>
      <c r="Z94" s="340"/>
      <c r="AA94" s="340"/>
      <c r="AB94" s="339">
        <f>+Y69</f>
        <v>14.436714639430516</v>
      </c>
      <c r="AC94" s="227"/>
      <c r="AD94" s="340"/>
      <c r="AE94" s="340"/>
      <c r="AF94" s="340"/>
      <c r="AG94" s="339">
        <f>+AD69</f>
        <v>20.90170710571924</v>
      </c>
      <c r="AH94" s="339"/>
      <c r="AI94" s="340"/>
      <c r="AJ94" s="340"/>
      <c r="AK94" s="340"/>
      <c r="AL94" s="339">
        <f>+AI69</f>
        <v>22.794303789529348</v>
      </c>
    </row>
    <row r="95" spans="2:38" ht="16">
      <c r="B95" s="314"/>
      <c r="C95" s="227"/>
      <c r="D95" s="227"/>
      <c r="E95" s="340"/>
      <c r="F95" s="340"/>
      <c r="G95" s="340"/>
      <c r="H95" s="340"/>
      <c r="I95" s="227"/>
      <c r="J95" s="340"/>
      <c r="K95" s="340"/>
      <c r="L95" s="340"/>
      <c r="M95" s="340"/>
      <c r="N95" s="227"/>
      <c r="O95" s="340"/>
      <c r="P95" s="340"/>
      <c r="Q95" s="340"/>
      <c r="R95" s="340"/>
      <c r="S95" s="227"/>
      <c r="T95" s="340"/>
      <c r="U95" s="340"/>
      <c r="V95" s="340"/>
      <c r="W95" s="340"/>
      <c r="X95" s="227"/>
      <c r="Y95" s="340"/>
      <c r="Z95" s="340"/>
      <c r="AA95" s="340"/>
      <c r="AB95" s="340"/>
      <c r="AC95" s="227"/>
      <c r="AD95" s="340"/>
      <c r="AE95" s="340"/>
      <c r="AF95" s="340"/>
      <c r="AG95" s="340"/>
      <c r="AH95" s="227"/>
      <c r="AI95" s="340"/>
      <c r="AJ95" s="340"/>
      <c r="AK95" s="340"/>
      <c r="AL95" s="340"/>
    </row>
    <row r="96" spans="2:38" ht="16">
      <c r="B96" s="314"/>
      <c r="C96" s="227" t="str">
        <f>TEXT(_xlfn.SINGLE(Forward_Quart_1),"yyyy-mm-dd")&amp;" "&amp;C67</f>
        <v>2024-12-31 EV / Revenue:</v>
      </c>
      <c r="D96" s="227"/>
      <c r="E96" s="340"/>
      <c r="F96" s="340"/>
      <c r="G96" s="340"/>
      <c r="H96" s="339">
        <f>+F67</f>
        <v>5.3959076265259025</v>
      </c>
      <c r="I96" s="227"/>
      <c r="J96" s="340"/>
      <c r="K96" s="340"/>
      <c r="L96" s="340"/>
      <c r="M96" s="339">
        <f>+K67</f>
        <v>8.4361779667040597</v>
      </c>
      <c r="N96" s="227"/>
      <c r="O96" s="340"/>
      <c r="P96" s="340"/>
      <c r="Q96" s="340"/>
      <c r="R96" s="339">
        <f>+P67</f>
        <v>7.4770222766952337</v>
      </c>
      <c r="S96" s="227"/>
      <c r="T96" s="340"/>
      <c r="U96" s="340"/>
      <c r="V96" s="340"/>
      <c r="W96" s="339">
        <f>+U67</f>
        <v>11.299929811811504</v>
      </c>
      <c r="X96" s="227"/>
      <c r="Y96" s="340"/>
      <c r="Z96" s="340"/>
      <c r="AA96" s="340"/>
      <c r="AB96" s="339">
        <f>+Z67</f>
        <v>4.5405496963206664</v>
      </c>
      <c r="AC96" s="227"/>
      <c r="AD96" s="340"/>
      <c r="AE96" s="340"/>
      <c r="AF96" s="340"/>
      <c r="AG96" s="339">
        <f>+AE67</f>
        <v>4.8383438400200394</v>
      </c>
      <c r="AH96" s="339"/>
      <c r="AI96" s="340"/>
      <c r="AJ96" s="340"/>
      <c r="AK96" s="340"/>
      <c r="AL96" s="339">
        <f>+AJ67</f>
        <v>4.2444797176635474</v>
      </c>
    </row>
    <row r="97" spans="2:38" ht="16">
      <c r="B97" s="314"/>
      <c r="C97" s="227" t="str">
        <f>TEXT(_xlfn.SINGLE(Forward_Quart_1),"yyyy-mm-dd")&amp;" "&amp;C68</f>
        <v>2024-12-31 EV / EBITDA:</v>
      </c>
      <c r="D97" s="227"/>
      <c r="E97" s="340"/>
      <c r="F97" s="340"/>
      <c r="G97" s="340"/>
      <c r="H97" s="339">
        <f>+F68</f>
        <v>15.455872689217216</v>
      </c>
      <c r="I97" s="227"/>
      <c r="J97" s="340"/>
      <c r="K97" s="340"/>
      <c r="L97" s="340"/>
      <c r="M97" s="339">
        <f>+K68</f>
        <v>23.308870281722459</v>
      </c>
      <c r="N97" s="227"/>
      <c r="O97" s="340"/>
      <c r="P97" s="340"/>
      <c r="Q97" s="340"/>
      <c r="R97" s="339">
        <f>+P68</f>
        <v>12.974117606232239</v>
      </c>
      <c r="S97" s="227"/>
      <c r="T97" s="340"/>
      <c r="U97" s="340"/>
      <c r="V97" s="340"/>
      <c r="W97" s="339">
        <f>+U68</f>
        <v>23.943793476750642</v>
      </c>
      <c r="X97" s="227"/>
      <c r="Y97" s="340"/>
      <c r="Z97" s="340"/>
      <c r="AA97" s="340"/>
      <c r="AB97" s="339">
        <f>+Z68</f>
        <v>14.395973719934666</v>
      </c>
      <c r="AC97" s="227"/>
      <c r="AD97" s="340"/>
      <c r="AE97" s="340"/>
      <c r="AF97" s="340"/>
      <c r="AG97" s="339">
        <f>+AE68</f>
        <v>15.988528661102297</v>
      </c>
      <c r="AH97" s="339"/>
      <c r="AI97" s="340"/>
      <c r="AJ97" s="340"/>
      <c r="AK97" s="340"/>
      <c r="AL97" s="339">
        <f>+AJ68</f>
        <v>10.141942523890332</v>
      </c>
    </row>
    <row r="98" spans="2:38" ht="16">
      <c r="B98" s="314"/>
      <c r="C98" s="227" t="str">
        <f>TEXT(_xlfn.SINGLE(Forward_Quart_1),"yyyy-mm-dd")&amp;" "&amp;C69</f>
        <v>2024-12-31 P / E:</v>
      </c>
      <c r="D98" s="227"/>
      <c r="E98" s="340"/>
      <c r="F98" s="340"/>
      <c r="G98" s="340"/>
      <c r="H98" s="339">
        <f>+F69</f>
        <v>20.183652846938688</v>
      </c>
      <c r="I98" s="227"/>
      <c r="J98" s="340"/>
      <c r="K98" s="340"/>
      <c r="L98" s="340"/>
      <c r="M98" s="339">
        <f>+K69</f>
        <v>29.923460621867761</v>
      </c>
      <c r="N98" s="227"/>
      <c r="O98" s="340"/>
      <c r="P98" s="340"/>
      <c r="Q98" s="340"/>
      <c r="R98" s="339">
        <f>+P69</f>
        <v>19.509897924582628</v>
      </c>
      <c r="S98" s="227"/>
      <c r="T98" s="340"/>
      <c r="U98" s="340"/>
      <c r="V98" s="340"/>
      <c r="W98" s="339">
        <f>+U69</f>
        <v>47.593241891858355</v>
      </c>
      <c r="X98" s="227"/>
      <c r="Y98" s="340"/>
      <c r="Z98" s="340"/>
      <c r="AA98" s="340"/>
      <c r="AB98" s="339">
        <f>+Z69</f>
        <v>15.50905206809416</v>
      </c>
      <c r="AC98" s="227"/>
      <c r="AD98" s="340"/>
      <c r="AE98" s="340"/>
      <c r="AF98" s="340"/>
      <c r="AG98" s="339">
        <f>+AE69</f>
        <v>20.097795293960807</v>
      </c>
      <c r="AH98" s="339"/>
      <c r="AI98" s="340"/>
      <c r="AJ98" s="340"/>
      <c r="AK98" s="340"/>
      <c r="AL98" s="339">
        <f>+AJ69</f>
        <v>22.794303789529348</v>
      </c>
    </row>
    <row r="99" spans="2:38" ht="16">
      <c r="B99" s="314"/>
      <c r="C99" s="227"/>
      <c r="D99" s="227"/>
      <c r="E99" s="340"/>
      <c r="F99" s="340"/>
      <c r="G99" s="340"/>
      <c r="H99" s="340"/>
      <c r="I99" s="227"/>
      <c r="J99" s="340"/>
      <c r="K99" s="340"/>
      <c r="L99" s="340"/>
      <c r="M99" s="340"/>
      <c r="N99" s="227"/>
      <c r="O99" s="340"/>
      <c r="P99" s="340"/>
      <c r="Q99" s="340"/>
      <c r="R99" s="340"/>
      <c r="S99" s="227"/>
      <c r="T99" s="340"/>
      <c r="U99" s="340"/>
      <c r="V99" s="340"/>
      <c r="W99" s="340"/>
      <c r="X99" s="227"/>
      <c r="Y99" s="340"/>
      <c r="Z99" s="340"/>
      <c r="AA99" s="340"/>
      <c r="AB99" s="340"/>
      <c r="AC99" s="227"/>
      <c r="AD99" s="340"/>
      <c r="AE99" s="340"/>
      <c r="AF99" s="340"/>
      <c r="AG99" s="340"/>
      <c r="AH99" s="227"/>
      <c r="AI99" s="340"/>
      <c r="AJ99" s="340"/>
      <c r="AK99" s="340"/>
      <c r="AL99" s="340"/>
    </row>
    <row r="100" spans="2:38" ht="16">
      <c r="B100" s="314"/>
      <c r="C100" s="227" t="str">
        <f>TEXT(_xlfn.SINGLE(Forward_Quart_2),"yyyy-mm-dd")&amp;" "&amp;C67</f>
        <v>2025-03-31 EV / Revenue:</v>
      </c>
      <c r="D100" s="227"/>
      <c r="E100" s="340"/>
      <c r="F100" s="340"/>
      <c r="G100" s="340"/>
      <c r="H100" s="339">
        <f>+G67</f>
        <v>5.1883727178133681</v>
      </c>
      <c r="I100" s="227"/>
      <c r="J100" s="340"/>
      <c r="K100" s="340"/>
      <c r="L100" s="340"/>
      <c r="M100" s="339">
        <f>+L67</f>
        <v>8.1117095833692883</v>
      </c>
      <c r="N100" s="227"/>
      <c r="O100" s="340"/>
      <c r="P100" s="340"/>
      <c r="Q100" s="340"/>
      <c r="R100" s="339">
        <f>+Q67</f>
        <v>7.1209735968526031</v>
      </c>
      <c r="S100" s="227"/>
      <c r="T100" s="340"/>
      <c r="U100" s="340"/>
      <c r="V100" s="340"/>
      <c r="W100" s="339">
        <f>+V67</f>
        <v>10.761837916010956</v>
      </c>
      <c r="X100" s="227"/>
      <c r="Y100" s="340"/>
      <c r="Z100" s="340"/>
      <c r="AA100" s="340"/>
      <c r="AB100" s="339">
        <f>+AA67</f>
        <v>4.4955937587333326</v>
      </c>
      <c r="AC100" s="227"/>
      <c r="AD100" s="340"/>
      <c r="AE100" s="340"/>
      <c r="AF100" s="340"/>
      <c r="AG100" s="339">
        <f>+AF67</f>
        <v>4.6079465143047997</v>
      </c>
      <c r="AH100" s="339"/>
      <c r="AI100" s="340"/>
      <c r="AJ100" s="340"/>
      <c r="AK100" s="340"/>
      <c r="AL100" s="339">
        <f>+AK67</f>
        <v>3.1008495586547435</v>
      </c>
    </row>
    <row r="101" spans="2:38" ht="16">
      <c r="B101" s="314"/>
      <c r="C101" s="227" t="str">
        <f>TEXT(_xlfn.SINGLE(Forward_Quart_2),"yyyy-mm-dd")&amp;" "&amp;C68</f>
        <v>2025-03-31 EV / EBITDA:</v>
      </c>
      <c r="D101" s="227"/>
      <c r="E101" s="340"/>
      <c r="F101" s="340"/>
      <c r="G101" s="340"/>
      <c r="H101" s="339">
        <f>+G68</f>
        <v>14.719878751635443</v>
      </c>
      <c r="I101" s="227"/>
      <c r="J101" s="340"/>
      <c r="K101" s="340"/>
      <c r="L101" s="340"/>
      <c r="M101" s="339">
        <f>+L68</f>
        <v>22.198924077830913</v>
      </c>
      <c r="N101" s="227"/>
      <c r="O101" s="340"/>
      <c r="P101" s="340"/>
      <c r="Q101" s="340"/>
      <c r="R101" s="339">
        <f>+Q68</f>
        <v>11.481520005515257</v>
      </c>
      <c r="S101" s="227"/>
      <c r="T101" s="340"/>
      <c r="U101" s="340"/>
      <c r="V101" s="340"/>
      <c r="W101" s="339">
        <f>+V68</f>
        <v>22.80361283500061</v>
      </c>
      <c r="X101" s="227"/>
      <c r="Y101" s="340"/>
      <c r="Z101" s="340"/>
      <c r="AA101" s="340"/>
      <c r="AB101" s="339">
        <f>+AA68</f>
        <v>14.113699725426143</v>
      </c>
      <c r="AC101" s="227"/>
      <c r="AD101" s="340"/>
      <c r="AE101" s="340"/>
      <c r="AF101" s="340"/>
      <c r="AG101" s="339">
        <f>+AF68</f>
        <v>15.373585251059902</v>
      </c>
      <c r="AH101" s="339"/>
      <c r="AI101" s="340"/>
      <c r="AJ101" s="340"/>
      <c r="AK101" s="340"/>
      <c r="AL101" s="339">
        <f>+AK68</f>
        <v>4.3639041085611048</v>
      </c>
    </row>
    <row r="102" spans="2:38" ht="16">
      <c r="B102" s="314"/>
      <c r="C102" s="227" t="str">
        <f>TEXT(_xlfn.SINGLE(Forward_Quart_2),"yyyy-mm-dd")&amp;" "&amp;C69</f>
        <v>2025-03-31 P / E:</v>
      </c>
      <c r="D102" s="227"/>
      <c r="E102" s="340"/>
      <c r="F102" s="340"/>
      <c r="G102" s="340"/>
      <c r="H102" s="339">
        <f>+G69</f>
        <v>19.222526520893989</v>
      </c>
      <c r="I102" s="227"/>
      <c r="J102" s="340"/>
      <c r="K102" s="340"/>
      <c r="L102" s="340"/>
      <c r="M102" s="339">
        <f>+L69</f>
        <v>27.965851048474541</v>
      </c>
      <c r="N102" s="227"/>
      <c r="O102" s="340"/>
      <c r="P102" s="340"/>
      <c r="Q102" s="340"/>
      <c r="R102" s="339">
        <f>+Q69</f>
        <v>16.965128630071852</v>
      </c>
      <c r="S102" s="227"/>
      <c r="T102" s="340"/>
      <c r="U102" s="340"/>
      <c r="V102" s="340"/>
      <c r="W102" s="339">
        <f>+V69</f>
        <v>45.326897039865102</v>
      </c>
      <c r="X102" s="227"/>
      <c r="Y102" s="340"/>
      <c r="Z102" s="340"/>
      <c r="AA102" s="340"/>
      <c r="AB102" s="339">
        <f>+AA69</f>
        <v>15.204953007935451</v>
      </c>
      <c r="AC102" s="227"/>
      <c r="AD102" s="340"/>
      <c r="AE102" s="340"/>
      <c r="AF102" s="340"/>
      <c r="AG102" s="339">
        <f>+AF69</f>
        <v>19.324803167270005</v>
      </c>
      <c r="AH102" s="339"/>
      <c r="AI102" s="340"/>
      <c r="AJ102" s="340"/>
      <c r="AK102" s="340"/>
      <c r="AL102" s="339">
        <f>+AK69</f>
        <v>10.319390120197058</v>
      </c>
    </row>
    <row r="103" spans="2:38" ht="16">
      <c r="B103" s="314"/>
      <c r="C103" s="227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227"/>
    </row>
    <row r="104" spans="2:38" ht="16">
      <c r="B104" s="314"/>
      <c r="C104" s="164" t="s">
        <v>267</v>
      </c>
      <c r="D104" s="227"/>
      <c r="E104" s="345" t="s">
        <v>268</v>
      </c>
      <c r="F104" s="227"/>
      <c r="G104" s="227"/>
      <c r="H104" s="346"/>
      <c r="I104" s="227"/>
      <c r="J104" s="345" t="s">
        <v>269</v>
      </c>
      <c r="K104" s="227"/>
      <c r="L104" s="227"/>
      <c r="M104" s="346"/>
      <c r="N104" s="227"/>
      <c r="O104" s="345" t="s">
        <v>270</v>
      </c>
      <c r="P104" s="227"/>
      <c r="Q104" s="227"/>
      <c r="R104" s="346"/>
      <c r="S104" s="227"/>
      <c r="T104" s="345" t="s">
        <v>271</v>
      </c>
      <c r="U104" s="227"/>
      <c r="V104" s="227"/>
      <c r="W104" s="346"/>
      <c r="X104" s="227"/>
      <c r="Y104" s="345" t="s">
        <v>272</v>
      </c>
      <c r="Z104" s="227"/>
      <c r="AA104" s="227"/>
      <c r="AB104" s="346"/>
      <c r="AC104" s="227"/>
      <c r="AD104" s="345" t="s">
        <v>273</v>
      </c>
      <c r="AE104" s="227"/>
      <c r="AF104" s="227"/>
      <c r="AG104" s="346"/>
      <c r="AH104" s="347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1B94F-F668-4EC9-915F-0D1D61437C99}">
  <dimension ref="B2:R29"/>
  <sheetViews>
    <sheetView showGridLines="0" zoomScale="55" workbookViewId="0">
      <selection activeCell="B12" sqref="B12"/>
    </sheetView>
  </sheetViews>
  <sheetFormatPr defaultRowHeight="14.5"/>
  <cols>
    <col min="2" max="2" width="33.7265625" customWidth="1"/>
    <col min="3" max="3" width="44" customWidth="1"/>
    <col min="4" max="4" width="12.26953125" bestFit="1" customWidth="1"/>
    <col min="5" max="5" width="15.453125" bestFit="1" customWidth="1"/>
    <col min="6" max="7" width="14.26953125" bestFit="1" customWidth="1"/>
    <col min="8" max="8" width="9.7265625" bestFit="1" customWidth="1"/>
    <col min="9" max="9" width="7.7265625" bestFit="1" customWidth="1"/>
    <col min="10" max="13" width="10" bestFit="1" customWidth="1"/>
    <col min="14" max="15" width="8.81640625" bestFit="1" customWidth="1"/>
    <col min="16" max="16" width="8.54296875" bestFit="1" customWidth="1"/>
  </cols>
  <sheetData>
    <row r="2" spans="2:18" ht="18.5">
      <c r="B2" s="348" t="s">
        <v>274</v>
      </c>
      <c r="C2" s="349"/>
      <c r="D2" s="349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</row>
    <row r="3" spans="2:18" ht="18.5">
      <c r="B3" s="348" t="s">
        <v>275</v>
      </c>
      <c r="C3" s="349"/>
      <c r="D3" s="349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</row>
    <row r="4" spans="2:18" ht="16">
      <c r="B4" s="223" t="str">
        <f>+[2]WMT_Model!$B$3</f>
        <v>($ in Millions Except Per Share and Per Unit Data)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350"/>
    </row>
    <row r="5" spans="2:18" ht="16">
      <c r="B5" s="350"/>
      <c r="C5" s="350"/>
      <c r="D5" s="350"/>
      <c r="E5" s="350"/>
      <c r="F5" s="351"/>
      <c r="G5" s="350"/>
      <c r="H5" s="350"/>
      <c r="I5" s="350"/>
      <c r="J5" s="350"/>
      <c r="K5" s="350"/>
      <c r="L5" s="350"/>
      <c r="M5" s="350"/>
      <c r="N5" s="350"/>
      <c r="O5" s="350"/>
      <c r="P5" s="350"/>
    </row>
    <row r="6" spans="2:18" ht="16">
      <c r="B6" s="352" t="str">
        <f>Company_Name&amp;" - Comparable M&amp;A Transactions"</f>
        <v>Nebius, N.V. - Comparable M&amp;A Transactions</v>
      </c>
      <c r="C6" s="352"/>
      <c r="D6" s="352"/>
      <c r="E6" s="353"/>
      <c r="F6" s="354" t="s">
        <v>276</v>
      </c>
      <c r="G6" s="355"/>
      <c r="H6" s="354" t="s">
        <v>277</v>
      </c>
      <c r="I6" s="354"/>
      <c r="J6" s="356"/>
      <c r="K6" s="354" t="s">
        <v>278</v>
      </c>
      <c r="L6" s="354"/>
      <c r="M6" s="354"/>
      <c r="N6" s="354" t="s">
        <v>279</v>
      </c>
      <c r="O6" s="354"/>
      <c r="P6" s="354"/>
    </row>
    <row r="7" spans="2:18" ht="16">
      <c r="B7" s="352"/>
      <c r="C7" s="352"/>
      <c r="D7" s="352"/>
      <c r="E7" s="353" t="s">
        <v>280</v>
      </c>
      <c r="F7" s="354"/>
      <c r="G7" s="355"/>
      <c r="H7" s="353" t="s">
        <v>281</v>
      </c>
      <c r="I7" s="353" t="s">
        <v>281</v>
      </c>
      <c r="J7" s="353"/>
      <c r="K7" s="354"/>
      <c r="L7" s="354"/>
      <c r="M7" s="354"/>
      <c r="N7" s="353"/>
      <c r="O7" s="353"/>
      <c r="P7" s="353"/>
    </row>
    <row r="8" spans="2:18" ht="16">
      <c r="B8" s="357"/>
      <c r="C8" s="357"/>
      <c r="D8" s="353"/>
      <c r="E8" s="353" t="s">
        <v>207</v>
      </c>
      <c r="F8" s="353" t="s">
        <v>221</v>
      </c>
      <c r="G8" s="353" t="s">
        <v>221</v>
      </c>
      <c r="H8" s="353" t="s">
        <v>221</v>
      </c>
      <c r="I8" s="353" t="s">
        <v>221</v>
      </c>
      <c r="J8" s="353" t="s">
        <v>282</v>
      </c>
      <c r="K8" s="353" t="s">
        <v>283</v>
      </c>
      <c r="L8" s="353" t="s">
        <v>284</v>
      </c>
      <c r="M8" s="353" t="s">
        <v>285</v>
      </c>
      <c r="N8" s="353" t="s">
        <v>283</v>
      </c>
      <c r="O8" s="353" t="s">
        <v>284</v>
      </c>
      <c r="P8" s="353" t="s">
        <v>285</v>
      </c>
    </row>
    <row r="9" spans="2:18" ht="16">
      <c r="B9" s="358" t="s">
        <v>286</v>
      </c>
      <c r="C9" s="358" t="s">
        <v>287</v>
      </c>
      <c r="D9" s="358" t="s">
        <v>288</v>
      </c>
      <c r="E9" s="358" t="s">
        <v>220</v>
      </c>
      <c r="F9" s="358" t="s">
        <v>208</v>
      </c>
      <c r="G9" s="358" t="s">
        <v>8</v>
      </c>
      <c r="H9" s="358" t="s">
        <v>208</v>
      </c>
      <c r="I9" s="358" t="s">
        <v>8</v>
      </c>
      <c r="J9" s="358" t="s">
        <v>212</v>
      </c>
      <c r="K9" s="358" t="s">
        <v>289</v>
      </c>
      <c r="L9" s="358" t="s">
        <v>289</v>
      </c>
      <c r="M9" s="358" t="s">
        <v>289</v>
      </c>
      <c r="N9" s="358" t="s">
        <v>289</v>
      </c>
      <c r="O9" s="358" t="s">
        <v>289</v>
      </c>
      <c r="P9" s="358" t="s">
        <v>289</v>
      </c>
    </row>
    <row r="10" spans="2:18" ht="16">
      <c r="B10" s="359"/>
      <c r="C10" s="360"/>
      <c r="D10" s="361"/>
      <c r="E10" s="362"/>
      <c r="F10" s="363"/>
      <c r="G10" s="363"/>
      <c r="H10" s="364"/>
      <c r="I10" s="364"/>
      <c r="J10" s="365"/>
      <c r="K10" s="365"/>
      <c r="L10" s="365"/>
      <c r="M10" s="365"/>
      <c r="N10" s="366"/>
      <c r="O10" s="366"/>
      <c r="P10" s="366"/>
    </row>
    <row r="11" spans="2:18" ht="16">
      <c r="B11" s="359"/>
      <c r="C11" s="360"/>
      <c r="D11" s="361"/>
      <c r="E11" s="362"/>
      <c r="F11" s="363"/>
      <c r="G11" s="363"/>
      <c r="H11" s="364"/>
      <c r="I11" s="364"/>
      <c r="J11" s="365"/>
      <c r="K11" s="365"/>
      <c r="L11" s="365"/>
      <c r="M11" s="365"/>
      <c r="N11" s="366"/>
      <c r="O11" s="366"/>
      <c r="P11" s="366"/>
    </row>
    <row r="12" spans="2:18" ht="16">
      <c r="B12" s="359" t="s">
        <v>300</v>
      </c>
      <c r="C12" s="360" t="s">
        <v>299</v>
      </c>
      <c r="D12" s="361">
        <v>43948</v>
      </c>
      <c r="E12" s="369">
        <v>6900</v>
      </c>
      <c r="F12" s="363">
        <v>1330</v>
      </c>
      <c r="G12" s="363">
        <f>207.9+96.9</f>
        <v>304.8</v>
      </c>
      <c r="H12" s="364">
        <f t="shared" ref="H12:I17" si="0">IFERROR(IF(OR(+$E12/F12&lt;0,+$E12/F12&gt;=100),"NM",+$E12/F12),"N/A")</f>
        <v>5.1879699248120303</v>
      </c>
      <c r="I12" s="364">
        <f t="shared" si="0"/>
        <v>22.637795275590552</v>
      </c>
      <c r="J12" s="365">
        <v>125</v>
      </c>
      <c r="K12" s="365">
        <v>124.89</v>
      </c>
      <c r="L12" s="365">
        <v>124.7</v>
      </c>
      <c r="M12" s="365">
        <v>118.93</v>
      </c>
      <c r="N12" s="366">
        <f t="shared" ref="N12" si="1">IFERROR($J12/K12-1,"N/A")</f>
        <v>8.8077508207229371E-4</v>
      </c>
      <c r="O12" s="366">
        <f t="shared" ref="O12" si="2">IFERROR($J12/L12-1,"N/A")</f>
        <v>2.4057738572573761E-3</v>
      </c>
      <c r="P12" s="366">
        <f t="shared" ref="P12" si="3">IFERROR($J12/M12-1,"N/A")</f>
        <v>5.1038425964853307E-2</v>
      </c>
    </row>
    <row r="13" spans="2:18" ht="16">
      <c r="B13" s="367" t="s">
        <v>239</v>
      </c>
      <c r="C13" s="368" t="s">
        <v>290</v>
      </c>
      <c r="D13" s="361">
        <v>43516</v>
      </c>
      <c r="E13" s="369">
        <f>3226605/1000</f>
        <v>3226.605</v>
      </c>
      <c r="F13" s="363">
        <v>1043.5</v>
      </c>
      <c r="G13" s="363">
        <v>192.5</v>
      </c>
      <c r="H13" s="364">
        <f t="shared" si="0"/>
        <v>3.0920987062769525</v>
      </c>
      <c r="I13" s="364">
        <f t="shared" si="0"/>
        <v>16.761584415584416</v>
      </c>
      <c r="J13" s="365">
        <v>69.02</v>
      </c>
      <c r="K13" s="365">
        <v>65.77</v>
      </c>
      <c r="L13" s="365">
        <v>61.85</v>
      </c>
      <c r="M13" s="365">
        <v>58.42</v>
      </c>
      <c r="N13" s="366">
        <f t="shared" ref="N13:P17" si="4">IFERROR($J13/K13-1,"N/A")</f>
        <v>4.9414626729511912E-2</v>
      </c>
      <c r="O13" s="366">
        <f t="shared" si="4"/>
        <v>0.11592562651576377</v>
      </c>
      <c r="P13" s="366">
        <f t="shared" si="4"/>
        <v>0.18144471071550838</v>
      </c>
      <c r="R13" s="84"/>
    </row>
    <row r="14" spans="2:18" ht="16">
      <c r="B14" s="223" t="s">
        <v>291</v>
      </c>
      <c r="C14" s="368" t="s">
        <v>292</v>
      </c>
      <c r="D14" s="361">
        <v>44434</v>
      </c>
      <c r="E14" s="369">
        <v>21000</v>
      </c>
      <c r="F14" s="369">
        <v>2632.5</v>
      </c>
      <c r="G14" s="369">
        <v>1057</v>
      </c>
      <c r="H14" s="364">
        <f t="shared" si="0"/>
        <v>7.9772079772079776</v>
      </c>
      <c r="I14" s="364">
        <f t="shared" si="0"/>
        <v>19.867549668874172</v>
      </c>
      <c r="J14" s="365">
        <v>73.63</v>
      </c>
      <c r="K14" s="365">
        <v>103.14</v>
      </c>
      <c r="L14" s="365">
        <v>98.45</v>
      </c>
      <c r="M14" s="365">
        <v>98.29</v>
      </c>
      <c r="N14" s="366">
        <f t="shared" si="4"/>
        <v>-0.28611595889082808</v>
      </c>
      <c r="O14" s="366">
        <f t="shared" si="4"/>
        <v>-0.25210766886744551</v>
      </c>
      <c r="P14" s="366">
        <f t="shared" si="4"/>
        <v>-0.25089022281005202</v>
      </c>
      <c r="R14" s="84"/>
    </row>
    <row r="15" spans="2:18" ht="16">
      <c r="B15" s="367" t="s">
        <v>293</v>
      </c>
      <c r="C15" s="368" t="s">
        <v>294</v>
      </c>
      <c r="D15" s="361">
        <v>44606</v>
      </c>
      <c r="E15" s="369">
        <v>48800</v>
      </c>
      <c r="F15" s="369">
        <v>3676.4</v>
      </c>
      <c r="G15" s="369">
        <v>1092.5</v>
      </c>
      <c r="H15" s="364">
        <f t="shared" si="0"/>
        <v>13.273854858013273</v>
      </c>
      <c r="I15" s="364">
        <f t="shared" si="0"/>
        <v>44.668192219679632</v>
      </c>
      <c r="J15" s="365">
        <v>143</v>
      </c>
      <c r="K15" s="365">
        <v>194.92</v>
      </c>
      <c r="L15" s="365">
        <v>210.13</v>
      </c>
      <c r="M15" s="365">
        <v>197.87</v>
      </c>
      <c r="N15" s="366">
        <f t="shared" si="4"/>
        <v>-0.26636568848758457</v>
      </c>
      <c r="O15" s="366">
        <f t="shared" si="4"/>
        <v>-0.31946890020463525</v>
      </c>
      <c r="P15" s="366">
        <f t="shared" si="4"/>
        <v>-0.27730327993126802</v>
      </c>
      <c r="R15" s="84"/>
    </row>
    <row r="16" spans="2:18" ht="16">
      <c r="B16" s="367" t="s">
        <v>295</v>
      </c>
      <c r="C16" s="368" t="s">
        <v>296</v>
      </c>
      <c r="D16" s="361">
        <v>45153</v>
      </c>
      <c r="E16" s="369">
        <v>5200</v>
      </c>
      <c r="F16" s="369">
        <v>1677.6</v>
      </c>
      <c r="G16" s="369">
        <v>594.70000000000005</v>
      </c>
      <c r="H16" s="364">
        <f t="shared" si="0"/>
        <v>3.0996661897949451</v>
      </c>
      <c r="I16" s="364">
        <f t="shared" si="0"/>
        <v>8.7439044896586502</v>
      </c>
      <c r="J16" s="365">
        <v>53</v>
      </c>
      <c r="K16" s="365">
        <v>34.24</v>
      </c>
      <c r="L16" s="365">
        <v>37.020000000000003</v>
      </c>
      <c r="M16" s="365">
        <v>37.47</v>
      </c>
      <c r="N16" s="366">
        <f t="shared" si="4"/>
        <v>0.5478971962616821</v>
      </c>
      <c r="O16" s="366">
        <f t="shared" si="4"/>
        <v>0.43165856293895177</v>
      </c>
      <c r="P16" s="366">
        <f t="shared" si="4"/>
        <v>0.41446490525753932</v>
      </c>
      <c r="R16" s="84"/>
    </row>
    <row r="17" spans="2:18" ht="16">
      <c r="B17" s="367" t="s">
        <v>297</v>
      </c>
      <c r="C17" s="368" t="s">
        <v>298</v>
      </c>
      <c r="D17" s="361">
        <v>44439</v>
      </c>
      <c r="E17" s="369">
        <v>4800</v>
      </c>
      <c r="F17" s="369">
        <v>1333.6610000000001</v>
      </c>
      <c r="G17" s="362">
        <f>116.9+84</f>
        <v>200.9</v>
      </c>
      <c r="H17" s="364">
        <f t="shared" si="0"/>
        <v>3.5991155173616081</v>
      </c>
      <c r="I17" s="364">
        <f t="shared" si="0"/>
        <v>23.892483822797409</v>
      </c>
      <c r="J17" s="365">
        <v>67.5</v>
      </c>
      <c r="K17" s="370">
        <v>67.42</v>
      </c>
      <c r="L17" s="370">
        <v>67.36</v>
      </c>
      <c r="M17" s="370">
        <v>64.84</v>
      </c>
      <c r="N17" s="366">
        <f t="shared" si="4"/>
        <v>1.1865915158706386E-3</v>
      </c>
      <c r="O17" s="366">
        <f t="shared" si="4"/>
        <v>2.0783847980998527E-3</v>
      </c>
      <c r="P17" s="366">
        <f t="shared" si="4"/>
        <v>4.1024059222702025E-2</v>
      </c>
      <c r="R17" s="84"/>
    </row>
    <row r="18" spans="2:18" ht="16">
      <c r="B18" s="367"/>
      <c r="C18" s="367"/>
      <c r="D18" s="361"/>
      <c r="E18" s="362"/>
      <c r="F18" s="362"/>
      <c r="G18" s="362"/>
      <c r="H18" s="364"/>
      <c r="I18" s="364"/>
      <c r="J18" s="370"/>
      <c r="K18" s="370"/>
      <c r="L18" s="370"/>
      <c r="M18" s="370"/>
      <c r="N18" s="366"/>
      <c r="O18" s="366"/>
      <c r="P18" s="366"/>
      <c r="R18" s="408"/>
    </row>
    <row r="19" spans="2:18" ht="16">
      <c r="B19" s="371"/>
      <c r="C19" s="371"/>
      <c r="D19" s="372"/>
      <c r="E19" s="373"/>
      <c r="F19" s="373"/>
      <c r="G19" s="373"/>
      <c r="H19" s="374"/>
      <c r="I19" s="374"/>
      <c r="J19" s="374"/>
      <c r="K19" s="374"/>
      <c r="L19" s="374"/>
      <c r="M19" s="374"/>
      <c r="N19" s="374"/>
      <c r="O19" s="374"/>
      <c r="P19" s="374"/>
    </row>
    <row r="20" spans="2:18" ht="16">
      <c r="B20" s="375" t="s">
        <v>228</v>
      </c>
      <c r="C20" s="376"/>
      <c r="D20" s="377"/>
      <c r="E20" s="378">
        <f>MAX(E13:E18)</f>
        <v>48800</v>
      </c>
      <c r="F20" s="378">
        <f t="shared" ref="F20:P20" si="5">MAX(F13:F18)</f>
        <v>3676.4</v>
      </c>
      <c r="G20" s="378">
        <f t="shared" si="5"/>
        <v>1092.5</v>
      </c>
      <c r="H20" s="379">
        <f t="shared" si="5"/>
        <v>13.273854858013273</v>
      </c>
      <c r="I20" s="379">
        <f>MAX(I13:I19)</f>
        <v>44.668192219679632</v>
      </c>
      <c r="J20" s="380"/>
      <c r="K20" s="380"/>
      <c r="L20" s="380"/>
      <c r="M20" s="380"/>
      <c r="N20" s="381">
        <f t="shared" si="5"/>
        <v>0.5478971962616821</v>
      </c>
      <c r="O20" s="381">
        <f t="shared" si="5"/>
        <v>0.43165856293895177</v>
      </c>
      <c r="P20" s="382">
        <f t="shared" si="5"/>
        <v>0.41446490525753932</v>
      </c>
    </row>
    <row r="21" spans="2:18" ht="16">
      <c r="B21" s="383" t="s">
        <v>229</v>
      </c>
      <c r="C21" s="384"/>
      <c r="D21" s="385"/>
      <c r="E21" s="386">
        <f>QUARTILE(E13:E18,3)</f>
        <v>21000</v>
      </c>
      <c r="F21" s="386">
        <f t="shared" ref="F21:P21" si="6">QUARTILE(F13:F18,3)</f>
        <v>2632.5</v>
      </c>
      <c r="G21" s="386">
        <f t="shared" si="6"/>
        <v>1057</v>
      </c>
      <c r="H21" s="387">
        <f t="shared" si="6"/>
        <v>7.9772079772079776</v>
      </c>
      <c r="I21" s="387">
        <f t="shared" si="6"/>
        <v>23.892483822797409</v>
      </c>
      <c r="J21" s="388"/>
      <c r="K21" s="388"/>
      <c r="L21" s="388"/>
      <c r="M21" s="388"/>
      <c r="N21" s="389">
        <f t="shared" si="6"/>
        <v>4.9414626729511912E-2</v>
      </c>
      <c r="O21" s="389">
        <f t="shared" si="6"/>
        <v>0.11592562651576377</v>
      </c>
      <c r="P21" s="390">
        <f t="shared" si="6"/>
        <v>0.18144471071550838</v>
      </c>
    </row>
    <row r="22" spans="2:18" ht="16">
      <c r="B22" s="391" t="s">
        <v>230</v>
      </c>
      <c r="C22" s="392"/>
      <c r="D22" s="393"/>
      <c r="E22" s="394">
        <f>MEDIAN(E13:E18)</f>
        <v>5200</v>
      </c>
      <c r="F22" s="394">
        <f t="shared" ref="F22:P22" si="7">MEDIAN(F13:F18)</f>
        <v>1677.6</v>
      </c>
      <c r="G22" s="394">
        <f t="shared" si="7"/>
        <v>594.70000000000005</v>
      </c>
      <c r="H22" s="395">
        <f t="shared" si="7"/>
        <v>3.5991155173616081</v>
      </c>
      <c r="I22" s="395">
        <f t="shared" si="7"/>
        <v>19.867549668874172</v>
      </c>
      <c r="J22" s="395"/>
      <c r="K22" s="395"/>
      <c r="L22" s="395"/>
      <c r="M22" s="395"/>
      <c r="N22" s="396">
        <f t="shared" si="7"/>
        <v>1.1865915158706386E-3</v>
      </c>
      <c r="O22" s="396">
        <f t="shared" si="7"/>
        <v>2.0783847980998527E-3</v>
      </c>
      <c r="P22" s="397">
        <f t="shared" si="7"/>
        <v>4.1024059222702025E-2</v>
      </c>
    </row>
    <row r="23" spans="2:18" ht="16">
      <c r="B23" s="383" t="s">
        <v>231</v>
      </c>
      <c r="C23" s="384"/>
      <c r="D23" s="385"/>
      <c r="E23" s="386">
        <f>QUARTILE(E13:E18,1)</f>
        <v>4800</v>
      </c>
      <c r="F23" s="386">
        <f t="shared" ref="F23:P23" si="8">QUARTILE(F13:F18,1)</f>
        <v>1333.6610000000001</v>
      </c>
      <c r="G23" s="386">
        <f t="shared" si="8"/>
        <v>200.9</v>
      </c>
      <c r="H23" s="387">
        <f t="shared" si="8"/>
        <v>3.0996661897949451</v>
      </c>
      <c r="I23" s="387">
        <f t="shared" si="8"/>
        <v>16.761584415584416</v>
      </c>
      <c r="J23" s="388"/>
      <c r="K23" s="388"/>
      <c r="L23" s="388"/>
      <c r="M23" s="388"/>
      <c r="N23" s="389">
        <f t="shared" si="8"/>
        <v>-0.26636568848758457</v>
      </c>
      <c r="O23" s="389">
        <f t="shared" si="8"/>
        <v>-0.25210766886744551</v>
      </c>
      <c r="P23" s="390">
        <f t="shared" si="8"/>
        <v>-0.25089022281005202</v>
      </c>
    </row>
    <row r="24" spans="2:18" ht="16">
      <c r="B24" s="398" t="s">
        <v>232</v>
      </c>
      <c r="C24" s="399"/>
      <c r="D24" s="400"/>
      <c r="E24" s="401">
        <f>MIN(E13:E18)</f>
        <v>3226.605</v>
      </c>
      <c r="F24" s="401">
        <f t="shared" ref="F24:P24" si="9">MIN(F13:F18)</f>
        <v>1043.5</v>
      </c>
      <c r="G24" s="401">
        <f t="shared" si="9"/>
        <v>192.5</v>
      </c>
      <c r="H24" s="402">
        <f t="shared" si="9"/>
        <v>3.0920987062769525</v>
      </c>
      <c r="I24" s="402">
        <f t="shared" si="9"/>
        <v>8.7439044896586502</v>
      </c>
      <c r="J24" s="403"/>
      <c r="K24" s="403"/>
      <c r="L24" s="403"/>
      <c r="M24" s="403"/>
      <c r="N24" s="404">
        <f t="shared" si="9"/>
        <v>-0.28611595889082808</v>
      </c>
      <c r="O24" s="404">
        <f t="shared" si="9"/>
        <v>-0.31946890020463525</v>
      </c>
      <c r="P24" s="405">
        <f t="shared" si="9"/>
        <v>-0.27730327993126802</v>
      </c>
    </row>
    <row r="26" spans="2:18" ht="16">
      <c r="B26" s="384"/>
      <c r="D26" s="361"/>
      <c r="E26" s="369"/>
      <c r="F26" s="369"/>
      <c r="G26" s="407"/>
      <c r="H26" s="364"/>
      <c r="I26" s="364"/>
    </row>
    <row r="27" spans="2:18">
      <c r="E27" s="406"/>
    </row>
    <row r="28" spans="2:18">
      <c r="E28" s="406"/>
    </row>
    <row r="29" spans="2:18">
      <c r="E29" s="1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DBD19-0003-49AB-88BB-EECD9FD887F6}">
  <dimension ref="B2:W50"/>
  <sheetViews>
    <sheetView showGridLines="0" topLeftCell="A10" zoomScale="60" workbookViewId="0">
      <selection activeCell="F21" sqref="F21"/>
    </sheetView>
  </sheetViews>
  <sheetFormatPr defaultRowHeight="14.5"/>
  <cols>
    <col min="2" max="2" width="38.1796875" bestFit="1" customWidth="1"/>
    <col min="6" max="7" width="11.90625" bestFit="1" customWidth="1"/>
    <col min="8" max="8" width="12.54296875" bestFit="1" customWidth="1"/>
    <col min="9" max="21" width="11.90625" bestFit="1" customWidth="1"/>
    <col min="23" max="23" width="9.7265625" bestFit="1" customWidth="1"/>
  </cols>
  <sheetData>
    <row r="2" spans="2:23" ht="16">
      <c r="B2" s="627"/>
      <c r="C2" s="627"/>
      <c r="D2" s="628"/>
      <c r="E2" s="628"/>
      <c r="F2" s="629" t="str">
        <f>[2]WMT_Model!$E$90</f>
        <v>Historical:</v>
      </c>
      <c r="G2" s="629"/>
      <c r="H2" s="629"/>
      <c r="I2" s="629"/>
      <c r="J2" s="629" t="str">
        <f>[2]WMT_Model!$I$90</f>
        <v>Projected:</v>
      </c>
      <c r="K2" s="630"/>
      <c r="L2" s="629"/>
      <c r="M2" s="629"/>
      <c r="N2" s="629"/>
      <c r="O2" s="629"/>
      <c r="P2" s="629"/>
      <c r="Q2" s="629"/>
      <c r="R2" s="629"/>
      <c r="S2" s="629"/>
      <c r="T2" s="629"/>
      <c r="U2" s="629"/>
      <c r="V2" s="632"/>
      <c r="W2" s="631" t="s">
        <v>202</v>
      </c>
    </row>
    <row r="3" spans="2:23" ht="16">
      <c r="B3" s="58" t="s">
        <v>410</v>
      </c>
      <c r="C3" s="58"/>
      <c r="D3" s="80" t="str">
        <f>[2]WMT_Model!$D$91</f>
        <v>Units:</v>
      </c>
      <c r="E3" s="80"/>
      <c r="F3" s="264" t="str">
        <f>Model!F51</f>
        <v>Q1</v>
      </c>
      <c r="G3" s="264" t="str">
        <f>Model!G51</f>
        <v>Q2</v>
      </c>
      <c r="H3" s="264" t="str">
        <f>Model!H51</f>
        <v>Q3</v>
      </c>
      <c r="I3" s="264" t="str">
        <f>Model!I51</f>
        <v>Q4</v>
      </c>
      <c r="J3" s="264" t="str">
        <f>Model!J51</f>
        <v>Q1-25</v>
      </c>
      <c r="K3" s="264" t="str">
        <f>Model!K51</f>
        <v>Q2-25</v>
      </c>
      <c r="L3" s="264" t="str">
        <f>Model!L51</f>
        <v>Q3-25</v>
      </c>
      <c r="M3" s="264" t="str">
        <f>Model!M51</f>
        <v>Q4-25</v>
      </c>
      <c r="N3" s="264" t="str">
        <f>Model!N51</f>
        <v>Q1-26</v>
      </c>
      <c r="O3" s="264" t="str">
        <f>Model!O51</f>
        <v>Q2-26</v>
      </c>
      <c r="P3" s="264" t="str">
        <f>Model!P51</f>
        <v>Q3-26</v>
      </c>
      <c r="Q3" s="264" t="str">
        <f>Model!Q51</f>
        <v>Q4-26</v>
      </c>
      <c r="R3" s="264" t="str">
        <f>Model!R51</f>
        <v>Q1-27</v>
      </c>
      <c r="S3" s="264" t="str">
        <f>Model!S51</f>
        <v>Q2-27</v>
      </c>
      <c r="T3" s="264" t="str">
        <f>Model!T51</f>
        <v>Q3-27</v>
      </c>
      <c r="U3" s="264" t="str">
        <f>Model!U51</f>
        <v>Q4-27</v>
      </c>
      <c r="V3" s="632"/>
      <c r="W3" s="264" t="s">
        <v>411</v>
      </c>
    </row>
    <row r="4" spans="2:23" ht="16">
      <c r="B4" s="633" t="s">
        <v>412</v>
      </c>
      <c r="C4" s="633"/>
      <c r="D4" s="634"/>
      <c r="E4" s="634"/>
      <c r="F4" s="634"/>
      <c r="G4" s="635"/>
      <c r="H4" s="635"/>
      <c r="I4" s="635"/>
      <c r="J4" s="635"/>
      <c r="K4" s="635"/>
      <c r="L4" s="635"/>
      <c r="M4" s="635"/>
      <c r="N4" s="635"/>
      <c r="O4" s="635"/>
      <c r="P4" s="635"/>
      <c r="Q4" s="635"/>
      <c r="R4" s="635"/>
      <c r="S4" s="635"/>
      <c r="T4" s="635"/>
      <c r="U4" s="635"/>
      <c r="V4" s="632"/>
      <c r="W4" s="635"/>
    </row>
    <row r="5" spans="2:23" ht="16">
      <c r="B5" s="636"/>
      <c r="F5" s="637"/>
      <c r="G5" s="637"/>
      <c r="H5" s="637"/>
      <c r="I5" s="637"/>
      <c r="J5" s="637"/>
      <c r="K5" s="637"/>
      <c r="L5" s="637"/>
      <c r="M5" s="637"/>
      <c r="N5" s="637"/>
      <c r="O5" s="637"/>
      <c r="P5" s="637"/>
      <c r="Q5" s="637"/>
      <c r="R5" s="637"/>
      <c r="S5" s="637"/>
      <c r="T5" s="637"/>
      <c r="U5" s="637"/>
      <c r="V5" s="588"/>
    </row>
    <row r="6" spans="2:23" ht="16">
      <c r="B6" s="638"/>
      <c r="D6" s="158"/>
      <c r="E6" s="158"/>
      <c r="F6" s="642"/>
      <c r="G6" s="642"/>
      <c r="H6" s="642"/>
      <c r="I6" s="642"/>
      <c r="J6" s="642"/>
      <c r="K6" s="642"/>
      <c r="L6" s="642"/>
      <c r="M6" s="642"/>
      <c r="N6" s="642"/>
      <c r="O6" s="642"/>
      <c r="P6" s="642"/>
      <c r="Q6" s="642"/>
      <c r="R6" s="642"/>
      <c r="S6" s="642"/>
      <c r="T6" s="642"/>
      <c r="U6" s="642"/>
      <c r="V6" s="588"/>
      <c r="W6" s="640"/>
    </row>
    <row r="7" spans="2:23" ht="16">
      <c r="B7" s="638" t="str">
        <f>Model!C21</f>
        <v>Total Revenue:</v>
      </c>
      <c r="D7" s="158" t="s">
        <v>413</v>
      </c>
      <c r="E7" s="158"/>
      <c r="F7" s="639">
        <f>Model!F55</f>
        <v>11286</v>
      </c>
      <c r="G7" s="639">
        <f>Model!G55</f>
        <v>24900</v>
      </c>
      <c r="H7" s="639">
        <f>Model!H55</f>
        <v>37981.740762124711</v>
      </c>
      <c r="I7" s="639">
        <f>Model!I55</f>
        <v>114887.4</v>
      </c>
      <c r="J7" s="639">
        <f>Model!J55</f>
        <v>190897.92000000001</v>
      </c>
      <c r="K7" s="639">
        <f>Model!K55</f>
        <v>251215.77600000001</v>
      </c>
      <c r="L7" s="639">
        <f>Model!L55</f>
        <v>293479.53480000002</v>
      </c>
      <c r="M7" s="639">
        <f>Model!M55</f>
        <v>367362.35154</v>
      </c>
      <c r="N7" s="639">
        <f>Model!N55</f>
        <v>409796.37911700003</v>
      </c>
      <c r="O7" s="639">
        <f>Model!O55</f>
        <v>438919.17807285005</v>
      </c>
      <c r="P7" s="639">
        <f>Model!P55</f>
        <v>459071.52697649255</v>
      </c>
      <c r="Q7" s="639">
        <f>Model!Q55</f>
        <v>479324.83332531719</v>
      </c>
      <c r="R7" s="639">
        <f>Model!R55</f>
        <v>490617.54499158304</v>
      </c>
      <c r="S7" s="639">
        <f>Model!S55</f>
        <v>525673.56224116217</v>
      </c>
      <c r="T7" s="639">
        <f>Model!T55</f>
        <v>555327.65035322029</v>
      </c>
      <c r="U7" s="639">
        <f>Model!U55</f>
        <v>571504.55287088128</v>
      </c>
      <c r="V7" s="588"/>
      <c r="W7" s="640" t="e">
        <f>(N7/I7)^(1/YEARFRAC(I$3,N$3,))-1</f>
        <v>#VALUE!</v>
      </c>
    </row>
    <row r="8" spans="2:23" ht="16">
      <c r="B8" s="638"/>
      <c r="D8" s="158"/>
      <c r="E8" s="158"/>
      <c r="F8" s="643"/>
      <c r="G8" s="644"/>
      <c r="H8" s="644"/>
      <c r="I8" s="644"/>
      <c r="J8" s="644"/>
      <c r="K8" s="644"/>
      <c r="L8" s="644"/>
      <c r="M8" s="644"/>
      <c r="N8" s="644"/>
      <c r="O8" s="644"/>
      <c r="P8" s="644"/>
      <c r="Q8" s="644"/>
      <c r="R8" s="644"/>
      <c r="S8" s="644"/>
      <c r="T8" s="644"/>
      <c r="U8" s="644"/>
      <c r="V8" s="588"/>
      <c r="W8" s="640"/>
    </row>
    <row r="9" spans="2:23" ht="16">
      <c r="B9" s="638" t="str">
        <f>Model!C23</f>
        <v>Utilization Rate:</v>
      </c>
      <c r="D9" s="158" t="s">
        <v>71</v>
      </c>
      <c r="E9" s="158"/>
      <c r="F9" s="660">
        <f>Model!G23</f>
        <v>0.89999999999999991</v>
      </c>
      <c r="G9" s="660">
        <f>Model!H23</f>
        <v>1</v>
      </c>
      <c r="H9" s="660">
        <f>Model!I23</f>
        <v>0.9</v>
      </c>
      <c r="I9" s="660">
        <f>Model!J23</f>
        <v>0.9</v>
      </c>
      <c r="J9" s="660">
        <f>Model!K23</f>
        <v>0.9</v>
      </c>
      <c r="K9" s="660">
        <f>Model!L23</f>
        <v>0.9</v>
      </c>
      <c r="L9" s="660">
        <f>Model!M23</f>
        <v>0.9</v>
      </c>
      <c r="M9" s="660">
        <f>Model!N23</f>
        <v>0.9</v>
      </c>
      <c r="N9" s="660">
        <f>Model!O23</f>
        <v>0.9</v>
      </c>
      <c r="O9" s="660">
        <f>Model!P23</f>
        <v>0.9</v>
      </c>
      <c r="P9" s="660">
        <f>Model!Q23</f>
        <v>0.9</v>
      </c>
      <c r="Q9" s="660">
        <f>Model!R23</f>
        <v>0.9</v>
      </c>
      <c r="R9" s="660">
        <f>Model!S23</f>
        <v>0.9</v>
      </c>
      <c r="S9" s="660">
        <f>Model!T23</f>
        <v>0.9</v>
      </c>
      <c r="T9" s="660">
        <f>Model!U23</f>
        <v>0.9</v>
      </c>
      <c r="U9" s="660">
        <f>Model!V23</f>
        <v>0</v>
      </c>
      <c r="V9" s="588"/>
      <c r="W9" s="640" t="e">
        <f>(N9/I9)^(1/YEARFRAC(I$3,N$3,))-1</f>
        <v>#VALUE!</v>
      </c>
    </row>
    <row r="10" spans="2:23" ht="16">
      <c r="B10" s="638"/>
      <c r="D10" s="158"/>
      <c r="E10" s="158"/>
      <c r="F10" s="642"/>
      <c r="G10" s="642"/>
      <c r="H10" s="642"/>
      <c r="I10" s="642"/>
      <c r="J10" s="642"/>
      <c r="K10" s="642"/>
      <c r="L10" s="642"/>
      <c r="M10" s="642"/>
      <c r="N10" s="642"/>
      <c r="O10" s="642"/>
      <c r="P10" s="642"/>
      <c r="Q10" s="642"/>
      <c r="R10" s="642"/>
      <c r="S10" s="642"/>
      <c r="T10" s="642"/>
      <c r="U10" s="642"/>
      <c r="V10" s="588"/>
      <c r="W10" s="588"/>
    </row>
    <row r="11" spans="2:23" ht="16">
      <c r="B11" s="638"/>
      <c r="D11" s="158"/>
      <c r="E11" s="158"/>
      <c r="F11" s="642"/>
      <c r="G11" s="642"/>
      <c r="H11" s="642"/>
      <c r="I11" s="642"/>
      <c r="J11" s="642"/>
      <c r="K11" s="642"/>
      <c r="L11" s="642"/>
      <c r="M11" s="642"/>
      <c r="N11" s="642"/>
      <c r="O11" s="642"/>
      <c r="P11" s="642"/>
      <c r="Q11" s="642"/>
      <c r="R11" s="642"/>
      <c r="S11" s="642"/>
      <c r="T11" s="642"/>
      <c r="U11" s="642"/>
      <c r="V11" s="588"/>
      <c r="W11" s="588"/>
    </row>
    <row r="12" spans="2:23" ht="16">
      <c r="B12" s="633" t="s">
        <v>414</v>
      </c>
      <c r="C12" s="633"/>
      <c r="D12" s="634"/>
      <c r="E12" s="634"/>
      <c r="F12" s="634"/>
      <c r="G12" s="635"/>
      <c r="H12" s="635"/>
      <c r="I12" s="635"/>
      <c r="J12" s="635"/>
      <c r="K12" s="635"/>
      <c r="L12" s="635"/>
      <c r="M12" s="635"/>
      <c r="N12" s="635"/>
      <c r="O12" s="635"/>
      <c r="P12" s="635"/>
      <c r="Q12" s="635"/>
      <c r="R12" s="635"/>
      <c r="S12" s="635"/>
      <c r="T12" s="635"/>
      <c r="U12" s="635"/>
      <c r="V12" s="588"/>
      <c r="W12" s="635"/>
    </row>
    <row r="13" spans="2:23" ht="16">
      <c r="B13" s="86"/>
      <c r="C13" s="86"/>
      <c r="D13" s="88"/>
      <c r="E13" s="88"/>
      <c r="F13" s="88"/>
      <c r="G13" s="645"/>
      <c r="H13" s="645"/>
      <c r="I13" s="645"/>
      <c r="J13" s="645"/>
      <c r="K13" s="645"/>
      <c r="L13" s="645"/>
      <c r="M13" s="645"/>
      <c r="N13" s="645"/>
      <c r="O13" s="645"/>
      <c r="P13" s="645"/>
      <c r="Q13" s="645"/>
      <c r="R13" s="645"/>
      <c r="S13" s="645"/>
      <c r="T13" s="645"/>
      <c r="U13" s="645"/>
      <c r="V13" s="588"/>
      <c r="W13" s="645"/>
    </row>
    <row r="14" spans="2:23" ht="16">
      <c r="B14" s="43" t="s">
        <v>83</v>
      </c>
      <c r="C14" s="646"/>
      <c r="D14" s="158" t="s">
        <v>413</v>
      </c>
      <c r="E14" s="158"/>
      <c r="F14" s="647">
        <f t="shared" ref="F14:U15" si="0">INDEX(Three_State_Range,MATCH($B14,Three_State_Params,0),MATCH(F$3,Three_State_Quart,0))</f>
        <v>11286</v>
      </c>
      <c r="G14" s="647">
        <f t="shared" si="0"/>
        <v>24900</v>
      </c>
      <c r="H14" s="647">
        <f t="shared" si="0"/>
        <v>28125</v>
      </c>
      <c r="I14" s="647">
        <f t="shared" si="0"/>
        <v>84753</v>
      </c>
      <c r="J14" s="647">
        <f t="shared" si="0"/>
        <v>159256.80000000002</v>
      </c>
      <c r="K14" s="647">
        <f t="shared" si="0"/>
        <v>217992.6</v>
      </c>
      <c r="L14" s="647">
        <f t="shared" si="0"/>
        <v>258595.20000000001</v>
      </c>
      <c r="M14" s="647">
        <f t="shared" si="0"/>
        <v>330733.8</v>
      </c>
      <c r="N14" s="647">
        <f t="shared" si="0"/>
        <v>371336.4</v>
      </c>
      <c r="O14" s="647">
        <f t="shared" si="0"/>
        <v>398536.2</v>
      </c>
      <c r="P14" s="647">
        <f t="shared" si="0"/>
        <v>416669.4</v>
      </c>
      <c r="Q14" s="647">
        <f t="shared" si="0"/>
        <v>434802.60000000003</v>
      </c>
      <c r="R14" s="647">
        <f t="shared" si="0"/>
        <v>443869.2</v>
      </c>
      <c r="S14" s="647">
        <f t="shared" si="0"/>
        <v>476587.8</v>
      </c>
      <c r="T14" s="647">
        <f t="shared" si="0"/>
        <v>503787.60000000003</v>
      </c>
      <c r="U14" s="647">
        <f t="shared" si="0"/>
        <v>517387.5</v>
      </c>
      <c r="V14" s="588"/>
      <c r="W14" s="640" t="e">
        <f>(N14/I14)^(1/YEARFRAC(I$3,N$3,))-1</f>
        <v>#VALUE!</v>
      </c>
    </row>
    <row r="15" spans="2:23" ht="16">
      <c r="B15" s="641" t="s">
        <v>415</v>
      </c>
      <c r="C15" s="648"/>
      <c r="D15" s="158" t="s">
        <v>71</v>
      </c>
      <c r="E15" s="158"/>
      <c r="F15" s="661">
        <f t="shared" si="0"/>
        <v>0</v>
      </c>
      <c r="G15" s="661">
        <f t="shared" si="0"/>
        <v>1.2062732589048379</v>
      </c>
      <c r="H15" s="661">
        <f t="shared" si="0"/>
        <v>0.52537111494476751</v>
      </c>
      <c r="I15" s="661">
        <f t="shared" si="0"/>
        <v>2.0248060698304116</v>
      </c>
      <c r="J15" s="661">
        <f t="shared" si="0"/>
        <v>0.66160884483415949</v>
      </c>
      <c r="K15" s="661">
        <f t="shared" si="0"/>
        <v>0.31596916299559474</v>
      </c>
      <c r="L15" s="661">
        <f t="shared" si="0"/>
        <v>0.16823688174742668</v>
      </c>
      <c r="M15" s="661">
        <f t="shared" si="0"/>
        <v>0.25174776425330481</v>
      </c>
      <c r="N15" s="661">
        <f t="shared" si="0"/>
        <v>0.11551000639862696</v>
      </c>
      <c r="O15" s="661">
        <f t="shared" si="0"/>
        <v>7.106651117465157E-2</v>
      </c>
      <c r="P15" s="661">
        <f t="shared" si="0"/>
        <v>4.5913575688637742E-2</v>
      </c>
      <c r="Q15" s="661">
        <f t="shared" si="0"/>
        <v>4.4117975432315992E-2</v>
      </c>
      <c r="R15" s="661">
        <f t="shared" si="0"/>
        <v>2.355962153665736E-2</v>
      </c>
      <c r="S15" s="661">
        <f t="shared" si="0"/>
        <v>7.1452840623913216E-2</v>
      </c>
      <c r="T15" s="661">
        <f t="shared" si="0"/>
        <v>5.6411602641058378E-2</v>
      </c>
      <c r="U15" s="661">
        <f t="shared" si="0"/>
        <v>2.9130374666868297E-2</v>
      </c>
      <c r="V15" s="588"/>
      <c r="W15" s="588"/>
    </row>
    <row r="16" spans="2:23" ht="16">
      <c r="B16" s="649"/>
      <c r="C16" s="650"/>
      <c r="D16" s="650"/>
      <c r="E16" s="650"/>
      <c r="F16" s="647"/>
      <c r="G16" s="647"/>
      <c r="H16" s="647"/>
      <c r="I16" s="647"/>
      <c r="J16" s="647"/>
      <c r="K16" s="647"/>
      <c r="L16" s="647"/>
      <c r="M16" s="647"/>
      <c r="N16" s="647"/>
      <c r="O16" s="647"/>
      <c r="P16" s="647"/>
      <c r="Q16" s="647"/>
      <c r="R16" s="647"/>
      <c r="S16" s="647"/>
      <c r="T16" s="647"/>
      <c r="U16" s="647"/>
      <c r="V16" s="588"/>
      <c r="W16" s="588"/>
    </row>
    <row r="17" spans="2:23" ht="16">
      <c r="B17" s="43" t="s">
        <v>1</v>
      </c>
      <c r="C17" s="646"/>
      <c r="D17" s="158" t="s">
        <v>413</v>
      </c>
      <c r="E17" s="158"/>
      <c r="F17" s="647">
        <f t="shared" ref="F17:U18" si="1">INDEX(Three_State_Range,MATCH($B17,Three_State_Params,0),MATCH(F$3,Three_State_Quart,0))</f>
        <v>13824</v>
      </c>
      <c r="G17" s="647">
        <f t="shared" si="1"/>
        <v>31701.206273258904</v>
      </c>
      <c r="H17" s="647">
        <f t="shared" si="1"/>
        <v>57064.006895364364</v>
      </c>
      <c r="I17" s="647">
        <f t="shared" si="1"/>
        <v>167436.2848060698</v>
      </c>
      <c r="J17" s="647">
        <f t="shared" si="1"/>
        <v>266423.79760884482</v>
      </c>
      <c r="K17" s="647">
        <f t="shared" si="1"/>
        <v>346930.47996916296</v>
      </c>
      <c r="L17" s="647">
        <f t="shared" si="1"/>
        <v>405367.9418368818</v>
      </c>
      <c r="M17" s="647">
        <f t="shared" si="1"/>
        <v>589022.16092476202</v>
      </c>
      <c r="N17" s="647">
        <f t="shared" si="1"/>
        <v>656002.84769319813</v>
      </c>
      <c r="O17" s="647">
        <f t="shared" si="1"/>
        <v>702265.69224685337</v>
      </c>
      <c r="P17" s="647">
        <f t="shared" si="1"/>
        <v>734581.89229150303</v>
      </c>
      <c r="Q17" s="647">
        <f t="shared" si="1"/>
        <v>767100.03058385232</v>
      </c>
      <c r="R17" s="647">
        <f t="shared" si="1"/>
        <v>785691.19705318031</v>
      </c>
      <c r="S17" s="647">
        <f t="shared" si="1"/>
        <v>841389.29625849077</v>
      </c>
      <c r="T17" s="647">
        <f t="shared" si="1"/>
        <v>888714.74852681905</v>
      </c>
      <c r="U17" s="647">
        <f t="shared" si="1"/>
        <v>915077.17182363849</v>
      </c>
      <c r="V17" s="588"/>
      <c r="W17" s="640" t="e">
        <f>(N17/I17)^(1/YEARFRAC(I$3,N$3,))-1</f>
        <v>#VALUE!</v>
      </c>
    </row>
    <row r="18" spans="2:23" ht="16">
      <c r="B18" s="641" t="s">
        <v>416</v>
      </c>
      <c r="C18" s="648"/>
      <c r="D18" s="158" t="s">
        <v>71</v>
      </c>
      <c r="E18" s="158"/>
      <c r="F18" s="661">
        <f t="shared" si="1"/>
        <v>1.2248803827751196</v>
      </c>
      <c r="G18" s="661">
        <f t="shared" si="1"/>
        <v>1.2731408141871046</v>
      </c>
      <c r="H18" s="661">
        <f t="shared" si="1"/>
        <v>1.5024063076189609</v>
      </c>
      <c r="I18" s="661">
        <f t="shared" si="1"/>
        <v>1.4573946734460856</v>
      </c>
      <c r="J18" s="661">
        <f t="shared" si="1"/>
        <v>1.3956348901488544</v>
      </c>
      <c r="K18" s="661">
        <f t="shared" si="1"/>
        <v>1.3810059443446854</v>
      </c>
      <c r="L18" s="661">
        <f t="shared" si="1"/>
        <v>1.3812477320203309</v>
      </c>
      <c r="M18" s="661">
        <f t="shared" si="1"/>
        <v>1.6033819428026683</v>
      </c>
      <c r="N18" s="661">
        <f t="shared" si="1"/>
        <v>1.600801961956585</v>
      </c>
      <c r="O18" s="661">
        <f t="shared" si="1"/>
        <v>1.5999886250818918</v>
      </c>
      <c r="P18" s="661">
        <f t="shared" si="1"/>
        <v>1.6001469250980542</v>
      </c>
      <c r="Q18" s="661">
        <f t="shared" si="1"/>
        <v>1.6003761483879189</v>
      </c>
      <c r="R18" s="661">
        <f t="shared" si="1"/>
        <v>1.6014331429314448</v>
      </c>
      <c r="S18" s="661">
        <f t="shared" si="1"/>
        <v>1.6005927569788803</v>
      </c>
      <c r="T18" s="661">
        <f t="shared" si="1"/>
        <v>1.6003430550622599</v>
      </c>
      <c r="U18" s="661">
        <f t="shared" si="1"/>
        <v>1.6011721467954425</v>
      </c>
      <c r="V18" s="588"/>
      <c r="W18" s="588"/>
    </row>
    <row r="19" spans="2:23" ht="16">
      <c r="B19" s="649"/>
      <c r="C19" s="650"/>
      <c r="D19" s="650"/>
      <c r="E19" s="650"/>
      <c r="F19" s="647"/>
      <c r="G19" s="647"/>
      <c r="H19" s="647"/>
      <c r="I19" s="647"/>
      <c r="J19" s="647"/>
      <c r="K19" s="647"/>
      <c r="L19" s="647"/>
      <c r="M19" s="647"/>
      <c r="N19" s="647"/>
      <c r="O19" s="647"/>
      <c r="P19" s="647"/>
      <c r="Q19" s="647"/>
      <c r="R19" s="647"/>
      <c r="S19" s="647"/>
      <c r="T19" s="647"/>
      <c r="U19" s="647"/>
      <c r="V19" s="588"/>
      <c r="W19" s="588"/>
    </row>
    <row r="20" spans="2:23" ht="16">
      <c r="B20" s="657" t="str">
        <f>Model!C77</f>
        <v>Net Income</v>
      </c>
      <c r="C20" s="646"/>
      <c r="D20" s="158" t="s">
        <v>413</v>
      </c>
      <c r="E20" s="158"/>
      <c r="F20" s="647">
        <f t="shared" ref="F20:U21" si="2">INDEX(Three_State_Range,MATCH($B20,Three_State_Params,0),MATCH(F$3,Three_State_Quart,0))</f>
        <v>-108896.40000000001</v>
      </c>
      <c r="G20" s="647">
        <f t="shared" si="2"/>
        <v>-14398.793726741103</v>
      </c>
      <c r="H20" s="647">
        <f t="shared" si="2"/>
        <v>-19135.993104635636</v>
      </c>
      <c r="I20" s="647">
        <f t="shared" si="2"/>
        <v>59107.713376132873</v>
      </c>
      <c r="J20" s="647">
        <f t="shared" si="2"/>
        <v>130561.8994249509</v>
      </c>
      <c r="K20" s="647">
        <f t="shared" si="2"/>
        <v>186633.9001427633</v>
      </c>
      <c r="L20" s="647">
        <f t="shared" si="2"/>
        <v>229892.22151751627</v>
      </c>
      <c r="M20" s="647">
        <f t="shared" si="2"/>
        <v>389428.8039175414</v>
      </c>
      <c r="N20" s="647">
        <f t="shared" si="2"/>
        <v>443478.47433762014</v>
      </c>
      <c r="O20" s="647">
        <f t="shared" si="2"/>
        <v>482153.50818660809</v>
      </c>
      <c r="P20" s="647">
        <f t="shared" si="2"/>
        <v>510736.95251450723</v>
      </c>
      <c r="Q20" s="647">
        <f t="shared" si="2"/>
        <v>540068.64813518221</v>
      </c>
      <c r="R20" s="647">
        <f t="shared" si="2"/>
        <v>558752.21190462029</v>
      </c>
      <c r="S20" s="647">
        <f t="shared" si="2"/>
        <v>605463.19355106167</v>
      </c>
      <c r="T20" s="647">
        <f t="shared" si="2"/>
        <v>643966.54943418433</v>
      </c>
      <c r="U20" s="647">
        <f t="shared" si="2"/>
        <v>668355.80238959508</v>
      </c>
      <c r="V20" s="588"/>
      <c r="W20" s="640" t="e">
        <f>(N20/I20)^(1/YEARFRAC(I$3,N$3,))-1</f>
        <v>#VALUE!</v>
      </c>
    </row>
    <row r="21" spans="2:23" ht="16">
      <c r="B21" s="45" t="s">
        <v>417</v>
      </c>
      <c r="C21" s="651"/>
      <c r="D21" s="158" t="s">
        <v>418</v>
      </c>
      <c r="E21" s="158"/>
      <c r="F21" s="647" t="e">
        <f t="shared" si="2"/>
        <v>#N/A</v>
      </c>
      <c r="G21" s="647" t="e">
        <f t="shared" si="2"/>
        <v>#N/A</v>
      </c>
      <c r="H21" s="647" t="e">
        <f t="shared" si="2"/>
        <v>#N/A</v>
      </c>
      <c r="I21" s="647" t="e">
        <f t="shared" si="2"/>
        <v>#N/A</v>
      </c>
      <c r="J21" s="647" t="e">
        <f t="shared" si="2"/>
        <v>#N/A</v>
      </c>
      <c r="K21" s="647" t="e">
        <f t="shared" si="2"/>
        <v>#N/A</v>
      </c>
      <c r="L21" s="647" t="e">
        <f t="shared" si="2"/>
        <v>#N/A</v>
      </c>
      <c r="M21" s="647" t="e">
        <f t="shared" si="2"/>
        <v>#N/A</v>
      </c>
      <c r="N21" s="647" t="e">
        <f t="shared" si="2"/>
        <v>#N/A</v>
      </c>
      <c r="O21" s="647" t="e">
        <f t="shared" si="2"/>
        <v>#N/A</v>
      </c>
      <c r="P21" s="647" t="e">
        <f t="shared" si="2"/>
        <v>#N/A</v>
      </c>
      <c r="Q21" s="647" t="e">
        <f t="shared" si="2"/>
        <v>#N/A</v>
      </c>
      <c r="R21" s="647" t="e">
        <f t="shared" si="2"/>
        <v>#N/A</v>
      </c>
      <c r="S21" s="647" t="e">
        <f t="shared" si="2"/>
        <v>#N/A</v>
      </c>
      <c r="T21" s="647" t="e">
        <f t="shared" si="2"/>
        <v>#N/A</v>
      </c>
      <c r="U21" s="647" t="e">
        <f t="shared" si="2"/>
        <v>#N/A</v>
      </c>
      <c r="V21" s="588"/>
      <c r="W21" s="640"/>
    </row>
    <row r="22" spans="2:23" ht="16">
      <c r="B22" s="649"/>
      <c r="C22" s="650"/>
      <c r="D22" s="650"/>
      <c r="E22" s="650"/>
      <c r="F22" s="647"/>
      <c r="G22" s="647"/>
      <c r="H22" s="647"/>
      <c r="I22" s="647"/>
      <c r="J22" s="647"/>
      <c r="K22" s="647"/>
      <c r="L22" s="647"/>
      <c r="M22" s="647"/>
      <c r="N22" s="647"/>
      <c r="O22" s="647"/>
      <c r="P22" s="647"/>
      <c r="Q22" s="647"/>
      <c r="R22" s="647"/>
      <c r="S22" s="647"/>
      <c r="T22" s="647"/>
      <c r="U22" s="647"/>
      <c r="V22" s="588"/>
      <c r="W22" s="588"/>
    </row>
    <row r="23" spans="2:23" ht="16">
      <c r="B23" s="39" t="str">
        <f>Model!C146</f>
        <v>CapEx</v>
      </c>
      <c r="C23" s="651"/>
      <c r="D23" s="158" t="s">
        <v>413</v>
      </c>
      <c r="E23" s="158"/>
      <c r="F23" s="647">
        <f t="shared" ref="F23:U23" si="3">INDEX(Three_State_Range,MATCH($B23,Three_State_Params,0),MATCH(F$3,Three_State_Quart,0))</f>
        <v>-64494.81</v>
      </c>
      <c r="G23" s="647">
        <f t="shared" si="3"/>
        <v>-155505.19</v>
      </c>
      <c r="H23" s="647">
        <f t="shared" si="3"/>
        <v>-167000</v>
      </c>
      <c r="I23" s="647">
        <f t="shared" si="3"/>
        <v>-387000</v>
      </c>
      <c r="J23" s="647">
        <f t="shared" si="3"/>
        <v>-410000</v>
      </c>
      <c r="K23" s="647">
        <f t="shared" si="3"/>
        <v>-450000</v>
      </c>
      <c r="L23" s="647">
        <f t="shared" si="3"/>
        <v>-286000</v>
      </c>
      <c r="M23" s="647">
        <f t="shared" si="3"/>
        <v>-490000</v>
      </c>
      <c r="N23" s="647">
        <f t="shared" si="3"/>
        <v>-286000</v>
      </c>
      <c r="O23" s="647">
        <f t="shared" si="3"/>
        <v>-246000</v>
      </c>
      <c r="P23" s="647">
        <f t="shared" si="3"/>
        <v>-164000</v>
      </c>
      <c r="Q23" s="647">
        <f t="shared" si="3"/>
        <v>-164000</v>
      </c>
      <c r="R23" s="647">
        <f t="shared" si="3"/>
        <v>-82000</v>
      </c>
      <c r="S23" s="647">
        <f t="shared" si="3"/>
        <v>-268000</v>
      </c>
      <c r="T23" s="647">
        <f t="shared" si="3"/>
        <v>-246000</v>
      </c>
      <c r="U23" s="647">
        <f t="shared" si="3"/>
        <v>-123000</v>
      </c>
      <c r="V23" s="588"/>
      <c r="W23" s="640" t="e">
        <f>(N23/I23)^(1/YEARFRAC(I$3,N$3,))-1</f>
        <v>#VALUE!</v>
      </c>
    </row>
    <row r="24" spans="2:23" ht="16">
      <c r="B24" s="648" t="s">
        <v>419</v>
      </c>
      <c r="C24" s="651"/>
      <c r="D24" s="158" t="s">
        <v>71</v>
      </c>
      <c r="E24" s="158"/>
      <c r="F24" s="661">
        <f>F23/-F7</f>
        <v>5.7145853269537481</v>
      </c>
      <c r="G24" s="661">
        <f t="shared" ref="G24:U24" si="4">G23/-G7</f>
        <v>6.2451883534136545</v>
      </c>
      <c r="H24" s="661">
        <f t="shared" si="4"/>
        <v>4.3968495558405776</v>
      </c>
      <c r="I24" s="661">
        <f t="shared" si="4"/>
        <v>3.3685156074556479</v>
      </c>
      <c r="J24" s="661">
        <f t="shared" si="4"/>
        <v>2.1477447213673151</v>
      </c>
      <c r="K24" s="661">
        <f t="shared" si="4"/>
        <v>1.7912887763864001</v>
      </c>
      <c r="L24" s="661">
        <f t="shared" si="4"/>
        <v>0.97451428834689557</v>
      </c>
      <c r="M24" s="661">
        <f t="shared" si="4"/>
        <v>1.333832925300857</v>
      </c>
      <c r="N24" s="661">
        <f t="shared" si="4"/>
        <v>0.69790758184894741</v>
      </c>
      <c r="O24" s="661">
        <f t="shared" si="4"/>
        <v>0.56046764937477833</v>
      </c>
      <c r="P24" s="661">
        <f t="shared" si="4"/>
        <v>0.35724280501586819</v>
      </c>
      <c r="Q24" s="661">
        <f t="shared" si="4"/>
        <v>0.34214793100171675</v>
      </c>
      <c r="R24" s="661">
        <f t="shared" si="4"/>
        <v>0.16713629758472412</v>
      </c>
      <c r="S24" s="661">
        <f t="shared" si="4"/>
        <v>0.50982210111044202</v>
      </c>
      <c r="T24" s="661">
        <f t="shared" si="4"/>
        <v>0.44298172411103581</v>
      </c>
      <c r="U24" s="661">
        <f t="shared" si="4"/>
        <v>0.21522138254564196</v>
      </c>
      <c r="V24" s="588"/>
      <c r="W24" s="640"/>
    </row>
    <row r="25" spans="2:23" ht="16">
      <c r="B25" s="648"/>
      <c r="C25" s="651"/>
      <c r="D25" s="158"/>
      <c r="E25" s="158"/>
      <c r="F25" s="647"/>
      <c r="G25" s="647"/>
      <c r="H25" s="647"/>
      <c r="I25" s="647"/>
      <c r="J25" s="647"/>
      <c r="K25" s="647"/>
      <c r="L25" s="647"/>
      <c r="M25" s="647"/>
      <c r="N25" s="647"/>
      <c r="O25" s="647"/>
      <c r="P25" s="647"/>
      <c r="Q25" s="647"/>
      <c r="R25" s="647"/>
      <c r="S25" s="647"/>
      <c r="T25" s="647"/>
      <c r="U25" s="647"/>
      <c r="V25" s="588"/>
      <c r="W25" s="640"/>
    </row>
    <row r="26" spans="2:23" ht="16">
      <c r="B26" s="5" t="str">
        <f>Model!C144</f>
        <v>Cash Flow From Operations</v>
      </c>
      <c r="C26" s="651"/>
      <c r="D26" s="158" t="s">
        <v>413</v>
      </c>
      <c r="E26" s="158"/>
      <c r="F26" s="647">
        <f t="shared" ref="F26:U28" si="5">INDEX(Three_State_Range,MATCH($B26,Three_State_Params,0),MATCH(F$3,Three_State_Quart,0))</f>
        <v>0</v>
      </c>
      <c r="G26" s="647">
        <f t="shared" si="5"/>
        <v>4594617.2162732575</v>
      </c>
      <c r="H26" s="647">
        <f t="shared" si="5"/>
        <v>121210.9053711154</v>
      </c>
      <c r="I26" s="647">
        <f t="shared" si="5"/>
        <v>43337.349155452175</v>
      </c>
      <c r="J26" s="647">
        <f t="shared" si="5"/>
        <v>152991.56531404151</v>
      </c>
      <c r="K26" s="647">
        <f t="shared" si="5"/>
        <v>216841.46154083198</v>
      </c>
      <c r="L26" s="647">
        <f t="shared" si="5"/>
        <v>298857.98789251543</v>
      </c>
      <c r="M26" s="647">
        <f t="shared" si="5"/>
        <v>436867.68591097998</v>
      </c>
      <c r="N26" s="647">
        <f t="shared" si="5"/>
        <v>534878.55002844811</v>
      </c>
      <c r="O26" s="647">
        <f t="shared" si="5"/>
        <v>549567.45465932891</v>
      </c>
      <c r="P26" s="647">
        <f t="shared" si="5"/>
        <v>587060.6734086792</v>
      </c>
      <c r="Q26" s="647">
        <f t="shared" si="5"/>
        <v>605067.0334742557</v>
      </c>
      <c r="R26" s="647">
        <f t="shared" si="5"/>
        <v>662859.50133871695</v>
      </c>
      <c r="S26" s="647">
        <f t="shared" si="5"/>
        <v>651212.95488743135</v>
      </c>
      <c r="T26" s="647">
        <f t="shared" si="5"/>
        <v>723318.965813649</v>
      </c>
      <c r="U26" s="647">
        <f t="shared" si="5"/>
        <v>765431.93299138849</v>
      </c>
      <c r="V26" s="588"/>
      <c r="W26" s="640" t="e">
        <f>(N26/I26)^(1/YEARFRAC(I$3,N$3,))-1</f>
        <v>#VALUE!</v>
      </c>
    </row>
    <row r="27" spans="2:23" ht="16">
      <c r="B27" s="5" t="str">
        <f>Model!C148</f>
        <v>Cash Flow From Investing</v>
      </c>
      <c r="C27" s="651"/>
      <c r="D27" s="158" t="s">
        <v>413</v>
      </c>
      <c r="E27" s="158"/>
      <c r="F27" s="647">
        <f t="shared" si="5"/>
        <v>0</v>
      </c>
      <c r="G27" s="647">
        <f t="shared" si="5"/>
        <v>-154249.59000000003</v>
      </c>
      <c r="H27" s="647">
        <f t="shared" si="5"/>
        <v>-167000</v>
      </c>
      <c r="I27" s="647">
        <f t="shared" si="5"/>
        <v>-387000</v>
      </c>
      <c r="J27" s="647">
        <f t="shared" si="5"/>
        <v>-410000</v>
      </c>
      <c r="K27" s="647">
        <f t="shared" si="5"/>
        <v>-450000</v>
      </c>
      <c r="L27" s="647">
        <f t="shared" si="5"/>
        <v>-286000</v>
      </c>
      <c r="M27" s="647">
        <f t="shared" si="5"/>
        <v>-490000</v>
      </c>
      <c r="N27" s="647">
        <f t="shared" si="5"/>
        <v>-286000</v>
      </c>
      <c r="O27" s="647">
        <f t="shared" si="5"/>
        <v>-246000</v>
      </c>
      <c r="P27" s="647">
        <f t="shared" si="5"/>
        <v>-164000</v>
      </c>
      <c r="Q27" s="647">
        <f t="shared" si="5"/>
        <v>-164000</v>
      </c>
      <c r="R27" s="647">
        <f t="shared" si="5"/>
        <v>-82000</v>
      </c>
      <c r="S27" s="647">
        <f t="shared" si="5"/>
        <v>-268000</v>
      </c>
      <c r="T27" s="647">
        <f t="shared" si="5"/>
        <v>-246000</v>
      </c>
      <c r="U27" s="647">
        <f t="shared" si="5"/>
        <v>-123000</v>
      </c>
      <c r="V27" s="588"/>
      <c r="W27" s="640" t="e">
        <f>(-N27/-I27)^(1/YEARFRAC(I$3,N$3,))-1</f>
        <v>#VALUE!</v>
      </c>
    </row>
    <row r="28" spans="2:23" ht="16">
      <c r="B28" s="5" t="str">
        <f>Model!C153</f>
        <v>Cash Flow From Financing</v>
      </c>
      <c r="C28" s="651"/>
      <c r="D28" s="158" t="s">
        <v>413</v>
      </c>
      <c r="E28" s="158"/>
      <c r="F28" s="647">
        <f t="shared" si="5"/>
        <v>0</v>
      </c>
      <c r="G28" s="647">
        <f t="shared" si="5"/>
        <v>-931116.39999999991</v>
      </c>
      <c r="H28" s="647">
        <f t="shared" si="5"/>
        <v>-1332800</v>
      </c>
      <c r="I28" s="647">
        <f t="shared" si="5"/>
        <v>0</v>
      </c>
      <c r="J28" s="647">
        <f t="shared" si="5"/>
        <v>0</v>
      </c>
      <c r="K28" s="647">
        <f t="shared" si="5"/>
        <v>0</v>
      </c>
      <c r="L28" s="647">
        <f t="shared" si="5"/>
        <v>0</v>
      </c>
      <c r="M28" s="647">
        <f t="shared" si="5"/>
        <v>0</v>
      </c>
      <c r="N28" s="647">
        <f t="shared" si="5"/>
        <v>0</v>
      </c>
      <c r="O28" s="647">
        <f t="shared" si="5"/>
        <v>0</v>
      </c>
      <c r="P28" s="647">
        <f t="shared" si="5"/>
        <v>0</v>
      </c>
      <c r="Q28" s="647">
        <f t="shared" si="5"/>
        <v>0</v>
      </c>
      <c r="R28" s="647">
        <f t="shared" si="5"/>
        <v>0</v>
      </c>
      <c r="S28" s="647">
        <f t="shared" si="5"/>
        <v>0</v>
      </c>
      <c r="T28" s="647">
        <f t="shared" si="5"/>
        <v>0</v>
      </c>
      <c r="U28" s="647">
        <f t="shared" si="5"/>
        <v>0</v>
      </c>
      <c r="V28" s="588"/>
      <c r="W28" s="640" t="e">
        <f>(-N28/-I28)^(1/YEARFRAC(I$3,N$3,))-1</f>
        <v>#DIV/0!</v>
      </c>
    </row>
    <row r="29" spans="2:23" ht="16">
      <c r="B29" s="648"/>
      <c r="C29" s="651"/>
      <c r="D29" s="158"/>
      <c r="E29" s="158"/>
      <c r="F29" s="647"/>
      <c r="G29" s="647"/>
      <c r="H29" s="647"/>
      <c r="I29" s="647"/>
      <c r="J29" s="647"/>
      <c r="K29" s="647"/>
      <c r="L29" s="647"/>
      <c r="M29" s="647"/>
      <c r="N29" s="647"/>
      <c r="O29" s="647"/>
      <c r="P29" s="647"/>
      <c r="Q29" s="647"/>
      <c r="R29" s="647"/>
      <c r="S29" s="647"/>
      <c r="T29" s="647"/>
      <c r="U29" s="647"/>
      <c r="V29" s="588"/>
      <c r="W29" s="640"/>
    </row>
    <row r="30" spans="2:23" ht="16">
      <c r="B30" s="5" t="str">
        <f>Model!C100</f>
        <v>Total Assets</v>
      </c>
      <c r="C30" s="651"/>
      <c r="D30" s="158" t="s">
        <v>413</v>
      </c>
      <c r="E30" s="158"/>
      <c r="F30" s="647">
        <f t="shared" ref="F30:U32" si="6">INDEX(Three_State_Range,MATCH($B30,Three_State_Params,0),MATCH(F$3,Three_State_Quart,0))</f>
        <v>8662237.4299999997</v>
      </c>
      <c r="G30" s="647">
        <f t="shared" si="6"/>
        <v>4432400</v>
      </c>
      <c r="H30" s="647">
        <f t="shared" si="6"/>
        <v>3057400</v>
      </c>
      <c r="I30" s="647">
        <f t="shared" si="6"/>
        <v>3335343.4638295695</v>
      </c>
      <c r="J30" s="647">
        <f t="shared" si="6"/>
        <v>3652236.5519068083</v>
      </c>
      <c r="K30" s="647">
        <f t="shared" si="6"/>
        <v>3969183.5402507037</v>
      </c>
      <c r="L30" s="647">
        <f t="shared" si="6"/>
        <v>4269627.9123705272</v>
      </c>
      <c r="M30" s="647">
        <f t="shared" si="6"/>
        <v>4789737.0814748378</v>
      </c>
      <c r="N30" s="647">
        <f t="shared" si="6"/>
        <v>5274684.3379805982</v>
      </c>
      <c r="O30" s="647">
        <f t="shared" si="6"/>
        <v>5766598.8625956476</v>
      </c>
      <c r="P30" s="647">
        <f t="shared" si="6"/>
        <v>6263880.4270624658</v>
      </c>
      <c r="Q30" s="647">
        <f t="shared" si="6"/>
        <v>6786146.5549464459</v>
      </c>
      <c r="R30" s="647">
        <f t="shared" si="6"/>
        <v>7307563.707233334</v>
      </c>
      <c r="S30" s="647">
        <f t="shared" si="6"/>
        <v>7911541.2898686277</v>
      </c>
      <c r="T30" s="647">
        <f t="shared" si="6"/>
        <v>8535248.6989654582</v>
      </c>
      <c r="U30" s="647">
        <f t="shared" si="6"/>
        <v>9159497.9823783003</v>
      </c>
      <c r="V30" s="588"/>
      <c r="W30" s="640" t="e">
        <f>(N30/I30)^(1/YEARFRAC(I$3,N$3,))-1</f>
        <v>#VALUE!</v>
      </c>
    </row>
    <row r="31" spans="2:23" ht="16">
      <c r="B31" s="193" t="str">
        <f>Model!C109</f>
        <v>Long-Term Debt and Capital Lease Obligation</v>
      </c>
      <c r="C31" s="650"/>
      <c r="D31" s="158" t="s">
        <v>413</v>
      </c>
      <c r="E31" s="158"/>
      <c r="F31" s="647">
        <f t="shared" si="6"/>
        <v>11815.2</v>
      </c>
      <c r="G31" s="647">
        <f t="shared" si="6"/>
        <v>10300</v>
      </c>
      <c r="H31" s="647">
        <f t="shared" si="6"/>
        <v>27800</v>
      </c>
      <c r="I31" s="647">
        <f t="shared" si="6"/>
        <v>27800</v>
      </c>
      <c r="J31" s="647">
        <f t="shared" si="6"/>
        <v>27800</v>
      </c>
      <c r="K31" s="647">
        <f t="shared" si="6"/>
        <v>27800</v>
      </c>
      <c r="L31" s="647">
        <f t="shared" si="6"/>
        <v>27800</v>
      </c>
      <c r="M31" s="647">
        <f t="shared" si="6"/>
        <v>27800</v>
      </c>
      <c r="N31" s="647">
        <f t="shared" si="6"/>
        <v>27800</v>
      </c>
      <c r="O31" s="647">
        <f t="shared" si="6"/>
        <v>27800</v>
      </c>
      <c r="P31" s="647">
        <f t="shared" si="6"/>
        <v>27800</v>
      </c>
      <c r="Q31" s="647">
        <f t="shared" si="6"/>
        <v>27800</v>
      </c>
      <c r="R31" s="647">
        <f t="shared" si="6"/>
        <v>27800</v>
      </c>
      <c r="S31" s="647">
        <f t="shared" si="6"/>
        <v>27800</v>
      </c>
      <c r="T31" s="647">
        <f t="shared" si="6"/>
        <v>27800</v>
      </c>
      <c r="U31" s="647">
        <f t="shared" si="6"/>
        <v>27800</v>
      </c>
      <c r="V31" s="588"/>
      <c r="W31" s="640" t="e">
        <f t="shared" ref="W31:W34" si="7">(N31/I31)^(1/YEARFRAC(I$3,N$3,))-1</f>
        <v>#VALUE!</v>
      </c>
    </row>
    <row r="32" spans="2:23" ht="16">
      <c r="B32" s="5" t="s">
        <v>420</v>
      </c>
      <c r="C32" s="651"/>
      <c r="D32" s="158" t="s">
        <v>413</v>
      </c>
      <c r="E32" s="158"/>
      <c r="F32" s="647">
        <f t="shared" si="6"/>
        <v>157539.6</v>
      </c>
      <c r="G32" s="647">
        <f t="shared" si="6"/>
        <v>3894700</v>
      </c>
      <c r="H32" s="647">
        <f t="shared" si="6"/>
        <v>2288200</v>
      </c>
      <c r="I32" s="647">
        <f t="shared" si="6"/>
        <v>1944539.0807998255</v>
      </c>
      <c r="J32" s="647">
        <f t="shared" si="6"/>
        <v>1687530.6461138669</v>
      </c>
      <c r="K32" s="647">
        <f t="shared" si="6"/>
        <v>1454372.1076546989</v>
      </c>
      <c r="L32" s="647">
        <f t="shared" si="6"/>
        <v>1467230.0955472144</v>
      </c>
      <c r="M32" s="647">
        <f t="shared" si="6"/>
        <v>1414097.7814581944</v>
      </c>
      <c r="N32" s="647">
        <f t="shared" si="6"/>
        <v>1662976.3314866424</v>
      </c>
      <c r="O32" s="647">
        <f t="shared" si="6"/>
        <v>1966543.7861459712</v>
      </c>
      <c r="P32" s="647">
        <f t="shared" si="6"/>
        <v>2389604.4595546504</v>
      </c>
      <c r="Q32" s="647">
        <f t="shared" si="6"/>
        <v>2830671.4930289062</v>
      </c>
      <c r="R32" s="647">
        <f t="shared" si="6"/>
        <v>3411530.9943676232</v>
      </c>
      <c r="S32" s="647">
        <f t="shared" si="6"/>
        <v>3794743.9492550548</v>
      </c>
      <c r="T32" s="647">
        <f t="shared" si="6"/>
        <v>4272062.9150687037</v>
      </c>
      <c r="U32" s="647">
        <f t="shared" si="6"/>
        <v>4914494.848060092</v>
      </c>
      <c r="V32" s="588"/>
      <c r="W32" s="640" t="e">
        <f t="shared" si="7"/>
        <v>#VALUE!</v>
      </c>
    </row>
    <row r="33" spans="2:23" ht="16">
      <c r="C33" s="648"/>
      <c r="D33" s="158"/>
      <c r="E33" s="158"/>
      <c r="F33" s="647"/>
      <c r="G33" s="647"/>
      <c r="H33" s="647"/>
      <c r="I33" s="647"/>
      <c r="J33" s="647"/>
      <c r="K33" s="647"/>
      <c r="L33" s="647"/>
      <c r="M33" s="647"/>
      <c r="N33" s="647"/>
      <c r="O33" s="647"/>
      <c r="P33" s="647"/>
      <c r="Q33" s="647"/>
      <c r="R33" s="647"/>
      <c r="S33" s="647"/>
      <c r="T33" s="647"/>
      <c r="U33" s="647"/>
      <c r="V33" s="588"/>
      <c r="W33" s="588"/>
    </row>
    <row r="34" spans="2:23" ht="16">
      <c r="B34" s="168" t="s">
        <v>8</v>
      </c>
      <c r="C34" s="650"/>
      <c r="D34" s="158" t="s">
        <v>413</v>
      </c>
      <c r="E34" s="158"/>
      <c r="F34" s="647">
        <f t="shared" ref="F34:U35" si="8">INDEX(Three_State_Range,MATCH($B34,Three_State_Params,0),MATCH(F$3,Three_State_Quart,0))</f>
        <v>-60717.600000000006</v>
      </c>
      <c r="G34" s="647">
        <f t="shared" si="8"/>
        <v>-85998.793726741103</v>
      </c>
      <c r="H34" s="647">
        <f t="shared" si="8"/>
        <v>-30835.993104635636</v>
      </c>
      <c r="I34" s="647">
        <f t="shared" si="8"/>
        <v>74055.751472736476</v>
      </c>
      <c r="J34" s="647">
        <f t="shared" si="8"/>
        <v>172109.45894217817</v>
      </c>
      <c r="K34" s="647">
        <f t="shared" si="8"/>
        <v>251672.99791582959</v>
      </c>
      <c r="L34" s="647">
        <f t="shared" si="8"/>
        <v>309157.88496301515</v>
      </c>
      <c r="M34" s="647">
        <f t="shared" si="8"/>
        <v>491850.00348215667</v>
      </c>
      <c r="N34" s="647">
        <f t="shared" si="8"/>
        <v>557858.96867616673</v>
      </c>
      <c r="O34" s="647">
        <f t="shared" si="8"/>
        <v>603140.37443965161</v>
      </c>
      <c r="P34" s="647">
        <f t="shared" si="8"/>
        <v>634465.32130622934</v>
      </c>
      <c r="Q34" s="647">
        <f t="shared" si="8"/>
        <v>665982.29388872581</v>
      </c>
      <c r="R34" s="647">
        <f t="shared" si="8"/>
        <v>683562.28299110255</v>
      </c>
      <c r="S34" s="647">
        <f t="shared" si="8"/>
        <v>738239.09305579227</v>
      </c>
      <c r="T34" s="647">
        <f t="shared" si="8"/>
        <v>784533.04329209356</v>
      </c>
      <c r="U34" s="647">
        <f t="shared" si="8"/>
        <v>809853.64953656564</v>
      </c>
      <c r="V34" s="588"/>
      <c r="W34" s="640" t="e">
        <f t="shared" si="7"/>
        <v>#VALUE!</v>
      </c>
    </row>
    <row r="35" spans="2:23" ht="16">
      <c r="B35" s="652" t="s">
        <v>301</v>
      </c>
      <c r="C35" s="651"/>
      <c r="D35" s="158" t="s">
        <v>71</v>
      </c>
      <c r="E35" s="158"/>
      <c r="F35" s="663">
        <f t="shared" si="8"/>
        <v>-5.3799043062200962</v>
      </c>
      <c r="G35" s="663">
        <f t="shared" si="8"/>
        <v>-3.4537668163349839</v>
      </c>
      <c r="H35" s="663">
        <f t="shared" si="8"/>
        <v>-0.81186360829952287</v>
      </c>
      <c r="I35" s="663">
        <f t="shared" si="8"/>
        <v>0.64459419808209151</v>
      </c>
      <c r="J35" s="663">
        <f t="shared" si="8"/>
        <v>0.90157849253767752</v>
      </c>
      <c r="K35" s="663">
        <f t="shared" si="8"/>
        <v>1.0018200366358743</v>
      </c>
      <c r="L35" s="663">
        <f t="shared" si="8"/>
        <v>1.0534222945858887</v>
      </c>
      <c r="M35" s="663">
        <f t="shared" si="8"/>
        <v>1.3388688345996771</v>
      </c>
      <c r="N35" s="663">
        <f t="shared" si="8"/>
        <v>1.3613077057396197</v>
      </c>
      <c r="O35" s="663">
        <f t="shared" si="8"/>
        <v>1.3741490565252648</v>
      </c>
      <c r="P35" s="663">
        <f t="shared" si="8"/>
        <v>1.3820620187117771</v>
      </c>
      <c r="Q35" s="663">
        <f t="shared" si="8"/>
        <v>1.389417463035395</v>
      </c>
      <c r="R35" s="663">
        <f t="shared" si="8"/>
        <v>1.3932691359474918</v>
      </c>
      <c r="S35" s="663">
        <f t="shared" si="8"/>
        <v>1.404367931132728</v>
      </c>
      <c r="T35" s="663">
        <f t="shared" si="8"/>
        <v>1.4127390249577623</v>
      </c>
      <c r="U35" s="663">
        <f t="shared" si="8"/>
        <v>1.4170554643324671</v>
      </c>
      <c r="V35" s="588"/>
      <c r="W35" s="640"/>
    </row>
    <row r="36" spans="2:23" ht="16">
      <c r="B36" s="649"/>
      <c r="C36" s="651"/>
      <c r="D36" s="158"/>
      <c r="E36" s="158"/>
      <c r="F36" s="130"/>
      <c r="G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588"/>
      <c r="W36" s="640"/>
    </row>
    <row r="37" spans="2:23" ht="16">
      <c r="B37" s="627"/>
      <c r="C37" s="627"/>
      <c r="D37" s="628"/>
      <c r="E37" s="628"/>
      <c r="F37" s="629"/>
      <c r="G37" s="629"/>
      <c r="H37" s="629"/>
      <c r="I37" s="653"/>
      <c r="J37" s="629"/>
      <c r="K37" s="629"/>
      <c r="L37" s="629"/>
      <c r="M37" s="629"/>
      <c r="N37" s="629"/>
      <c r="O37" s="629"/>
      <c r="P37" s="629"/>
      <c r="Q37" s="629"/>
      <c r="R37" s="629"/>
      <c r="S37" s="629"/>
      <c r="T37" s="629"/>
      <c r="U37" s="629"/>
      <c r="V37" s="588"/>
      <c r="W37" s="588"/>
    </row>
    <row r="38" spans="2:23" ht="16">
      <c r="B38" s="611" t="s">
        <v>421</v>
      </c>
      <c r="C38" s="611"/>
      <c r="D38" s="654" t="str">
        <f>[2]WMT_Model!$D$91</f>
        <v>Units:</v>
      </c>
      <c r="E38" s="654"/>
      <c r="F38" s="241"/>
      <c r="G38" s="241"/>
      <c r="H38" s="241"/>
      <c r="I38" s="241" t="s">
        <v>429</v>
      </c>
      <c r="J38" s="241" t="str">
        <f>J3</f>
        <v>Q1-25</v>
      </c>
      <c r="K38" s="241" t="str">
        <f>K3</f>
        <v>Q2-25</v>
      </c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588"/>
      <c r="W38" s="588"/>
    </row>
    <row r="39" spans="2:23" ht="16">
      <c r="B39" s="651" t="s">
        <v>422</v>
      </c>
      <c r="D39" s="655" t="s">
        <v>423</v>
      </c>
      <c r="E39" s="655"/>
      <c r="F39" s="656"/>
      <c r="G39" s="656"/>
      <c r="H39" s="656"/>
      <c r="I39" s="664">
        <f>PubComps!N37</f>
        <v>7.0082436570934448</v>
      </c>
      <c r="J39" s="664">
        <f>PubComps!O37</f>
        <v>6.4364649516105681</v>
      </c>
      <c r="K39" s="664">
        <f>PubComps!P37</f>
        <v>6.1546731573329856</v>
      </c>
      <c r="L39" s="656"/>
      <c r="M39" s="656"/>
      <c r="N39" s="656"/>
      <c r="O39" s="656"/>
      <c r="P39" s="656"/>
      <c r="Q39" s="656"/>
      <c r="R39" s="656"/>
      <c r="S39" s="656"/>
      <c r="T39" s="656"/>
      <c r="U39" s="656"/>
      <c r="V39" s="588"/>
      <c r="W39" s="588"/>
    </row>
    <row r="40" spans="2:23" ht="16">
      <c r="B40" s="651" t="str">
        <f>"EV / Revenue - "&amp;Company_Name&amp;":"</f>
        <v>EV / Revenue - Nebius, N.V.:</v>
      </c>
      <c r="D40" s="655" t="s">
        <v>423</v>
      </c>
      <c r="E40" s="655"/>
      <c r="F40" s="656"/>
      <c r="G40" s="656"/>
      <c r="H40" s="656"/>
      <c r="I40" s="664">
        <f>PubComps!N41</f>
        <v>19.774480050923952</v>
      </c>
      <c r="J40" s="664">
        <f>PubComps!O41</f>
        <v>4.2444797176635474</v>
      </c>
      <c r="K40" s="664">
        <f>PubComps!P41</f>
        <v>3.1008495586547435</v>
      </c>
      <c r="L40" s="656"/>
      <c r="M40" s="656"/>
      <c r="N40" s="656"/>
      <c r="O40" s="656"/>
      <c r="P40" s="656"/>
      <c r="Q40" s="656"/>
      <c r="R40" s="656"/>
      <c r="S40" s="656"/>
      <c r="T40" s="656"/>
      <c r="U40" s="656"/>
      <c r="V40" s="588"/>
      <c r="W40" s="588"/>
    </row>
    <row r="41" spans="2:23" ht="16">
      <c r="B41" s="651" t="s">
        <v>424</v>
      </c>
      <c r="D41" s="158" t="s">
        <v>71</v>
      </c>
      <c r="E41" s="158"/>
      <c r="F41" s="588"/>
      <c r="G41" s="588"/>
      <c r="H41" s="588"/>
      <c r="I41" s="587"/>
      <c r="J41" s="587"/>
      <c r="K41" s="665">
        <f>PubComps!W18</f>
        <v>4.500000000000004E-2</v>
      </c>
      <c r="L41" s="588"/>
      <c r="M41" s="588"/>
      <c r="N41" s="588"/>
      <c r="O41" s="588"/>
      <c r="P41" s="588"/>
      <c r="Q41" s="588"/>
      <c r="R41" s="588"/>
      <c r="S41" s="588"/>
      <c r="T41" s="588"/>
      <c r="U41" s="588"/>
      <c r="V41" s="588"/>
      <c r="W41" s="588"/>
    </row>
    <row r="42" spans="2:23" ht="16">
      <c r="B42" s="651" t="s">
        <v>430</v>
      </c>
      <c r="D42" s="158" t="s">
        <v>71</v>
      </c>
      <c r="E42" s="158"/>
      <c r="F42" s="588"/>
      <c r="G42" s="588"/>
      <c r="H42" s="588"/>
      <c r="I42" s="587"/>
      <c r="J42" s="587"/>
      <c r="K42" s="665">
        <f>PubComps!W22</f>
        <v>1.0000000000000009E-2</v>
      </c>
      <c r="L42" s="588"/>
      <c r="M42" s="588"/>
      <c r="N42" s="588"/>
      <c r="O42" s="588"/>
      <c r="P42" s="588"/>
      <c r="Q42" s="588"/>
      <c r="R42" s="588"/>
      <c r="S42" s="588"/>
      <c r="T42" s="588"/>
      <c r="U42" s="588"/>
      <c r="V42" s="588"/>
      <c r="W42" s="588"/>
    </row>
    <row r="43" spans="2:23" ht="16">
      <c r="B43" s="588"/>
      <c r="D43" s="588"/>
      <c r="E43" s="588"/>
      <c r="F43" s="588"/>
      <c r="G43" s="588"/>
      <c r="H43" s="588"/>
      <c r="I43" s="587"/>
      <c r="J43" s="587"/>
      <c r="K43" s="587"/>
      <c r="L43" s="588"/>
      <c r="M43" s="588"/>
      <c r="N43" s="588"/>
      <c r="O43" s="588"/>
      <c r="P43" s="588"/>
      <c r="Q43" s="588"/>
      <c r="R43" s="588"/>
      <c r="S43" s="588"/>
      <c r="T43" s="588"/>
      <c r="U43" s="588"/>
      <c r="V43" s="588"/>
      <c r="W43" s="588"/>
    </row>
    <row r="44" spans="2:23" ht="16">
      <c r="B44" s="651" t="s">
        <v>425</v>
      </c>
      <c r="D44" s="655" t="s">
        <v>423</v>
      </c>
      <c r="E44" s="655"/>
      <c r="F44" s="656"/>
      <c r="G44" s="656"/>
      <c r="H44" s="656"/>
      <c r="I44" s="664">
        <f>PubComps!Q37</f>
        <v>16.508310708917747</v>
      </c>
      <c r="J44" s="664">
        <f>PubComps!R37</f>
        <v>15.722200675159756</v>
      </c>
      <c r="K44" s="664">
        <f>PubComps!S37</f>
        <v>15.046732001347673</v>
      </c>
      <c r="L44" s="656"/>
      <c r="M44" s="656"/>
      <c r="N44" s="656"/>
      <c r="O44" s="656"/>
      <c r="P44" s="656"/>
      <c r="Q44" s="656"/>
      <c r="R44" s="656"/>
      <c r="S44" s="656"/>
      <c r="T44" s="656"/>
      <c r="U44" s="656"/>
      <c r="V44" s="588"/>
      <c r="W44" s="588"/>
    </row>
    <row r="45" spans="2:23" ht="16">
      <c r="B45" s="651" t="str">
        <f>"EV / EBITDA - "&amp;_xlfn.SINGLE(Company_Name)&amp;":"</f>
        <v>EV / EBITDA - Nebius, N.V.:</v>
      </c>
      <c r="D45" s="655" t="s">
        <v>423</v>
      </c>
      <c r="E45" s="655"/>
      <c r="F45" s="656"/>
      <c r="G45" s="656"/>
      <c r="H45" s="656"/>
      <c r="I45" s="664" t="str">
        <f>PubComps!Q41</f>
        <v>NM</v>
      </c>
      <c r="J45" s="664">
        <f>PubComps!R41</f>
        <v>10.141942523890332</v>
      </c>
      <c r="K45" s="664">
        <f>PubComps!S41</f>
        <v>4.3639041085611048</v>
      </c>
      <c r="L45" s="656"/>
      <c r="M45" s="656"/>
      <c r="N45" s="656"/>
      <c r="O45" s="656"/>
      <c r="P45" s="656"/>
      <c r="Q45" s="656"/>
      <c r="R45" s="656"/>
      <c r="S45" s="656"/>
      <c r="T45" s="656"/>
      <c r="U45" s="656"/>
      <c r="V45" s="588"/>
      <c r="W45" s="588"/>
    </row>
    <row r="46" spans="2:23" ht="16">
      <c r="B46" s="651" t="s">
        <v>426</v>
      </c>
      <c r="D46" s="158" t="s">
        <v>71</v>
      </c>
      <c r="E46" s="158"/>
      <c r="F46" s="588"/>
      <c r="G46" s="588"/>
      <c r="H46" s="588"/>
      <c r="I46" s="587"/>
      <c r="J46" s="587"/>
      <c r="K46" s="665">
        <f>PubComps!X18</f>
        <v>5.0000000000000044E-2</v>
      </c>
      <c r="L46" s="588"/>
      <c r="M46" s="588"/>
      <c r="N46" s="588"/>
      <c r="O46" s="588"/>
      <c r="P46" s="588"/>
      <c r="Q46" s="588"/>
      <c r="R46" s="588"/>
      <c r="S46" s="588"/>
      <c r="T46" s="588"/>
      <c r="U46" s="588"/>
      <c r="V46" s="588"/>
      <c r="W46" s="588"/>
    </row>
    <row r="47" spans="2:23" ht="16">
      <c r="B47" s="651" t="str">
        <f>"Projected EBITDA Growth - "&amp;_xlfn.SINGLE(Company_Name)&amp;":"</f>
        <v>Projected EBITDA Growth - Nebius, N.V.:</v>
      </c>
      <c r="D47" s="158" t="s">
        <v>71</v>
      </c>
      <c r="E47" s="158"/>
      <c r="F47" s="588"/>
      <c r="G47" s="588"/>
      <c r="H47" s="588"/>
      <c r="I47" s="587"/>
      <c r="J47" s="587"/>
      <c r="K47" s="665">
        <f>PubComps!X22</f>
        <v>2.0000000000000018E-2</v>
      </c>
      <c r="L47" s="588"/>
      <c r="M47" s="588"/>
      <c r="N47" s="588"/>
      <c r="O47" s="588"/>
      <c r="P47" s="588"/>
      <c r="Q47" s="588"/>
      <c r="R47" s="588"/>
      <c r="S47" s="588"/>
      <c r="T47" s="588"/>
      <c r="U47" s="588"/>
      <c r="V47" s="588"/>
      <c r="W47" s="588"/>
    </row>
    <row r="48" spans="2:23" ht="16">
      <c r="B48" s="588"/>
      <c r="D48" s="588"/>
      <c r="E48" s="588"/>
      <c r="F48" s="588"/>
      <c r="G48" s="588"/>
      <c r="H48" s="588"/>
      <c r="I48" s="587"/>
      <c r="J48" s="587"/>
      <c r="K48" s="587"/>
      <c r="L48" s="588"/>
      <c r="M48" s="588"/>
      <c r="N48" s="588"/>
      <c r="O48" s="588"/>
      <c r="P48" s="588"/>
      <c r="Q48" s="588"/>
      <c r="R48" s="588"/>
      <c r="S48" s="588"/>
      <c r="T48" s="588"/>
      <c r="U48" s="588"/>
      <c r="V48" s="588"/>
      <c r="W48" s="588"/>
    </row>
    <row r="49" spans="2:23" ht="16">
      <c r="B49" s="651" t="s">
        <v>427</v>
      </c>
      <c r="D49" s="655" t="s">
        <v>423</v>
      </c>
      <c r="E49" s="655"/>
      <c r="F49" s="656"/>
      <c r="G49" s="656"/>
      <c r="H49" s="656"/>
      <c r="I49" s="664">
        <f>PubComps!T37</f>
        <v>21.192835489285624</v>
      </c>
      <c r="J49" s="664">
        <f>PubComps!U37</f>
        <v>20.14072407044975</v>
      </c>
      <c r="K49" s="664">
        <f>PubComps!V37</f>
        <v>19.273664844081999</v>
      </c>
      <c r="L49" s="656"/>
      <c r="M49" s="656"/>
      <c r="N49" s="656"/>
      <c r="O49" s="656"/>
      <c r="P49" s="656"/>
      <c r="Q49" s="656"/>
      <c r="R49" s="656"/>
      <c r="S49" s="656"/>
      <c r="T49" s="656"/>
      <c r="U49" s="656"/>
      <c r="V49" s="588"/>
      <c r="W49" s="588"/>
    </row>
    <row r="50" spans="2:23" ht="16">
      <c r="B50" s="651" t="str">
        <f>"P / E - "&amp;_xlfn.SINGLE(Company_Name)&amp;":"</f>
        <v>P / E - Nebius, N.V.:</v>
      </c>
      <c r="D50" s="655" t="s">
        <v>423</v>
      </c>
      <c r="E50" s="655"/>
      <c r="F50" s="656"/>
      <c r="G50" s="656"/>
      <c r="H50" s="656"/>
      <c r="I50" s="664">
        <f>PubComps!T41</f>
        <v>22.794303789529348</v>
      </c>
      <c r="J50" s="664">
        <f>PubComps!U41</f>
        <v>22.794303789529348</v>
      </c>
      <c r="K50" s="664">
        <f>PubComps!V41</f>
        <v>10.319390120197058</v>
      </c>
      <c r="L50" s="656"/>
      <c r="M50" s="656"/>
      <c r="N50" s="656"/>
      <c r="O50" s="656"/>
      <c r="P50" s="656"/>
      <c r="Q50" s="656"/>
      <c r="R50" s="656"/>
      <c r="S50" s="656"/>
      <c r="T50" s="656"/>
      <c r="U50" s="656"/>
      <c r="V50" s="588"/>
      <c r="W50" s="588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72AFA-F927-4180-855A-B2828759764F}">
  <dimension ref="B1:AC122"/>
  <sheetViews>
    <sheetView showGridLines="0" zoomScale="50" workbookViewId="0">
      <selection activeCell="S22" sqref="S22"/>
    </sheetView>
  </sheetViews>
  <sheetFormatPr defaultRowHeight="14.5"/>
  <cols>
    <col min="17" max="17" width="8.1796875" bestFit="1" customWidth="1"/>
    <col min="18" max="19" width="12.08984375" bestFit="1" customWidth="1"/>
    <col min="20" max="21" width="14.453125" bestFit="1" customWidth="1"/>
    <col min="22" max="23" width="10.1796875" bestFit="1" customWidth="1"/>
  </cols>
  <sheetData>
    <row r="1" spans="2:21" ht="16"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2:21" ht="16">
      <c r="B2" s="579" t="str">
        <f>"Graphs and Analysis of Financial Model Output - "&amp;TEXT(Company_Name,"")</f>
        <v>Graphs and Analysis of Financial Model Output - Nebius, N.V.</v>
      </c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</row>
    <row r="4" spans="2:21" ht="16">
      <c r="R4" s="580" t="s">
        <v>374</v>
      </c>
      <c r="S4" s="580" t="s">
        <v>208</v>
      </c>
      <c r="T4" s="580" t="s">
        <v>8</v>
      </c>
      <c r="U4" s="580" t="s">
        <v>209</v>
      </c>
    </row>
    <row r="5" spans="2:21">
      <c r="R5" s="581" t="str" cm="1">
        <f t="array" ref="R5:R20">TRANSPOSE(Model!F51:U51)</f>
        <v>Q1</v>
      </c>
      <c r="S5" s="582" cm="1">
        <f t="array" ref="S5:S20">TRANSPOSE(Model!F53:U53)</f>
        <v>11286</v>
      </c>
      <c r="T5" s="582" cm="1">
        <f t="array" ref="T5:T20">TRANSPOSE(Model!F79:U79)</f>
        <v>-60717.600000000006</v>
      </c>
      <c r="U5" s="583" cm="1">
        <f t="array" ref="U5:U20">TRANSPOSE(DCF!E64:T64)</f>
        <v>-5.3799043062200962</v>
      </c>
    </row>
    <row r="6" spans="2:21">
      <c r="R6" s="581" t="str">
        <v>Q2</v>
      </c>
      <c r="S6" s="582">
        <v>24900</v>
      </c>
      <c r="T6" s="582">
        <v>-85998.793726741103</v>
      </c>
      <c r="U6" s="583">
        <v>-3.4537668163349839</v>
      </c>
    </row>
    <row r="7" spans="2:21">
      <c r="R7" s="581" t="str">
        <v>Q3</v>
      </c>
      <c r="S7" s="582">
        <v>28125</v>
      </c>
      <c r="T7" s="582">
        <v>-30835.993104635636</v>
      </c>
      <c r="U7" s="583">
        <v>-0.81186360829952287</v>
      </c>
    </row>
    <row r="8" spans="2:21">
      <c r="R8" s="581" t="str">
        <v>Q4</v>
      </c>
      <c r="S8" s="582">
        <v>84753</v>
      </c>
      <c r="T8" s="582">
        <v>74055.751472736476</v>
      </c>
      <c r="U8" s="583">
        <v>0.64459419808209151</v>
      </c>
    </row>
    <row r="9" spans="2:21">
      <c r="R9" s="581" t="str">
        <v>Q1-25</v>
      </c>
      <c r="S9" s="582">
        <v>159256.80000000002</v>
      </c>
      <c r="T9" s="582">
        <v>172109.45894217817</v>
      </c>
      <c r="U9" s="583">
        <v>0.90157849253767752</v>
      </c>
    </row>
    <row r="10" spans="2:21">
      <c r="R10" s="581" t="str">
        <v>Q2-25</v>
      </c>
      <c r="S10" s="582">
        <v>217992.6</v>
      </c>
      <c r="T10" s="582">
        <v>251672.99791582959</v>
      </c>
      <c r="U10" s="583">
        <v>1.0018200366358743</v>
      </c>
    </row>
    <row r="11" spans="2:21">
      <c r="R11" s="581" t="str">
        <v>Q3-25</v>
      </c>
      <c r="S11" s="582">
        <v>258595.20000000001</v>
      </c>
      <c r="T11" s="582">
        <v>309157.88496301515</v>
      </c>
      <c r="U11" s="583">
        <v>1.0534222945858887</v>
      </c>
    </row>
    <row r="12" spans="2:21">
      <c r="R12" s="581" t="str">
        <v>Q4-25</v>
      </c>
      <c r="S12" s="582">
        <v>330733.8</v>
      </c>
      <c r="T12" s="582">
        <v>491850.00348215667</v>
      </c>
      <c r="U12" s="583">
        <v>1.3388688345996771</v>
      </c>
    </row>
    <row r="13" spans="2:21">
      <c r="R13" s="581" t="str">
        <v>Q1-26</v>
      </c>
      <c r="S13" s="582">
        <v>371336.4</v>
      </c>
      <c r="T13" s="582">
        <v>557858.96867616673</v>
      </c>
      <c r="U13" s="583">
        <v>1.3613077057396197</v>
      </c>
    </row>
    <row r="14" spans="2:21">
      <c r="R14" s="581" t="str">
        <v>Q2-26</v>
      </c>
      <c r="S14" s="582">
        <v>398536.2</v>
      </c>
      <c r="T14" s="582">
        <v>603140.37443965161</v>
      </c>
      <c r="U14" s="583">
        <v>1.3741490565252648</v>
      </c>
    </row>
    <row r="15" spans="2:21">
      <c r="R15" s="581" t="str">
        <v>Q3-26</v>
      </c>
      <c r="S15" s="582">
        <v>416669.4</v>
      </c>
      <c r="T15" s="582">
        <v>634465.32130622934</v>
      </c>
      <c r="U15" s="583">
        <v>1.3820620187117771</v>
      </c>
    </row>
    <row r="16" spans="2:21">
      <c r="R16" s="581" t="str">
        <v>Q4-26</v>
      </c>
      <c r="S16" s="585">
        <v>434802.60000000003</v>
      </c>
      <c r="T16" s="582">
        <v>665982.29388872581</v>
      </c>
      <c r="U16" s="583">
        <v>1.389417463035395</v>
      </c>
    </row>
    <row r="17" spans="18:22">
      <c r="R17" s="581" t="str">
        <v>Q1-27</v>
      </c>
      <c r="S17" s="585">
        <v>443869.2</v>
      </c>
      <c r="T17" s="582">
        <v>683562.28299110255</v>
      </c>
      <c r="U17" s="583">
        <v>1.3932691359474918</v>
      </c>
    </row>
    <row r="18" spans="18:22">
      <c r="R18" s="581" t="str">
        <v>Q2-27</v>
      </c>
      <c r="S18" s="585">
        <v>476587.8</v>
      </c>
      <c r="T18" s="582">
        <v>738239.09305579227</v>
      </c>
      <c r="U18" s="583">
        <v>1.404367931132728</v>
      </c>
    </row>
    <row r="19" spans="18:22">
      <c r="R19" s="581" t="str">
        <v>Q3-27</v>
      </c>
      <c r="S19" s="585">
        <v>503787.60000000003</v>
      </c>
      <c r="T19" s="582">
        <v>784533.04329209356</v>
      </c>
      <c r="U19" s="583">
        <v>1.4127390249577623</v>
      </c>
    </row>
    <row r="20" spans="18:22">
      <c r="R20" s="581" t="str">
        <v>Q4-27</v>
      </c>
      <c r="S20" s="585">
        <v>517387.5</v>
      </c>
      <c r="T20" s="582">
        <v>809853.64953656564</v>
      </c>
      <c r="U20" s="583">
        <v>1.4170554643324671</v>
      </c>
    </row>
    <row r="21" spans="18:22">
      <c r="R21" s="584"/>
      <c r="S21" s="585"/>
    </row>
    <row r="22" spans="18:22" ht="16">
      <c r="R22" s="586" t="s">
        <v>366</v>
      </c>
      <c r="S22" s="587">
        <v>1</v>
      </c>
      <c r="T22" s="588"/>
      <c r="U22" s="588"/>
    </row>
    <row r="23" spans="18:22" ht="16">
      <c r="R23" s="588"/>
      <c r="S23" s="588"/>
      <c r="T23" s="588"/>
      <c r="U23" s="588"/>
    </row>
    <row r="24" spans="18:22" ht="16">
      <c r="R24" s="586" t="s">
        <v>367</v>
      </c>
      <c r="S24" s="589"/>
      <c r="T24" s="590" t="b">
        <v>1</v>
      </c>
      <c r="U24" s="591" t="b">
        <v>1</v>
      </c>
    </row>
    <row r="25" spans="18:22" ht="16">
      <c r="R25" s="580" t="s">
        <v>405</v>
      </c>
      <c r="S25" s="580" t="s">
        <v>208</v>
      </c>
      <c r="T25" s="580" t="s">
        <v>8</v>
      </c>
      <c r="U25" s="580" t="s">
        <v>209</v>
      </c>
    </row>
    <row r="26" spans="18:22" ht="16">
      <c r="R26" s="592" t="str">
        <f>INDEX(_xlfn.ANCHORARRAY($R$5),$S$22+ROWS(R$22:R22))</f>
        <v>Q2</v>
      </c>
      <c r="S26" s="620">
        <f>INDEX(_xlfn.ANCHORARRAY($S$5),$S$22+ROWS(S$22:S22))</f>
        <v>24900</v>
      </c>
      <c r="T26" s="620">
        <f>INDEX(_xlfn.ANCHORARRAY($T$5),$S$22+ROWS(T$22:T22))</f>
        <v>-85998.793726741103</v>
      </c>
      <c r="U26" s="621">
        <f>INDEX(_xlfn.ANCHORARRAY($U$5),$S$22+ROWS(U$22:U22))</f>
        <v>-3.4537668163349839</v>
      </c>
      <c r="V26" s="592"/>
    </row>
    <row r="27" spans="18:22" ht="16">
      <c r="R27" s="592" t="str">
        <f>INDEX(_xlfn.ANCHORARRAY($R$5),$S$22+ROWS(R$23:R24))</f>
        <v>Q3</v>
      </c>
      <c r="S27" s="620">
        <f>INDEX(_xlfn.ANCHORARRAY($S$5),$S$22+ROWS(S$22:S23))</f>
        <v>28125</v>
      </c>
      <c r="T27" s="620">
        <f>INDEX(_xlfn.ANCHORARRAY($T$5),$S$22+ROWS(T$22:T23))</f>
        <v>-30835.993104635636</v>
      </c>
      <c r="U27" s="621">
        <f>INDEX(_xlfn.ANCHORARRAY($U$5),$S$22+ROWS(U$22:U23))</f>
        <v>-0.81186360829952287</v>
      </c>
    </row>
    <row r="28" spans="18:22" ht="16">
      <c r="R28" s="592" t="str">
        <f>INDEX(_xlfn.ANCHORARRAY($R$5),$S$22+ROWS(R$23:R25))</f>
        <v>Q4</v>
      </c>
      <c r="S28" s="620">
        <f>INDEX(_xlfn.ANCHORARRAY($S$5),$S$22+ROWS(S$22:S24))</f>
        <v>84753</v>
      </c>
      <c r="T28" s="620">
        <f>INDEX(_xlfn.ANCHORARRAY($T$5),$S$22+ROWS(T$22:T24))</f>
        <v>74055.751472736476</v>
      </c>
      <c r="U28" s="621">
        <f>INDEX(_xlfn.ANCHORARRAY($U$5),$S$22+ROWS(U$22:U24))</f>
        <v>0.64459419808209151</v>
      </c>
    </row>
    <row r="29" spans="18:22" ht="16">
      <c r="R29" s="592" t="str">
        <f>INDEX(_xlfn.ANCHORARRAY($R$5),$S$22+ROWS(R$23:R26))</f>
        <v>Q1-25</v>
      </c>
      <c r="S29" s="620">
        <f>INDEX(_xlfn.ANCHORARRAY($S$5),$S$22+ROWS(S$22:S25))</f>
        <v>159256.80000000002</v>
      </c>
      <c r="T29" s="620">
        <f>INDEX(_xlfn.ANCHORARRAY($T$5),$S$22+ROWS(T$22:T25))</f>
        <v>172109.45894217817</v>
      </c>
      <c r="U29" s="621">
        <f>INDEX(_xlfn.ANCHORARRAY($U$5),$S$22+ROWS(U$22:U25))</f>
        <v>0.90157849253767752</v>
      </c>
    </row>
    <row r="32" spans="18:22" ht="16">
      <c r="R32" s="588" t="str">
        <f>Company_Name&amp;": Revenue, EBITDA, and Margins, "&amp;TEXT(R26,"yy")&amp;" to "&amp;TEXT(R29,"yy")</f>
        <v>Nebius, N.V.: Revenue, EBITDA, and Margins, Q2 to Q1-25</v>
      </c>
    </row>
    <row r="34" spans="18:29" ht="16">
      <c r="S34" s="593" t="s">
        <v>248</v>
      </c>
      <c r="T34" s="594"/>
      <c r="U34" s="588"/>
      <c r="V34" s="593" t="s">
        <v>151</v>
      </c>
      <c r="W34" s="594"/>
      <c r="X34" s="588"/>
      <c r="Y34" s="593" t="s">
        <v>368</v>
      </c>
      <c r="Z34" s="594"/>
      <c r="AA34" s="588"/>
      <c r="AB34" s="593" t="s">
        <v>369</v>
      </c>
    </row>
    <row r="35" spans="18:29" ht="16">
      <c r="R35" s="588"/>
      <c r="S35" s="595" t="str">
        <f>PubCompsData!C73</f>
        <v>2024-12-31 Revenue:</v>
      </c>
      <c r="T35" s="595" t="str">
        <f>PubCompsData!C77</f>
        <v>2025-03-31 Revenue:</v>
      </c>
      <c r="U35" s="588"/>
      <c r="V35" s="596" t="str">
        <f>PubCompsData!C74</f>
        <v>2024-12-31 EBITDA:</v>
      </c>
      <c r="W35" s="596" t="str">
        <f>PubCompsData!C78</f>
        <v>2025-03-31 EBITDA:</v>
      </c>
      <c r="X35" s="588"/>
      <c r="Y35" s="596" t="str">
        <f>PubCompsData!C96</f>
        <v>2024-12-31 EV / Revenue:</v>
      </c>
      <c r="Z35" s="596" t="str">
        <f>PubCompsData!C100</f>
        <v>2025-03-31 EV / Revenue:</v>
      </c>
      <c r="AA35" s="588"/>
      <c r="AB35" s="596" t="str">
        <f>PubCompsData!C97</f>
        <v>2024-12-31 EV / EBITDA:</v>
      </c>
      <c r="AC35" s="596" t="str">
        <f>PubCompsData!C101</f>
        <v>2025-03-31 EV / EBITDA:</v>
      </c>
    </row>
    <row r="36" spans="18:29" ht="16">
      <c r="R36" s="98" t="s">
        <v>236</v>
      </c>
      <c r="S36" s="597">
        <f t="shared" ref="S36:T42" si="0">INDEX(Pub_Comps_Range,MATCH(S$35,Pub_Comps_Params,0),MATCH($R36,Pub_Comps_Tickers,0))</f>
        <v>4334.6950399999996</v>
      </c>
      <c r="T36" s="597">
        <f t="shared" si="0"/>
        <v>4508.0828415999995</v>
      </c>
      <c r="U36" s="588"/>
      <c r="V36" s="597">
        <f t="shared" ref="V36:W42" si="1">INDEX(Pub_Comps_Range,MATCH(V$35,Pub_Comps_Params,0),MATCH($R36,Pub_Comps_Tickers,0))</f>
        <v>1513.31565</v>
      </c>
      <c r="W36" s="597">
        <f t="shared" si="1"/>
        <v>1588.9814325</v>
      </c>
      <c r="X36" s="598"/>
      <c r="Y36" s="266">
        <f t="shared" ref="Y36:Z42" si="2">INDEX(Pub_Comps_Range,MATCH(Y$35,Pub_Comps_Params,0),MATCH($R36,Pub_Comps_Tickers,0))</f>
        <v>5.3959076265259025</v>
      </c>
      <c r="Z36" s="266">
        <f t="shared" si="2"/>
        <v>5.1883727178133681</v>
      </c>
      <c r="AA36" s="588"/>
      <c r="AB36" s="266">
        <f t="shared" ref="AB36:AC42" si="3">INDEX(Pub_Comps_Range,MATCH(AB$35,Pub_Comps_Params,0),MATCH($R36,Pub_Comps_Tickers,0))</f>
        <v>15.455872689217216</v>
      </c>
      <c r="AC36" s="266">
        <f t="shared" si="3"/>
        <v>14.719878751635443</v>
      </c>
    </row>
    <row r="37" spans="18:29" ht="16">
      <c r="R37" s="98" t="s">
        <v>224</v>
      </c>
      <c r="S37" s="597">
        <f t="shared" si="0"/>
        <v>7765.9920000000002</v>
      </c>
      <c r="T37" s="597">
        <f t="shared" si="0"/>
        <v>8076.6316800000004</v>
      </c>
      <c r="U37" s="588"/>
      <c r="V37" s="597">
        <f t="shared" si="1"/>
        <v>2810.7449999999999</v>
      </c>
      <c r="W37" s="597">
        <f t="shared" si="1"/>
        <v>2951.2822500000002</v>
      </c>
      <c r="X37" s="598"/>
      <c r="Y37" s="266">
        <f t="shared" si="2"/>
        <v>8.4361779667040597</v>
      </c>
      <c r="Z37" s="266">
        <f t="shared" si="2"/>
        <v>8.1117095833692883</v>
      </c>
      <c r="AA37" s="588"/>
      <c r="AB37" s="266">
        <f t="shared" si="3"/>
        <v>23.308870281722459</v>
      </c>
      <c r="AC37" s="266">
        <f t="shared" si="3"/>
        <v>22.198924077830913</v>
      </c>
    </row>
    <row r="38" spans="18:29" ht="16">
      <c r="R38" s="98" t="s">
        <v>225</v>
      </c>
      <c r="S38" s="597">
        <f t="shared" si="0"/>
        <v>2983.6180500000005</v>
      </c>
      <c r="T38" s="597">
        <f t="shared" si="0"/>
        <v>3132.7989525000007</v>
      </c>
      <c r="U38" s="588"/>
      <c r="V38" s="597">
        <f t="shared" si="1"/>
        <v>1719.4678899999999</v>
      </c>
      <c r="W38" s="597">
        <f t="shared" si="1"/>
        <v>1942.9987156999996</v>
      </c>
      <c r="X38" s="598"/>
      <c r="Y38" s="266">
        <f t="shared" si="2"/>
        <v>7.4770222766952337</v>
      </c>
      <c r="Z38" s="266">
        <f t="shared" si="2"/>
        <v>7.1209735968526031</v>
      </c>
      <c r="AA38" s="588"/>
      <c r="AB38" s="266">
        <f t="shared" si="3"/>
        <v>12.974117606232239</v>
      </c>
      <c r="AC38" s="266">
        <f t="shared" si="3"/>
        <v>11.481520005515257</v>
      </c>
    </row>
    <row r="39" spans="18:29" ht="16">
      <c r="R39" s="98" t="s">
        <v>226</v>
      </c>
      <c r="S39" s="597">
        <f t="shared" si="0"/>
        <v>18300.8</v>
      </c>
      <c r="T39" s="597">
        <f t="shared" si="0"/>
        <v>19215.84</v>
      </c>
      <c r="U39" s="588"/>
      <c r="V39" s="597">
        <f t="shared" si="1"/>
        <v>8636.8000000000011</v>
      </c>
      <c r="W39" s="597">
        <f t="shared" si="1"/>
        <v>9068.6400000000012</v>
      </c>
      <c r="X39" s="598"/>
      <c r="Y39" s="266">
        <f t="shared" si="2"/>
        <v>11.299929811811504</v>
      </c>
      <c r="Z39" s="266">
        <f t="shared" si="2"/>
        <v>10.761837916010956</v>
      </c>
      <c r="AA39" s="588"/>
      <c r="AB39" s="266">
        <f t="shared" si="3"/>
        <v>23.943793476750642</v>
      </c>
      <c r="AC39" s="266">
        <f t="shared" si="3"/>
        <v>22.80361283500061</v>
      </c>
    </row>
    <row r="40" spans="18:29" ht="16">
      <c r="R40" s="98" t="s">
        <v>227</v>
      </c>
      <c r="S40" s="597">
        <f t="shared" si="0"/>
        <v>10346.44</v>
      </c>
      <c r="T40" s="597">
        <f t="shared" si="0"/>
        <v>10449.904400000001</v>
      </c>
      <c r="U40" s="588"/>
      <c r="V40" s="597">
        <f t="shared" si="1"/>
        <v>3263.31</v>
      </c>
      <c r="W40" s="597">
        <f t="shared" si="1"/>
        <v>3328.5762</v>
      </c>
      <c r="X40" s="598"/>
      <c r="Y40" s="266">
        <f t="shared" si="2"/>
        <v>4.5405496963206664</v>
      </c>
      <c r="Z40" s="266">
        <f t="shared" si="2"/>
        <v>4.4955937587333326</v>
      </c>
      <c r="AA40" s="588"/>
      <c r="AB40" s="266">
        <f t="shared" si="3"/>
        <v>14.395973719934666</v>
      </c>
      <c r="AC40" s="266">
        <f t="shared" si="3"/>
        <v>14.113699725426143</v>
      </c>
    </row>
    <row r="41" spans="18:29" ht="16">
      <c r="R41" s="98" t="s">
        <v>223</v>
      </c>
      <c r="S41" s="597">
        <f t="shared" si="0"/>
        <v>7185.9000000000005</v>
      </c>
      <c r="T41" s="597">
        <f t="shared" si="0"/>
        <v>7545.1950000000006</v>
      </c>
      <c r="U41" s="588"/>
      <c r="V41" s="597">
        <f t="shared" si="1"/>
        <v>2174.5500000000002</v>
      </c>
      <c r="W41" s="597">
        <f t="shared" si="1"/>
        <v>2261.5320000000002</v>
      </c>
      <c r="X41" s="598"/>
      <c r="Y41" s="266">
        <f t="shared" si="2"/>
        <v>4.8383438400200394</v>
      </c>
      <c r="Z41" s="266">
        <f t="shared" si="2"/>
        <v>4.6079465143047997</v>
      </c>
      <c r="AA41" s="588"/>
      <c r="AB41" s="266">
        <f t="shared" si="3"/>
        <v>15.988528661102297</v>
      </c>
      <c r="AC41" s="266">
        <f t="shared" si="3"/>
        <v>15.373585251059902</v>
      </c>
    </row>
    <row r="42" spans="18:29" ht="16">
      <c r="R42" s="588" t="s">
        <v>23</v>
      </c>
      <c r="S42" s="597">
        <f t="shared" si="0"/>
        <v>176.952</v>
      </c>
      <c r="T42" s="597">
        <f t="shared" si="0"/>
        <v>242.214</v>
      </c>
      <c r="U42" s="588"/>
      <c r="V42" s="597">
        <f t="shared" si="1"/>
        <v>74.055751472736475</v>
      </c>
      <c r="W42" s="597">
        <f t="shared" si="1"/>
        <v>172.10945894217818</v>
      </c>
      <c r="X42" s="598"/>
      <c r="Y42" s="266">
        <f t="shared" si="2"/>
        <v>4.2444797176635474</v>
      </c>
      <c r="Z42" s="266">
        <f t="shared" si="2"/>
        <v>3.1008495586547435</v>
      </c>
      <c r="AA42" s="588"/>
      <c r="AB42" s="266">
        <f t="shared" si="3"/>
        <v>10.141942523890332</v>
      </c>
      <c r="AC42" s="266">
        <f t="shared" si="3"/>
        <v>4.3639041085611048</v>
      </c>
    </row>
    <row r="43" spans="18:29" ht="16">
      <c r="R43" s="588"/>
      <c r="S43" s="588"/>
      <c r="T43" s="588"/>
      <c r="U43" s="588"/>
      <c r="V43" s="588"/>
      <c r="W43" s="588"/>
      <c r="X43" s="588"/>
      <c r="Y43" s="588"/>
      <c r="Z43" s="588"/>
      <c r="AA43" s="588"/>
      <c r="AB43" s="588"/>
      <c r="AC43" s="588"/>
    </row>
    <row r="44" spans="18:29" ht="16">
      <c r="R44" s="586" t="s">
        <v>370</v>
      </c>
      <c r="S44" s="588"/>
      <c r="T44" s="588"/>
      <c r="U44" s="588"/>
      <c r="V44" s="588"/>
      <c r="W44" s="588"/>
      <c r="X44" s="588"/>
      <c r="Y44" s="588"/>
      <c r="Z44" s="588"/>
      <c r="AA44" s="588"/>
      <c r="AB44" s="588"/>
      <c r="AC44" s="588"/>
    </row>
    <row r="45" spans="18:29" ht="16">
      <c r="R45" s="588"/>
      <c r="S45" s="593" t="s">
        <v>371</v>
      </c>
      <c r="T45" s="594"/>
      <c r="U45" s="588"/>
      <c r="V45" s="593" t="s">
        <v>372</v>
      </c>
      <c r="W45" s="593"/>
      <c r="X45" s="588"/>
      <c r="Y45" s="593" t="s">
        <v>407</v>
      </c>
      <c r="Z45" s="594"/>
      <c r="AA45" s="588"/>
      <c r="AB45" s="593" t="s">
        <v>406</v>
      </c>
      <c r="AC45" s="593"/>
    </row>
    <row r="46" spans="18:29" ht="16">
      <c r="R46" s="588"/>
      <c r="S46" s="599" t="str">
        <f>PubCompsData!C85</f>
        <v>Quarter 1 Projected Revenue Growth:</v>
      </c>
      <c r="T46" s="600" t="s">
        <v>373</v>
      </c>
      <c r="U46" s="588"/>
      <c r="V46" s="599" t="str">
        <f>PubCompsData!C86</f>
        <v>Quarter 1 Projected EBITDA Growth:</v>
      </c>
      <c r="W46" s="600">
        <f>$R$105</f>
        <v>45609</v>
      </c>
      <c r="X46" s="588"/>
      <c r="Y46" s="596" t="str">
        <f>PubCompsData!C100</f>
        <v>2025-03-31 EV / Revenue:</v>
      </c>
      <c r="Z46" s="600">
        <f>$R$105</f>
        <v>45609</v>
      </c>
      <c r="AA46" s="588"/>
      <c r="AB46" s="596" t="str">
        <f>PubCompsData!C101</f>
        <v>2025-03-31 EV / EBITDA:</v>
      </c>
      <c r="AC46" s="600">
        <f>$R$105</f>
        <v>45609</v>
      </c>
    </row>
    <row r="47" spans="18:29" ht="16">
      <c r="R47" s="98" t="s">
        <v>236</v>
      </c>
      <c r="S47" s="194">
        <f t="shared" ref="S47:S53" si="4">INDEX(Pub_Comps_Range,MATCH(S$46,Pub_Comps_Params,0),MATCH($R47,Pub_Comps_Tickers,0))</f>
        <v>4.0000000000000036E-2</v>
      </c>
      <c r="T47" s="601" t="e">
        <f t="shared" ref="T47:T52" si="5">IF($P47=Ticker,S47,NA())</f>
        <v>#N/A</v>
      </c>
      <c r="U47" s="588"/>
      <c r="V47" s="194">
        <f t="shared" ref="V47:V53" si="6">INDEX(Pub_Comps_Range,MATCH(V$46,Pub_Comps_Params,0),MATCH($R47,Pub_Comps_Tickers,0))</f>
        <v>5.0000000000000044E-2</v>
      </c>
      <c r="W47" s="601" t="e">
        <f t="shared" ref="W47:W51" si="7">IF($P47=Ticker,V47,NA())</f>
        <v>#N/A</v>
      </c>
      <c r="X47" s="588"/>
      <c r="Y47" s="266">
        <f t="shared" ref="Y47:Y53" si="8">INDEX(Pub_Comps_Range,MATCH(Y$46,Pub_Comps_Params,0),MATCH($R47,Pub_Comps_Tickers,0))</f>
        <v>5.1883727178133681</v>
      </c>
      <c r="Z47" s="602" t="e">
        <f t="shared" ref="Z47:Z52" si="9">IF($P47=Ticker,Y47,NA())</f>
        <v>#N/A</v>
      </c>
      <c r="AA47" s="588"/>
      <c r="AB47" s="266">
        <f t="shared" ref="AB47:AB53" si="10">INDEX(Pub_Comps_Range,MATCH(AB$46,Pub_Comps_Params,0),MATCH($R47,Pub_Comps_Tickers,0))</f>
        <v>14.719878751635443</v>
      </c>
      <c r="AC47" s="602" t="e">
        <f t="shared" ref="AC47:AC52" si="11">IF($P47=Ticker,AB47,NA())</f>
        <v>#N/A</v>
      </c>
    </row>
    <row r="48" spans="18:29" ht="16">
      <c r="R48" s="98" t="s">
        <v>224</v>
      </c>
      <c r="S48" s="194">
        <f t="shared" si="4"/>
        <v>4.0000000000000036E-2</v>
      </c>
      <c r="T48" s="601" t="e">
        <f t="shared" si="5"/>
        <v>#N/A</v>
      </c>
      <c r="U48" s="588"/>
      <c r="V48" s="194">
        <f t="shared" si="6"/>
        <v>5.0000000000000044E-2</v>
      </c>
      <c r="W48" s="601" t="e">
        <f t="shared" si="7"/>
        <v>#N/A</v>
      </c>
      <c r="X48" s="588"/>
      <c r="Y48" s="266">
        <f t="shared" si="8"/>
        <v>8.1117095833692883</v>
      </c>
      <c r="Z48" s="602" t="e">
        <f t="shared" si="9"/>
        <v>#N/A</v>
      </c>
      <c r="AA48" s="588"/>
      <c r="AB48" s="266">
        <f t="shared" si="10"/>
        <v>22.198924077830913</v>
      </c>
      <c r="AC48" s="602" t="e">
        <f t="shared" si="11"/>
        <v>#N/A</v>
      </c>
    </row>
    <row r="49" spans="18:29" ht="16">
      <c r="R49" s="98" t="s">
        <v>225</v>
      </c>
      <c r="S49" s="194">
        <f t="shared" si="4"/>
        <v>5.0000000000000044E-2</v>
      </c>
      <c r="T49" s="601" t="e">
        <f t="shared" si="5"/>
        <v>#N/A</v>
      </c>
      <c r="U49" s="588"/>
      <c r="V49" s="194">
        <f t="shared" si="6"/>
        <v>0.12999999999999989</v>
      </c>
      <c r="W49" s="601" t="e">
        <f t="shared" si="7"/>
        <v>#N/A</v>
      </c>
      <c r="X49" s="588"/>
      <c r="Y49" s="266">
        <f t="shared" si="8"/>
        <v>7.1209735968526031</v>
      </c>
      <c r="Z49" s="602" t="e">
        <f t="shared" si="9"/>
        <v>#N/A</v>
      </c>
      <c r="AA49" s="588"/>
      <c r="AB49" s="266">
        <f t="shared" si="10"/>
        <v>11.481520005515257</v>
      </c>
      <c r="AC49" s="602" t="e">
        <f t="shared" si="11"/>
        <v>#N/A</v>
      </c>
    </row>
    <row r="50" spans="18:29" ht="16">
      <c r="R50" s="98" t="s">
        <v>226</v>
      </c>
      <c r="S50" s="194">
        <f t="shared" si="4"/>
        <v>5.0000000000000044E-2</v>
      </c>
      <c r="T50" s="601" t="e">
        <f t="shared" si="5"/>
        <v>#N/A</v>
      </c>
      <c r="U50" s="588"/>
      <c r="V50" s="194">
        <f t="shared" si="6"/>
        <v>5.0000000000000044E-2</v>
      </c>
      <c r="W50" s="601" t="e">
        <f t="shared" si="7"/>
        <v>#N/A</v>
      </c>
      <c r="X50" s="588"/>
      <c r="Y50" s="266">
        <f t="shared" si="8"/>
        <v>10.761837916010956</v>
      </c>
      <c r="Z50" s="602" t="e">
        <f t="shared" si="9"/>
        <v>#N/A</v>
      </c>
      <c r="AA50" s="588"/>
      <c r="AB50" s="266">
        <f t="shared" si="10"/>
        <v>22.80361283500061</v>
      </c>
      <c r="AC50" s="602" t="e">
        <f t="shared" si="11"/>
        <v>#N/A</v>
      </c>
    </row>
    <row r="51" spans="18:29" ht="16">
      <c r="R51" s="98" t="s">
        <v>227</v>
      </c>
      <c r="S51" s="194">
        <f t="shared" si="4"/>
        <v>1.0000000000000009E-2</v>
      </c>
      <c r="T51" s="601" t="e">
        <f t="shared" si="5"/>
        <v>#N/A</v>
      </c>
      <c r="U51" s="588"/>
      <c r="V51" s="194">
        <f t="shared" si="6"/>
        <v>2.0000000000000018E-2</v>
      </c>
      <c r="W51" s="601" t="e">
        <f t="shared" si="7"/>
        <v>#N/A</v>
      </c>
      <c r="X51" s="588"/>
      <c r="Y51" s="266">
        <f t="shared" si="8"/>
        <v>4.4955937587333326</v>
      </c>
      <c r="Z51" s="602" t="e">
        <f t="shared" si="9"/>
        <v>#N/A</v>
      </c>
      <c r="AA51" s="588"/>
      <c r="AB51" s="266">
        <f t="shared" si="10"/>
        <v>14.113699725426143</v>
      </c>
      <c r="AC51" s="602" t="e">
        <f t="shared" si="11"/>
        <v>#N/A</v>
      </c>
    </row>
    <row r="52" spans="18:29" ht="16">
      <c r="R52" s="98" t="s">
        <v>223</v>
      </c>
      <c r="S52" s="194">
        <f t="shared" si="4"/>
        <v>5.0000000000000044E-2</v>
      </c>
      <c r="T52" s="601" t="e">
        <f t="shared" si="5"/>
        <v>#N/A</v>
      </c>
      <c r="U52" s="588"/>
      <c r="V52" s="194">
        <f t="shared" si="6"/>
        <v>4.0000000000000036E-2</v>
      </c>
      <c r="W52" s="194"/>
      <c r="X52" s="588"/>
      <c r="Y52" s="266">
        <f t="shared" si="8"/>
        <v>4.6079465143047997</v>
      </c>
      <c r="Z52" s="602" t="e">
        <f t="shared" si="9"/>
        <v>#N/A</v>
      </c>
      <c r="AA52" s="588"/>
      <c r="AB52" s="266">
        <f t="shared" si="10"/>
        <v>15.373585251059902</v>
      </c>
      <c r="AC52" s="602" t="e">
        <f t="shared" si="11"/>
        <v>#N/A</v>
      </c>
    </row>
    <row r="53" spans="18:29" ht="16">
      <c r="R53" s="98" t="s">
        <v>23</v>
      </c>
      <c r="S53" s="194">
        <f t="shared" si="4"/>
        <v>0.36881188118811892</v>
      </c>
      <c r="T53" s="408">
        <f>S53</f>
        <v>0.36881188118811892</v>
      </c>
      <c r="V53" s="194">
        <f t="shared" si="6"/>
        <v>1.3240525620152548</v>
      </c>
      <c r="W53" s="408">
        <f>V53</f>
        <v>1.3240525620152548</v>
      </c>
      <c r="Y53" s="266">
        <f t="shared" si="8"/>
        <v>3.1008495586547435</v>
      </c>
      <c r="Z53" s="622">
        <f>Y53</f>
        <v>3.1008495586547435</v>
      </c>
      <c r="AB53" s="266">
        <f t="shared" si="10"/>
        <v>4.3639041085611048</v>
      </c>
      <c r="AC53" s="622">
        <f>AB53</f>
        <v>4.3639041085611048</v>
      </c>
    </row>
    <row r="55" spans="18:29" ht="16">
      <c r="R55" s="588" t="str">
        <f>Company_Name&amp;": Revenue and Operating Margins"</f>
        <v>Nebius, N.V.: Revenue and Operating Margins</v>
      </c>
    </row>
    <row r="57" spans="18:29" ht="16">
      <c r="R57" s="588" t="str">
        <f>Company_Name&amp;": Revenue by Segment"</f>
        <v>Nebius, N.V.: Revenue by Segment</v>
      </c>
    </row>
    <row r="59" spans="18:29" ht="16">
      <c r="R59" s="588" t="str">
        <f>Company_Name&amp;": Revenue and Operating Margins"</f>
        <v>Nebius, N.V.: Revenue and Operating Margins</v>
      </c>
    </row>
    <row r="62" spans="18:29" ht="16">
      <c r="R62" s="588" t="str">
        <f>"Annual Revenue, FY"&amp;TEXT(Forward_Year_1,"yy")&amp;" - FY"&amp;TEXT(Forward_Year_2,"yy")</f>
        <v>Annual Revenue, FY25 - FY26</v>
      </c>
    </row>
    <row r="63" spans="18:29" ht="16">
      <c r="R63" s="588" t="str">
        <f>"Annual EBITDA, FY"&amp;TEXT(Forward_Year_1,"yy")&amp;" - FY"&amp;TEXT(Forward_Year_2,"yy")</f>
        <v>Annual EBITDA, FY25 - FY26</v>
      </c>
    </row>
    <row r="65" spans="18:23" ht="16">
      <c r="R65" s="588" t="str">
        <f>"Projected Revenue Growth, FY"&amp;TEXT(Forward_Year_1,"yy")&amp;" - FY"&amp;TEXT(Forward_Year_2,"yy")</f>
        <v>Projected Revenue Growth, FY25 - FY26</v>
      </c>
    </row>
    <row r="66" spans="18:23" ht="16">
      <c r="R66" s="588" t="str">
        <f>"Projected EBITDA Growth, FY"&amp;TEXT(Forward_Year_1,"yy")&amp;" - FY"&amp;TEXT(Forward_Year_2,"yy")</f>
        <v>Projected EBITDA Growth, FY25 - FY26</v>
      </c>
    </row>
    <row r="67" spans="18:23" ht="16">
      <c r="R67" s="588"/>
    </row>
    <row r="68" spans="18:23" ht="16">
      <c r="R68" s="588" t="str">
        <f>"FY"&amp;TEXT(Forward_Year_2,"yy")&amp;" Revenue Multiples"</f>
        <v>FY26 Revenue Multiples</v>
      </c>
    </row>
    <row r="69" spans="18:23" ht="16">
      <c r="R69" s="588" t="str">
        <f>"FY"&amp;TEXT(Forward_Year_2,"yy")&amp;" EBITDA Multiples"</f>
        <v>FY26 EBITDA Multiples</v>
      </c>
    </row>
    <row r="76" spans="18:23" ht="16">
      <c r="R76" s="588" t="s">
        <v>288</v>
      </c>
      <c r="S76" s="588" t="s">
        <v>408</v>
      </c>
      <c r="T76" s="623" t="s">
        <v>409</v>
      </c>
    </row>
    <row r="77" spans="18:23">
      <c r="R77" s="624">
        <v>45650</v>
      </c>
      <c r="S77" s="625">
        <v>28.77</v>
      </c>
      <c r="T77" s="626">
        <v>2872609</v>
      </c>
      <c r="U77" s="625"/>
      <c r="V77" s="625"/>
      <c r="W77" s="625"/>
    </row>
    <row r="78" spans="18:23">
      <c r="R78" s="624">
        <v>45649</v>
      </c>
      <c r="S78" s="625">
        <v>27.04</v>
      </c>
      <c r="T78" s="626">
        <v>5599000</v>
      </c>
      <c r="U78" s="625"/>
      <c r="V78" s="625"/>
      <c r="W78" s="625"/>
    </row>
    <row r="79" spans="18:23">
      <c r="R79" s="624">
        <v>45646</v>
      </c>
      <c r="S79" s="625">
        <v>26.49</v>
      </c>
      <c r="T79" s="626">
        <v>5560000</v>
      </c>
      <c r="U79" s="625"/>
      <c r="V79" s="625"/>
      <c r="W79" s="625"/>
    </row>
    <row r="80" spans="18:23">
      <c r="R80" s="624">
        <v>45645</v>
      </c>
      <c r="S80" s="625">
        <v>27.74</v>
      </c>
      <c r="T80" s="626">
        <v>6797700</v>
      </c>
      <c r="U80" s="625"/>
      <c r="V80" s="625"/>
      <c r="W80" s="625"/>
    </row>
    <row r="81" spans="18:23">
      <c r="R81" s="624">
        <v>45644</v>
      </c>
      <c r="S81" s="625">
        <v>28.94</v>
      </c>
      <c r="T81" s="626">
        <v>8765100</v>
      </c>
      <c r="U81" s="625"/>
      <c r="V81" s="625"/>
      <c r="W81" s="625"/>
    </row>
    <row r="82" spans="18:23">
      <c r="R82" s="624">
        <v>45643</v>
      </c>
      <c r="S82" s="625">
        <v>33</v>
      </c>
      <c r="T82" s="626">
        <v>7593500</v>
      </c>
      <c r="U82" s="625"/>
      <c r="V82" s="625"/>
      <c r="W82" s="625"/>
    </row>
    <row r="83" spans="18:23">
      <c r="R83" s="624">
        <v>45642</v>
      </c>
      <c r="S83" s="625">
        <v>30.78</v>
      </c>
      <c r="T83" s="626">
        <v>7562000</v>
      </c>
      <c r="U83" s="625"/>
      <c r="V83" s="625"/>
      <c r="W83" s="625"/>
    </row>
    <row r="84" spans="18:23">
      <c r="R84" s="624">
        <v>45639</v>
      </c>
      <c r="S84" s="625">
        <v>31.63</v>
      </c>
      <c r="T84" s="626">
        <v>7228800</v>
      </c>
      <c r="U84" s="625"/>
      <c r="V84" s="625"/>
      <c r="W84" s="625"/>
    </row>
    <row r="85" spans="18:23">
      <c r="R85" s="624">
        <v>45638</v>
      </c>
      <c r="S85" s="625">
        <v>32.36</v>
      </c>
      <c r="T85" s="626">
        <v>5684700</v>
      </c>
      <c r="U85" s="625"/>
      <c r="V85" s="625"/>
      <c r="W85" s="625"/>
    </row>
    <row r="86" spans="18:23">
      <c r="R86" s="624">
        <v>45637</v>
      </c>
      <c r="S86" s="625">
        <v>34.4</v>
      </c>
      <c r="T86" s="626">
        <v>6029900</v>
      </c>
      <c r="U86" s="625"/>
      <c r="V86" s="625"/>
      <c r="W86" s="625"/>
    </row>
    <row r="87" spans="18:23">
      <c r="R87" s="624">
        <v>45636</v>
      </c>
      <c r="S87" s="625">
        <v>32.71</v>
      </c>
      <c r="T87" s="626">
        <v>9979100</v>
      </c>
      <c r="U87" s="625"/>
      <c r="V87" s="625"/>
      <c r="W87" s="625"/>
    </row>
    <row r="88" spans="18:23">
      <c r="R88" s="624">
        <v>45635</v>
      </c>
      <c r="S88" s="625">
        <v>38.57</v>
      </c>
      <c r="T88" s="626">
        <v>16659000</v>
      </c>
      <c r="U88" s="625"/>
      <c r="V88" s="625"/>
      <c r="W88" s="625"/>
    </row>
    <row r="89" spans="18:23">
      <c r="R89" s="624">
        <v>45632</v>
      </c>
      <c r="S89" s="625">
        <v>31.98</v>
      </c>
      <c r="T89" s="626">
        <v>14708300</v>
      </c>
      <c r="U89" s="625"/>
      <c r="V89" s="625"/>
      <c r="W89" s="625"/>
    </row>
    <row r="90" spans="18:23">
      <c r="R90" s="624">
        <v>45631</v>
      </c>
      <c r="S90" s="625">
        <v>33.94</v>
      </c>
      <c r="T90" s="626">
        <v>10374700</v>
      </c>
      <c r="U90" s="625"/>
      <c r="V90" s="625"/>
      <c r="W90" s="625"/>
    </row>
    <row r="91" spans="18:23">
      <c r="R91" s="624">
        <v>45630</v>
      </c>
      <c r="S91" s="625">
        <v>30.5</v>
      </c>
      <c r="T91" s="626">
        <v>24007700</v>
      </c>
      <c r="U91" s="625"/>
      <c r="V91" s="625"/>
      <c r="W91" s="625"/>
    </row>
    <row r="92" spans="18:23">
      <c r="R92" s="624">
        <v>45629</v>
      </c>
      <c r="S92" s="625">
        <v>25.8</v>
      </c>
      <c r="T92" s="626">
        <v>22322100</v>
      </c>
      <c r="U92" s="625"/>
      <c r="V92" s="625"/>
      <c r="W92" s="625"/>
    </row>
    <row r="93" spans="18:23">
      <c r="R93" s="624">
        <v>45628</v>
      </c>
      <c r="S93" s="625">
        <v>26.12</v>
      </c>
      <c r="T93" s="626">
        <v>17142200</v>
      </c>
      <c r="U93" s="625"/>
      <c r="V93" s="625"/>
      <c r="W93" s="625"/>
    </row>
    <row r="94" spans="18:23">
      <c r="R94" s="624">
        <v>45625</v>
      </c>
      <c r="S94" s="625">
        <v>22</v>
      </c>
      <c r="T94" s="626">
        <v>2856200</v>
      </c>
      <c r="U94" s="625"/>
      <c r="V94" s="625"/>
      <c r="W94" s="625"/>
    </row>
    <row r="95" spans="18:23">
      <c r="R95" s="624">
        <v>45623</v>
      </c>
      <c r="S95" s="625">
        <v>22.01</v>
      </c>
      <c r="T95" s="626">
        <v>2595100</v>
      </c>
      <c r="U95" s="625"/>
      <c r="V95" s="625"/>
      <c r="W95" s="625"/>
    </row>
    <row r="96" spans="18:23">
      <c r="R96" s="624">
        <v>45622</v>
      </c>
      <c r="S96" s="625">
        <v>23.16</v>
      </c>
      <c r="T96" s="626">
        <v>2444200</v>
      </c>
      <c r="U96" s="625"/>
      <c r="V96" s="625"/>
      <c r="W96" s="625"/>
    </row>
    <row r="97" spans="18:23">
      <c r="R97" s="624">
        <v>45621</v>
      </c>
      <c r="S97" s="625">
        <v>24</v>
      </c>
      <c r="T97" s="626">
        <v>6115800</v>
      </c>
      <c r="U97" s="625"/>
      <c r="V97" s="625"/>
      <c r="W97" s="625"/>
    </row>
    <row r="98" spans="18:23">
      <c r="R98" s="624">
        <v>45618</v>
      </c>
      <c r="S98" s="625">
        <v>21.56</v>
      </c>
      <c r="T98" s="626">
        <v>4336900</v>
      </c>
      <c r="U98" s="625"/>
      <c r="V98" s="625"/>
      <c r="W98" s="625"/>
    </row>
    <row r="99" spans="18:23">
      <c r="R99" s="624">
        <v>45617</v>
      </c>
      <c r="S99" s="625">
        <v>20.65</v>
      </c>
      <c r="T99" s="626">
        <v>3639800</v>
      </c>
      <c r="U99" s="625"/>
      <c r="V99" s="625"/>
      <c r="W99" s="625"/>
    </row>
    <row r="100" spans="18:23">
      <c r="R100" s="624">
        <v>45616</v>
      </c>
      <c r="S100" s="625">
        <v>20.53</v>
      </c>
      <c r="T100" s="626">
        <v>3861700</v>
      </c>
      <c r="U100" s="625"/>
      <c r="V100" s="625"/>
      <c r="W100" s="625"/>
    </row>
    <row r="101" spans="18:23">
      <c r="R101" s="624">
        <v>45615</v>
      </c>
      <c r="S101" s="625">
        <v>19.100000000000001</v>
      </c>
      <c r="T101" s="626">
        <v>4774000</v>
      </c>
      <c r="U101" s="625"/>
      <c r="V101" s="625"/>
      <c r="W101" s="625"/>
    </row>
    <row r="102" spans="18:23">
      <c r="R102" s="624">
        <v>45614</v>
      </c>
      <c r="S102" s="625">
        <v>17.73</v>
      </c>
      <c r="T102" s="626">
        <v>1782300</v>
      </c>
      <c r="U102" s="625"/>
      <c r="V102" s="625"/>
      <c r="W102" s="625"/>
    </row>
    <row r="103" spans="18:23">
      <c r="R103" s="624">
        <v>45611</v>
      </c>
      <c r="S103" s="625">
        <v>18</v>
      </c>
      <c r="T103" s="626">
        <v>2010600</v>
      </c>
      <c r="U103" s="625"/>
      <c r="V103" s="625"/>
      <c r="W103" s="625"/>
    </row>
    <row r="104" spans="18:23">
      <c r="R104" s="624">
        <v>45610</v>
      </c>
      <c r="S104" s="625">
        <v>19</v>
      </c>
      <c r="T104" s="626">
        <v>2164500</v>
      </c>
      <c r="U104" s="625"/>
      <c r="V104" s="625"/>
      <c r="W104" s="625"/>
    </row>
    <row r="105" spans="18:23">
      <c r="R105" s="624">
        <v>45609</v>
      </c>
      <c r="S105" s="625">
        <v>19.43</v>
      </c>
      <c r="T105" s="626">
        <v>2088900</v>
      </c>
      <c r="U105" s="625"/>
      <c r="V105" s="625"/>
      <c r="W105" s="625"/>
    </row>
    <row r="106" spans="18:23">
      <c r="R106" s="624">
        <v>45608</v>
      </c>
      <c r="S106" s="625">
        <v>20.5</v>
      </c>
      <c r="T106" s="626">
        <v>2125500</v>
      </c>
      <c r="U106" s="625"/>
      <c r="V106" s="625"/>
      <c r="W106" s="625"/>
    </row>
    <row r="107" spans="18:23">
      <c r="R107" s="624">
        <v>45607</v>
      </c>
      <c r="S107" s="625">
        <v>19.8</v>
      </c>
      <c r="T107" s="626">
        <v>2907500</v>
      </c>
      <c r="U107" s="625"/>
      <c r="V107" s="625"/>
      <c r="W107" s="625"/>
    </row>
    <row r="108" spans="18:23">
      <c r="R108" s="624">
        <v>45604</v>
      </c>
      <c r="S108" s="625">
        <v>20.98</v>
      </c>
      <c r="T108" s="626">
        <v>2355700</v>
      </c>
      <c r="U108" s="625"/>
      <c r="V108" s="625"/>
      <c r="W108" s="625"/>
    </row>
    <row r="109" spans="18:23">
      <c r="R109" s="624">
        <v>45603</v>
      </c>
      <c r="S109" s="625">
        <v>19.079999999999998</v>
      </c>
      <c r="T109" s="626">
        <v>2570100</v>
      </c>
      <c r="U109" s="625"/>
      <c r="V109" s="625"/>
      <c r="W109" s="625"/>
    </row>
    <row r="110" spans="18:23">
      <c r="R110" s="624">
        <v>45602</v>
      </c>
      <c r="S110" s="625">
        <v>19.93</v>
      </c>
      <c r="T110" s="626">
        <v>4143700</v>
      </c>
      <c r="U110" s="625"/>
      <c r="V110" s="625"/>
      <c r="W110" s="625"/>
    </row>
    <row r="111" spans="18:23">
      <c r="R111" s="624">
        <v>45601</v>
      </c>
      <c r="S111" s="625">
        <v>20.74</v>
      </c>
      <c r="T111" s="626">
        <v>12434700</v>
      </c>
      <c r="U111" s="625"/>
      <c r="V111" s="625"/>
      <c r="W111" s="625"/>
    </row>
    <row r="112" spans="18:23">
      <c r="R112" s="624">
        <v>45600</v>
      </c>
      <c r="S112" s="625">
        <v>19.62</v>
      </c>
      <c r="T112" s="626">
        <v>4185000</v>
      </c>
      <c r="U112" s="625"/>
      <c r="V112" s="625"/>
      <c r="W112" s="625"/>
    </row>
    <row r="113" spans="18:23">
      <c r="R113" s="624">
        <v>45597</v>
      </c>
      <c r="S113" s="625">
        <v>21.7</v>
      </c>
      <c r="T113" s="626">
        <v>3981500</v>
      </c>
      <c r="U113" s="625"/>
      <c r="V113" s="625"/>
      <c r="W113" s="625"/>
    </row>
    <row r="114" spans="18:23">
      <c r="R114" s="624">
        <v>45596</v>
      </c>
      <c r="S114" s="625">
        <v>22.6</v>
      </c>
      <c r="T114" s="626">
        <v>4580400</v>
      </c>
      <c r="U114" s="625"/>
      <c r="V114" s="625"/>
      <c r="W114" s="625"/>
    </row>
    <row r="115" spans="18:23">
      <c r="R115" s="624">
        <v>45595</v>
      </c>
      <c r="S115" s="625">
        <v>23</v>
      </c>
      <c r="T115" s="626">
        <v>22991900</v>
      </c>
      <c r="U115" s="625"/>
      <c r="V115" s="625"/>
      <c r="W115" s="625"/>
    </row>
    <row r="116" spans="18:23">
      <c r="R116" s="624">
        <v>45594</v>
      </c>
      <c r="S116" s="625">
        <v>22.9</v>
      </c>
      <c r="T116" s="626">
        <v>7398100</v>
      </c>
      <c r="U116" s="625"/>
      <c r="V116" s="625"/>
      <c r="W116" s="625"/>
    </row>
    <row r="117" spans="18:23">
      <c r="R117" s="624">
        <v>45593</v>
      </c>
      <c r="S117" s="625">
        <v>20</v>
      </c>
      <c r="T117" s="626">
        <v>13233100</v>
      </c>
      <c r="U117" s="625"/>
      <c r="V117" s="625"/>
      <c r="W117" s="625"/>
    </row>
    <row r="118" spans="18:23">
      <c r="R118" s="624">
        <v>45590</v>
      </c>
      <c r="S118" s="625">
        <v>17.27</v>
      </c>
      <c r="T118" s="626">
        <v>6748200</v>
      </c>
      <c r="U118" s="625"/>
      <c r="V118" s="625"/>
      <c r="W118" s="625"/>
    </row>
    <row r="119" spans="18:23">
      <c r="R119" s="624">
        <v>45589</v>
      </c>
      <c r="S119" s="625">
        <v>16.8</v>
      </c>
      <c r="T119" s="626">
        <v>7851700</v>
      </c>
      <c r="U119" s="625"/>
      <c r="V119" s="625"/>
      <c r="W119" s="625"/>
    </row>
    <row r="120" spans="18:23">
      <c r="R120" s="624">
        <v>45588</v>
      </c>
      <c r="S120" s="625">
        <v>18</v>
      </c>
      <c r="T120" s="626">
        <v>9849800</v>
      </c>
      <c r="U120" s="625"/>
      <c r="V120" s="625"/>
      <c r="W120" s="625"/>
    </row>
    <row r="121" spans="18:23">
      <c r="R121" s="624">
        <v>45587</v>
      </c>
      <c r="S121" s="625">
        <v>19.79</v>
      </c>
      <c r="T121" s="626">
        <v>6444000</v>
      </c>
      <c r="U121" s="625"/>
      <c r="V121" s="625"/>
      <c r="W121" s="625"/>
    </row>
    <row r="122" spans="18:23">
      <c r="R122" s="624">
        <v>45586</v>
      </c>
      <c r="S122" s="625">
        <v>14.29</v>
      </c>
      <c r="T122" s="626">
        <v>13616800</v>
      </c>
      <c r="U122" s="625"/>
      <c r="V122" s="625"/>
      <c r="W122" s="625"/>
    </row>
  </sheetData>
  <dataValidations count="1">
    <dataValidation type="list" allowBlank="1" showInputMessage="1" showErrorMessage="1" sqref="S22" xr:uid="{C224F1D0-7FEC-4D09-AE87-ADFCA2DC9876}">
      <formula1>"0,1,2,3,4,5,6,7,8,9,10,11,12,"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F931D-AABE-4CBF-844F-58C51DA09A87}">
  <dimension ref="B2:V161"/>
  <sheetViews>
    <sheetView showGridLines="0" tabSelected="1" zoomScale="50" workbookViewId="0">
      <selection activeCell="H157" sqref="H157"/>
    </sheetView>
  </sheetViews>
  <sheetFormatPr defaultColWidth="8.7265625" defaultRowHeight="16"/>
  <cols>
    <col min="1" max="2" width="8.7265625" style="8"/>
    <col min="3" max="3" width="43.453125" style="8" customWidth="1"/>
    <col min="4" max="4" width="11.81640625" style="8" bestFit="1" customWidth="1"/>
    <col min="5" max="5" width="10.81640625" style="8" bestFit="1" customWidth="1"/>
    <col min="6" max="8" width="13.7265625" style="8" bestFit="1" customWidth="1"/>
    <col min="9" max="21" width="15" style="8" bestFit="1" customWidth="1"/>
    <col min="22" max="22" width="10.81640625" style="8" bestFit="1" customWidth="1"/>
    <col min="23" max="16384" width="8.7265625" style="8"/>
  </cols>
  <sheetData>
    <row r="2" spans="2:13">
      <c r="B2" s="168" t="str">
        <f>Company_Name&amp;" - Operating Model - "</f>
        <v xml:space="preserve">Nebius, N.V. - Operating Model - </v>
      </c>
      <c r="D2" s="9"/>
      <c r="E2" s="9"/>
      <c r="F2" s="9"/>
    </row>
    <row r="3" spans="2:13">
      <c r="B3" s="8" t="s">
        <v>9</v>
      </c>
      <c r="D3" s="9"/>
      <c r="E3" s="9"/>
      <c r="F3" s="9"/>
    </row>
    <row r="4" spans="2:13">
      <c r="F4" s="9"/>
    </row>
    <row r="5" spans="2:13">
      <c r="B5" s="10" t="s">
        <v>10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>
      <c r="B6" s="12"/>
      <c r="C6" s="13"/>
      <c r="D6" s="14"/>
      <c r="E6" s="14"/>
      <c r="F6" s="14"/>
      <c r="G6" s="13"/>
      <c r="H6" s="13"/>
      <c r="I6" s="14"/>
      <c r="J6" s="13"/>
      <c r="K6" s="13"/>
      <c r="L6" s="15"/>
      <c r="M6" s="13"/>
    </row>
    <row r="7" spans="2:13">
      <c r="B7" s="13"/>
      <c r="C7" s="16" t="s">
        <v>11</v>
      </c>
      <c r="D7" s="411" t="s">
        <v>22</v>
      </c>
      <c r="E7" s="17"/>
      <c r="F7" s="14"/>
      <c r="G7" s="13"/>
      <c r="H7" s="13"/>
      <c r="I7" s="18" t="s">
        <v>171</v>
      </c>
      <c r="J7" s="13"/>
      <c r="K7" s="19"/>
      <c r="L7" s="20"/>
      <c r="M7" s="37">
        <f>EOMONTH(M9,-3)</f>
        <v>45473</v>
      </c>
    </row>
    <row r="8" spans="2:13">
      <c r="B8" s="13"/>
      <c r="C8" s="16" t="s">
        <v>12</v>
      </c>
      <c r="D8" s="411" t="s">
        <v>23</v>
      </c>
      <c r="E8" s="21"/>
      <c r="F8" s="14"/>
      <c r="G8" s="13"/>
      <c r="H8" s="13"/>
      <c r="I8" s="18" t="s">
        <v>172</v>
      </c>
      <c r="J8" s="13"/>
      <c r="K8" s="19"/>
      <c r="L8" s="20"/>
      <c r="M8" s="38">
        <f>EOMONTH(Hist_Quart,12)</f>
        <v>45838</v>
      </c>
    </row>
    <row r="9" spans="2:13">
      <c r="B9" s="13"/>
      <c r="C9" s="16" t="s">
        <v>13</v>
      </c>
      <c r="D9" s="412">
        <v>1000</v>
      </c>
      <c r="E9" s="22"/>
      <c r="F9" s="13"/>
      <c r="G9" s="13"/>
      <c r="H9" s="13"/>
      <c r="I9" s="18" t="s">
        <v>14</v>
      </c>
      <c r="J9" s="13"/>
      <c r="K9" s="19"/>
      <c r="L9" s="20"/>
      <c r="M9" s="37">
        <v>45565</v>
      </c>
    </row>
    <row r="10" spans="2:13">
      <c r="B10" s="13"/>
      <c r="C10" s="23"/>
      <c r="D10" s="14"/>
      <c r="E10" s="14"/>
      <c r="F10" s="13"/>
      <c r="G10" s="13"/>
      <c r="H10" s="13"/>
      <c r="I10" s="18" t="s">
        <v>15</v>
      </c>
      <c r="J10" s="13"/>
      <c r="K10" s="19"/>
      <c r="L10" s="20"/>
      <c r="M10" s="37">
        <v>45638</v>
      </c>
    </row>
    <row r="11" spans="2:13">
      <c r="B11" s="13"/>
      <c r="C11" s="178" t="s">
        <v>303</v>
      </c>
      <c r="D11" s="423">
        <v>201.77</v>
      </c>
      <c r="E11" s="14"/>
      <c r="F11" s="13"/>
      <c r="G11" s="13"/>
      <c r="H11" s="13"/>
      <c r="I11" s="18"/>
      <c r="J11" s="13"/>
      <c r="K11" s="19"/>
      <c r="L11" s="20"/>
      <c r="M11" s="422"/>
    </row>
    <row r="12" spans="2:13">
      <c r="B12" s="13"/>
      <c r="C12" s="16" t="s">
        <v>16</v>
      </c>
      <c r="D12" s="413">
        <v>26.71</v>
      </c>
      <c r="E12" s="24"/>
      <c r="F12" s="13"/>
      <c r="G12" s="13"/>
      <c r="H12" s="13"/>
      <c r="I12" s="13"/>
      <c r="J12" s="13"/>
      <c r="K12" s="19"/>
      <c r="L12" s="19"/>
      <c r="M12" s="25"/>
    </row>
    <row r="13" spans="2:13">
      <c r="B13" s="13"/>
      <c r="C13" s="16" t="s">
        <v>17</v>
      </c>
      <c r="D13" s="414">
        <v>0.16860997432667954</v>
      </c>
      <c r="E13" s="26"/>
      <c r="F13" s="14"/>
      <c r="G13" s="13"/>
      <c r="H13" s="13"/>
      <c r="I13" s="18" t="s">
        <v>18</v>
      </c>
      <c r="J13" s="13"/>
      <c r="K13" s="19"/>
      <c r="L13" s="19"/>
      <c r="M13" s="38">
        <f>M9</f>
        <v>45565</v>
      </c>
    </row>
    <row r="14" spans="2:13">
      <c r="B14" s="13"/>
      <c r="C14" s="13"/>
      <c r="D14" s="27"/>
      <c r="E14" s="27"/>
      <c r="F14" s="14"/>
      <c r="G14" s="13"/>
      <c r="H14" s="13"/>
      <c r="I14" s="18" t="s">
        <v>173</v>
      </c>
      <c r="J14" s="13"/>
      <c r="K14" s="19"/>
      <c r="L14" s="19"/>
      <c r="M14" s="38">
        <f>EOMONTH(M9,3)</f>
        <v>45657</v>
      </c>
    </row>
    <row r="15" spans="2:13">
      <c r="B15" s="13"/>
      <c r="C15" s="13"/>
      <c r="D15" s="14"/>
      <c r="E15" s="28"/>
      <c r="F15" s="14"/>
      <c r="G15" s="13"/>
      <c r="H15" s="13"/>
      <c r="I15" s="18" t="s">
        <v>174</v>
      </c>
      <c r="J15" s="13"/>
      <c r="K15" s="19"/>
      <c r="L15" s="19"/>
      <c r="M15" s="38">
        <f>EOMONTH(M14,3)</f>
        <v>45747</v>
      </c>
    </row>
    <row r="16" spans="2:13">
      <c r="B16" s="13"/>
      <c r="C16" s="13"/>
      <c r="D16" s="27"/>
      <c r="E16" s="27"/>
      <c r="F16" s="14"/>
      <c r="G16" s="13"/>
      <c r="H16" s="13"/>
      <c r="I16" s="18" t="s">
        <v>175</v>
      </c>
      <c r="J16" s="13"/>
      <c r="K16" s="13"/>
      <c r="L16" s="13"/>
      <c r="M16" s="38">
        <f>EOMONTH(M15,3)</f>
        <v>45838</v>
      </c>
    </row>
    <row r="17" spans="2:21">
      <c r="B17" s="13"/>
      <c r="C17" s="13"/>
      <c r="D17" s="27"/>
      <c r="E17" s="27"/>
      <c r="F17" s="14"/>
      <c r="G17" s="13"/>
      <c r="H17" s="13"/>
      <c r="I17" s="13"/>
      <c r="J17" s="13"/>
      <c r="K17" s="13"/>
      <c r="L17" s="13"/>
      <c r="M17" s="25"/>
    </row>
    <row r="18" spans="2:21">
      <c r="B18" s="29"/>
      <c r="C18" s="29"/>
      <c r="D18" s="30"/>
      <c r="E18" s="31" t="s">
        <v>19</v>
      </c>
      <c r="F18" s="31"/>
      <c r="G18" s="31"/>
      <c r="H18" s="32"/>
      <c r="I18" s="31" t="s">
        <v>20</v>
      </c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</row>
    <row r="19" spans="2:21">
      <c r="B19" s="33" t="s">
        <v>82</v>
      </c>
      <c r="C19" s="33"/>
      <c r="D19" s="34" t="s">
        <v>21</v>
      </c>
      <c r="E19" s="35"/>
      <c r="F19" s="35" t="s">
        <v>25</v>
      </c>
      <c r="G19" s="35" t="s">
        <v>26</v>
      </c>
      <c r="H19" s="36" t="s">
        <v>27</v>
      </c>
      <c r="I19" s="35" t="s">
        <v>28</v>
      </c>
      <c r="J19" s="35" t="s">
        <v>88</v>
      </c>
      <c r="K19" s="35" t="s">
        <v>89</v>
      </c>
      <c r="L19" s="35" t="s">
        <v>90</v>
      </c>
      <c r="M19" s="35" t="s">
        <v>91</v>
      </c>
      <c r="N19" s="35" t="s">
        <v>92</v>
      </c>
      <c r="O19" s="35" t="s">
        <v>93</v>
      </c>
      <c r="P19" s="35" t="s">
        <v>94</v>
      </c>
      <c r="Q19" s="35" t="s">
        <v>95</v>
      </c>
      <c r="R19" s="35" t="s">
        <v>96</v>
      </c>
      <c r="S19" s="35" t="s">
        <v>97</v>
      </c>
      <c r="T19" s="35" t="s">
        <v>98</v>
      </c>
      <c r="U19" s="35" t="s">
        <v>99</v>
      </c>
    </row>
    <row r="20" spans="2:21">
      <c r="B20" s="13"/>
      <c r="C20" s="13"/>
      <c r="D20" s="27"/>
      <c r="E20" s="27"/>
      <c r="F20" s="14"/>
      <c r="G20" s="13"/>
      <c r="H20" s="13"/>
      <c r="I20" s="13"/>
      <c r="J20" s="13"/>
      <c r="K20" s="13"/>
      <c r="L20" s="13"/>
      <c r="M20" s="25"/>
    </row>
    <row r="21" spans="2:21">
      <c r="B21" s="13"/>
      <c r="C21" s="86" t="s">
        <v>146</v>
      </c>
      <c r="D21" s="173" t="s">
        <v>158</v>
      </c>
      <c r="E21" s="87"/>
      <c r="F21" s="88"/>
      <c r="G21" s="175">
        <v>27666.666666666668</v>
      </c>
      <c r="H21" s="175">
        <v>28125</v>
      </c>
      <c r="I21" s="175">
        <f>Deployment!K72</f>
        <v>94170</v>
      </c>
      <c r="J21" s="175">
        <f>Deployment!L72</f>
        <v>176952</v>
      </c>
      <c r="K21" s="175">
        <f>Deployment!M72</f>
        <v>242214</v>
      </c>
      <c r="L21" s="175">
        <f>Deployment!N72</f>
        <v>287328</v>
      </c>
      <c r="M21" s="175">
        <f>Deployment!O72</f>
        <v>367482</v>
      </c>
      <c r="N21" s="175">
        <f>Deployment!P72</f>
        <v>412596</v>
      </c>
      <c r="O21" s="175">
        <f>Deployment!Q72</f>
        <v>442818</v>
      </c>
      <c r="P21" s="175">
        <f>Deployment!R72</f>
        <v>462966</v>
      </c>
      <c r="Q21" s="175">
        <f>Deployment!S72</f>
        <v>483114</v>
      </c>
      <c r="R21" s="175">
        <f>Deployment!T72</f>
        <v>493188</v>
      </c>
      <c r="S21" s="175">
        <f>Deployment!U72</f>
        <v>529542</v>
      </c>
      <c r="T21" s="175">
        <f>Deployment!V72</f>
        <v>559764</v>
      </c>
      <c r="U21" s="175">
        <f>Deployment!W72</f>
        <v>574875</v>
      </c>
    </row>
    <row r="22" spans="2:21">
      <c r="B22" s="13"/>
      <c r="C22" s="86"/>
      <c r="D22" s="173"/>
      <c r="E22" s="87"/>
      <c r="F22" s="88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</row>
    <row r="23" spans="2:21">
      <c r="B23" s="13"/>
      <c r="C23" s="86" t="s">
        <v>156</v>
      </c>
      <c r="D23" s="174" t="s">
        <v>71</v>
      </c>
      <c r="E23" s="87"/>
      <c r="F23" s="88"/>
      <c r="G23" s="176">
        <f>G53/G21</f>
        <v>0.89999999999999991</v>
      </c>
      <c r="H23" s="176">
        <f>H53/H21</f>
        <v>1</v>
      </c>
      <c r="I23" s="176">
        <f t="shared" ref="I23:U23" si="0">Utilization_Rate</f>
        <v>0.9</v>
      </c>
      <c r="J23" s="176">
        <f t="shared" si="0"/>
        <v>0.9</v>
      </c>
      <c r="K23" s="176">
        <f t="shared" si="0"/>
        <v>0.9</v>
      </c>
      <c r="L23" s="176">
        <f t="shared" si="0"/>
        <v>0.9</v>
      </c>
      <c r="M23" s="176">
        <f t="shared" si="0"/>
        <v>0.9</v>
      </c>
      <c r="N23" s="176">
        <f t="shared" si="0"/>
        <v>0.9</v>
      </c>
      <c r="O23" s="176">
        <f t="shared" si="0"/>
        <v>0.9</v>
      </c>
      <c r="P23" s="176">
        <f t="shared" si="0"/>
        <v>0.9</v>
      </c>
      <c r="Q23" s="176">
        <f t="shared" si="0"/>
        <v>0.9</v>
      </c>
      <c r="R23" s="176">
        <f t="shared" si="0"/>
        <v>0.9</v>
      </c>
      <c r="S23" s="176">
        <f t="shared" si="0"/>
        <v>0.9</v>
      </c>
      <c r="T23" s="176">
        <f t="shared" si="0"/>
        <v>0.9</v>
      </c>
      <c r="U23" s="176">
        <f t="shared" si="0"/>
        <v>0.9</v>
      </c>
    </row>
    <row r="24" spans="2:21">
      <c r="B24" s="13"/>
      <c r="C24" s="86"/>
      <c r="D24" s="174"/>
      <c r="E24" s="87"/>
      <c r="F24" s="88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</row>
    <row r="25" spans="2:21">
      <c r="B25" s="207" t="s">
        <v>166</v>
      </c>
      <c r="C25" s="207"/>
      <c r="D25" s="203"/>
      <c r="E25" s="204"/>
      <c r="F25" s="205"/>
      <c r="G25" s="206"/>
      <c r="H25" s="206"/>
      <c r="I25" s="206"/>
      <c r="J25" s="206"/>
      <c r="K25" s="206"/>
      <c r="L25" s="206"/>
      <c r="M25" s="206"/>
      <c r="N25" s="188"/>
      <c r="O25" s="188"/>
      <c r="P25" s="188"/>
      <c r="Q25" s="188"/>
      <c r="R25" s="188"/>
      <c r="S25" s="188"/>
      <c r="T25" s="188"/>
      <c r="U25" s="188"/>
    </row>
    <row r="26" spans="2:21">
      <c r="B26" s="13"/>
      <c r="C26" s="208"/>
      <c r="D26" s="174"/>
      <c r="E26" s="87"/>
      <c r="F26" s="88"/>
      <c r="G26" s="85"/>
      <c r="H26" s="85"/>
      <c r="I26" s="85"/>
      <c r="J26" s="85"/>
      <c r="K26" s="85"/>
      <c r="L26" s="85"/>
      <c r="M26" s="85"/>
    </row>
    <row r="27" spans="2:21">
      <c r="B27" s="13"/>
      <c r="C27" s="178" t="s">
        <v>157</v>
      </c>
      <c r="D27" s="174" t="s">
        <v>71</v>
      </c>
      <c r="E27" s="87"/>
      <c r="F27" s="176">
        <f>-F58/F53</f>
        <v>0.77511961722488043</v>
      </c>
      <c r="G27" s="176">
        <f t="shared" ref="G27:H27" si="1">-G58/G53</f>
        <v>0.7269076305220884</v>
      </c>
      <c r="H27" s="176">
        <f t="shared" si="1"/>
        <v>0.67200000000000004</v>
      </c>
      <c r="I27" s="219">
        <f>H27-1%</f>
        <v>0.66200000000000003</v>
      </c>
      <c r="J27" s="219">
        <f t="shared" ref="J27:L27" si="2">I27-1%</f>
        <v>0.65200000000000002</v>
      </c>
      <c r="K27" s="219">
        <f t="shared" si="2"/>
        <v>0.64200000000000002</v>
      </c>
      <c r="L27" s="219">
        <f t="shared" si="2"/>
        <v>0.63200000000000001</v>
      </c>
      <c r="M27" s="219">
        <v>0.3964896073903002</v>
      </c>
      <c r="N27" s="219">
        <v>0.3964896073903002</v>
      </c>
      <c r="O27" s="219">
        <v>0.3964896073903002</v>
      </c>
      <c r="P27" s="219">
        <v>0.3964896073903002</v>
      </c>
      <c r="Q27" s="219">
        <v>0.3964896073903002</v>
      </c>
      <c r="R27" s="219">
        <v>0.3964896073903002</v>
      </c>
      <c r="S27" s="219">
        <v>0.3964896073903002</v>
      </c>
      <c r="T27" s="219">
        <v>0.3964896073903002</v>
      </c>
      <c r="U27" s="219">
        <v>0.3964896073903002</v>
      </c>
    </row>
    <row r="28" spans="2:21">
      <c r="B28" s="13"/>
      <c r="C28" s="85" t="s">
        <v>163</v>
      </c>
      <c r="D28" s="174" t="s">
        <v>71</v>
      </c>
      <c r="E28" s="87"/>
      <c r="F28" s="88"/>
      <c r="G28" s="176"/>
      <c r="H28" s="176">
        <v>0.35046189376443421</v>
      </c>
      <c r="I28" s="213">
        <v>0.32</v>
      </c>
      <c r="J28" s="213">
        <v>0.25</v>
      </c>
      <c r="K28" s="213">
        <v>0.23</v>
      </c>
      <c r="L28" s="213">
        <v>0.18</v>
      </c>
      <c r="M28" s="213">
        <v>7.0000000000000007E-2</v>
      </c>
      <c r="N28" s="214">
        <v>7.0000000000000007E-2</v>
      </c>
      <c r="O28" s="214">
        <v>7.0000000000000007E-2</v>
      </c>
      <c r="P28" s="214">
        <v>0.06</v>
      </c>
      <c r="Q28" s="214">
        <v>0.06</v>
      </c>
      <c r="R28" s="214">
        <v>0.06</v>
      </c>
      <c r="S28" s="214">
        <v>0.06</v>
      </c>
      <c r="T28" s="214">
        <v>0.06</v>
      </c>
      <c r="U28" s="214">
        <v>0.06</v>
      </c>
    </row>
    <row r="29" spans="2:21">
      <c r="B29" s="13"/>
      <c r="C29" s="5" t="s">
        <v>165</v>
      </c>
      <c r="D29" s="174" t="s">
        <v>71</v>
      </c>
      <c r="E29" s="87"/>
      <c r="F29" s="88"/>
      <c r="G29" s="176">
        <f>G69/F89</f>
        <v>8.0614651808180296E-2</v>
      </c>
      <c r="H29" s="176">
        <f>H69/G89</f>
        <v>7.3433127070120932E-3</v>
      </c>
      <c r="I29" s="213">
        <v>7.3433127070120932E-3</v>
      </c>
      <c r="J29" s="213">
        <v>7.3433127070120932E-3</v>
      </c>
      <c r="K29" s="213">
        <v>7.3433127070120932E-3</v>
      </c>
      <c r="L29" s="213">
        <v>7.3433127070120932E-3</v>
      </c>
      <c r="M29" s="213">
        <v>7.3433127070120932E-3</v>
      </c>
      <c r="N29" s="214">
        <v>7.3433127070120932E-3</v>
      </c>
      <c r="O29" s="214">
        <v>7.3433127070120932E-3</v>
      </c>
      <c r="P29" s="214">
        <v>7.3433127070120932E-3</v>
      </c>
      <c r="Q29" s="214">
        <v>7.3433127070120932E-3</v>
      </c>
      <c r="R29" s="214">
        <v>7.3433127070120932E-3</v>
      </c>
      <c r="S29" s="214">
        <v>7.3433127070120932E-3</v>
      </c>
      <c r="T29" s="214">
        <v>7.3433127070120932E-3</v>
      </c>
      <c r="U29" s="214">
        <v>7.3433127070120932E-3</v>
      </c>
    </row>
    <row r="30" spans="2:21">
      <c r="B30" s="13"/>
      <c r="C30" s="5" t="s">
        <v>186</v>
      </c>
      <c r="D30" s="174" t="s">
        <v>71</v>
      </c>
      <c r="E30" s="87"/>
      <c r="F30" s="176">
        <f>-F74/F55</f>
        <v>0.34545454545454546</v>
      </c>
      <c r="G30" s="176">
        <f t="shared" ref="G30:H30" si="3">-G74/G55</f>
        <v>0.14457831325301204</v>
      </c>
      <c r="H30" s="176">
        <f t="shared" si="3"/>
        <v>1.5797064272481117E-2</v>
      </c>
      <c r="I30" s="213">
        <f>AVERAGE(F30:H30)</f>
        <v>0.16860997432667954</v>
      </c>
      <c r="J30" s="199"/>
      <c r="K30" s="199"/>
      <c r="L30" s="199"/>
      <c r="M30" s="199"/>
      <c r="N30" s="200"/>
      <c r="O30" s="200"/>
      <c r="P30" s="200"/>
      <c r="Q30" s="200"/>
      <c r="R30" s="200"/>
      <c r="S30" s="200"/>
      <c r="T30" s="200"/>
      <c r="U30" s="200"/>
    </row>
    <row r="31" spans="2:21">
      <c r="B31" s="13"/>
      <c r="C31" s="85"/>
      <c r="D31" s="174"/>
      <c r="E31" s="87"/>
      <c r="F31" s="88"/>
      <c r="G31" s="176"/>
      <c r="H31" s="176"/>
      <c r="I31" s="199"/>
      <c r="J31" s="199"/>
      <c r="K31" s="199"/>
      <c r="L31" s="199"/>
      <c r="M31" s="199"/>
      <c r="N31" s="200"/>
      <c r="O31" s="200"/>
      <c r="P31" s="200"/>
      <c r="Q31" s="200"/>
      <c r="R31" s="200"/>
      <c r="S31" s="200"/>
      <c r="T31" s="200"/>
      <c r="U31" s="200"/>
    </row>
    <row r="32" spans="2:21">
      <c r="B32" s="187" t="s">
        <v>167</v>
      </c>
      <c r="C32" s="187"/>
      <c r="D32" s="203"/>
      <c r="E32" s="204"/>
      <c r="F32" s="205"/>
      <c r="G32" s="209"/>
      <c r="H32" s="209"/>
      <c r="I32" s="210"/>
      <c r="J32" s="210"/>
      <c r="K32" s="210"/>
      <c r="L32" s="210"/>
      <c r="M32" s="210"/>
      <c r="N32" s="211"/>
      <c r="O32" s="211"/>
      <c r="P32" s="211"/>
      <c r="Q32" s="211"/>
      <c r="R32" s="211"/>
      <c r="S32" s="211"/>
      <c r="T32" s="211"/>
      <c r="U32" s="211"/>
    </row>
    <row r="33" spans="2:21">
      <c r="B33" s="13"/>
      <c r="C33" s="85"/>
      <c r="D33" s="174"/>
      <c r="E33" s="87"/>
      <c r="F33" s="88"/>
      <c r="G33" s="176"/>
      <c r="H33" s="176"/>
      <c r="I33" s="199"/>
      <c r="J33" s="199"/>
      <c r="K33" s="199"/>
      <c r="L33" s="199"/>
      <c r="M33" s="199"/>
      <c r="N33" s="200"/>
      <c r="O33" s="200"/>
      <c r="P33" s="200"/>
      <c r="Q33" s="200"/>
      <c r="R33" s="200"/>
      <c r="S33" s="200"/>
      <c r="T33" s="200"/>
      <c r="U33" s="200"/>
    </row>
    <row r="34" spans="2:21">
      <c r="B34" s="13"/>
      <c r="C34" s="86" t="s">
        <v>168</v>
      </c>
      <c r="D34" s="174"/>
      <c r="E34" s="87"/>
      <c r="F34" s="88"/>
      <c r="G34" s="176"/>
      <c r="H34" s="176"/>
      <c r="I34" s="199"/>
      <c r="J34" s="199"/>
      <c r="K34" s="199"/>
      <c r="L34" s="199"/>
      <c r="M34" s="199"/>
      <c r="N34" s="200"/>
      <c r="O34" s="200"/>
      <c r="P34" s="200"/>
      <c r="Q34" s="200"/>
      <c r="R34" s="200"/>
      <c r="S34" s="200"/>
      <c r="T34" s="200"/>
      <c r="U34" s="200"/>
    </row>
    <row r="35" spans="2:21">
      <c r="B35" s="13"/>
      <c r="C35" s="47" t="s">
        <v>170</v>
      </c>
      <c r="D35" s="174" t="s">
        <v>185</v>
      </c>
      <c r="E35" s="87"/>
      <c r="F35" s="177">
        <f>F90*(Current_Quart-Hist_Quart)/F55</f>
        <v>264.29090909090905</v>
      </c>
      <c r="G35" s="177">
        <f>G90*(Current_Quart-Hist_Quart)/G55</f>
        <v>135.22891566265059</v>
      </c>
      <c r="H35" s="177">
        <f>H90*(Current_Quart-Hist_Quart)/H55</f>
        <v>252.87940487387772</v>
      </c>
      <c r="I35" s="217">
        <v>235</v>
      </c>
      <c r="J35" s="217">
        <f>I35-10</f>
        <v>225</v>
      </c>
      <c r="K35" s="217">
        <f t="shared" ref="K35:U35" si="4">J35-10</f>
        <v>215</v>
      </c>
      <c r="L35" s="217">
        <f t="shared" si="4"/>
        <v>205</v>
      </c>
      <c r="M35" s="217">
        <f t="shared" si="4"/>
        <v>195</v>
      </c>
      <c r="N35" s="217">
        <f t="shared" si="4"/>
        <v>185</v>
      </c>
      <c r="O35" s="217">
        <f t="shared" si="4"/>
        <v>175</v>
      </c>
      <c r="P35" s="217">
        <f t="shared" si="4"/>
        <v>165</v>
      </c>
      <c r="Q35" s="217">
        <f t="shared" si="4"/>
        <v>155</v>
      </c>
      <c r="R35" s="217">
        <f t="shared" si="4"/>
        <v>145</v>
      </c>
      <c r="S35" s="217">
        <f t="shared" si="4"/>
        <v>135</v>
      </c>
      <c r="T35" s="217">
        <f t="shared" si="4"/>
        <v>125</v>
      </c>
      <c r="U35" s="217">
        <f t="shared" si="4"/>
        <v>115</v>
      </c>
    </row>
    <row r="36" spans="2:21">
      <c r="B36" s="13"/>
      <c r="C36" s="47" t="s">
        <v>176</v>
      </c>
      <c r="D36" s="174" t="s">
        <v>71</v>
      </c>
      <c r="E36" s="87"/>
      <c r="F36" s="176">
        <f>F91/F146</f>
        <v>-0.3265379028172965</v>
      </c>
      <c r="G36" s="176">
        <f>G91/G146</f>
        <v>-0.2128546320544028</v>
      </c>
      <c r="H36" s="176">
        <f>H91/H146</f>
        <v>-0.13233532934131736</v>
      </c>
      <c r="I36" s="213">
        <f>AVERAGE(G36:H36)</f>
        <v>-0.17259498069786008</v>
      </c>
      <c r="J36" s="213">
        <v>0.17259498069786008</v>
      </c>
      <c r="K36" s="213">
        <v>0.17259498069786008</v>
      </c>
      <c r="L36" s="213">
        <v>0.17259498069786008</v>
      </c>
      <c r="M36" s="213">
        <v>0.17259498069786008</v>
      </c>
      <c r="N36" s="214">
        <v>0.16</v>
      </c>
      <c r="O36" s="214">
        <v>0.16</v>
      </c>
      <c r="P36" s="214">
        <v>0.16</v>
      </c>
      <c r="Q36" s="214">
        <v>0.16</v>
      </c>
      <c r="R36" s="214">
        <v>0.15</v>
      </c>
      <c r="S36" s="214">
        <v>0.15</v>
      </c>
      <c r="T36" s="214">
        <v>0.15</v>
      </c>
      <c r="U36" s="214">
        <v>0.15</v>
      </c>
    </row>
    <row r="37" spans="2:21">
      <c r="B37" s="13"/>
      <c r="C37" s="86" t="s">
        <v>177</v>
      </c>
      <c r="D37" s="174"/>
      <c r="E37" s="87"/>
      <c r="F37" s="88"/>
      <c r="G37" s="176"/>
      <c r="H37" s="176"/>
      <c r="I37" s="199"/>
      <c r="J37" s="199"/>
      <c r="K37" s="199"/>
      <c r="L37" s="199"/>
      <c r="M37" s="199"/>
      <c r="N37" s="200"/>
      <c r="O37" s="200"/>
      <c r="P37" s="200"/>
      <c r="Q37" s="200"/>
      <c r="R37" s="200"/>
      <c r="S37" s="200"/>
      <c r="T37" s="200"/>
      <c r="U37" s="200"/>
    </row>
    <row r="38" spans="2:21">
      <c r="B38" s="13"/>
      <c r="C38" s="47" t="s">
        <v>178</v>
      </c>
      <c r="D38" s="174" t="s">
        <v>71</v>
      </c>
      <c r="E38" s="87"/>
      <c r="F38" s="176">
        <f>F99/F55</f>
        <v>455.21819422293106</v>
      </c>
      <c r="G38" s="176">
        <f t="shared" ref="G38:H38" si="5">G99/G55</f>
        <v>0.33333333333333331</v>
      </c>
      <c r="H38" s="176">
        <f t="shared" si="5"/>
        <v>0.27644862476841953</v>
      </c>
      <c r="I38" s="213">
        <f>H38-1%</f>
        <v>0.26644862476841952</v>
      </c>
      <c r="J38" s="213">
        <v>0.25</v>
      </c>
      <c r="K38" s="213">
        <v>0.25</v>
      </c>
      <c r="L38" s="213">
        <v>0.25</v>
      </c>
      <c r="M38" s="213">
        <v>0.15</v>
      </c>
      <c r="N38" s="213">
        <v>0.15</v>
      </c>
      <c r="O38" s="213">
        <v>0.15</v>
      </c>
      <c r="P38" s="213">
        <v>0.15</v>
      </c>
      <c r="Q38" s="213">
        <v>0.15</v>
      </c>
      <c r="R38" s="213">
        <v>0.1</v>
      </c>
      <c r="S38" s="213">
        <v>0.1</v>
      </c>
      <c r="T38" s="213">
        <v>0.1</v>
      </c>
      <c r="U38" s="213">
        <v>0.1</v>
      </c>
    </row>
    <row r="39" spans="2:21">
      <c r="B39" s="13"/>
      <c r="C39" s="85"/>
      <c r="D39" s="174"/>
      <c r="E39" s="87"/>
      <c r="F39" s="88"/>
      <c r="G39" s="176"/>
      <c r="H39" s="176"/>
      <c r="I39" s="199"/>
      <c r="J39" s="199"/>
      <c r="K39" s="199"/>
      <c r="L39" s="199"/>
      <c r="M39" s="199"/>
      <c r="N39" s="200"/>
      <c r="O39" s="200"/>
      <c r="P39" s="200"/>
      <c r="Q39" s="200"/>
      <c r="R39" s="200"/>
      <c r="S39" s="200"/>
      <c r="T39" s="200"/>
      <c r="U39" s="200"/>
    </row>
    <row r="40" spans="2:21">
      <c r="B40" s="13"/>
      <c r="C40" s="86" t="s">
        <v>179</v>
      </c>
      <c r="D40" s="174"/>
      <c r="E40" s="87"/>
      <c r="F40" s="88"/>
      <c r="G40" s="176"/>
      <c r="H40" s="176"/>
      <c r="I40" s="199"/>
      <c r="J40" s="199"/>
      <c r="K40" s="199"/>
      <c r="L40" s="199"/>
      <c r="M40" s="199"/>
      <c r="N40" s="200"/>
      <c r="O40" s="200"/>
      <c r="P40" s="200"/>
      <c r="Q40" s="200"/>
      <c r="R40" s="200"/>
      <c r="S40" s="200"/>
      <c r="T40" s="200"/>
      <c r="U40" s="200"/>
    </row>
    <row r="41" spans="2:21">
      <c r="B41" s="13"/>
      <c r="C41" s="47" t="s">
        <v>184</v>
      </c>
      <c r="D41" s="174" t="s">
        <v>185</v>
      </c>
      <c r="E41" s="87"/>
      <c r="F41" s="177">
        <f>F104*(Current_Quart-Hist_Quart)/F55</f>
        <v>497.41626794258372</v>
      </c>
      <c r="G41" s="177">
        <f>G104*(Current_Quart-Hist_Quart)/G55</f>
        <v>208.01606425702812</v>
      </c>
      <c r="H41" s="177">
        <f>H104*(Current_Quart-Hist_Quart)/H55</f>
        <v>202.25507956866656</v>
      </c>
      <c r="I41" s="217">
        <f>AVERAGE(G41:H41)</f>
        <v>205.13557191284735</v>
      </c>
      <c r="J41" s="217">
        <f>I41-10</f>
        <v>195.13557191284735</v>
      </c>
      <c r="K41" s="217">
        <f t="shared" ref="K41:U41" si="6">J41-10</f>
        <v>185.13557191284735</v>
      </c>
      <c r="L41" s="217">
        <f t="shared" si="6"/>
        <v>175.13557191284735</v>
      </c>
      <c r="M41" s="217">
        <f t="shared" si="6"/>
        <v>165.13557191284735</v>
      </c>
      <c r="N41" s="217">
        <f t="shared" si="6"/>
        <v>155.13557191284735</v>
      </c>
      <c r="O41" s="217">
        <f t="shared" si="6"/>
        <v>145.13557191284735</v>
      </c>
      <c r="P41" s="217">
        <f t="shared" si="6"/>
        <v>135.13557191284735</v>
      </c>
      <c r="Q41" s="217">
        <f t="shared" si="6"/>
        <v>125.13557191284735</v>
      </c>
      <c r="R41" s="217">
        <f t="shared" si="6"/>
        <v>115.13557191284735</v>
      </c>
      <c r="S41" s="217">
        <f t="shared" si="6"/>
        <v>105.13557191284735</v>
      </c>
      <c r="T41" s="217">
        <f t="shared" si="6"/>
        <v>95.135571912847354</v>
      </c>
      <c r="U41" s="217">
        <f t="shared" si="6"/>
        <v>85.135571912847354</v>
      </c>
    </row>
    <row r="42" spans="2:21">
      <c r="B42" s="13"/>
      <c r="C42" s="47" t="s">
        <v>182</v>
      </c>
      <c r="D42" s="174" t="s">
        <v>181</v>
      </c>
      <c r="E42" s="87"/>
      <c r="F42" s="176">
        <f>F105/F55</f>
        <v>0.90909090909090906</v>
      </c>
      <c r="G42" s="176">
        <f t="shared" ref="G42:H42" si="7">G105/G55</f>
        <v>0.55421686746987953</v>
      </c>
      <c r="H42" s="176">
        <f t="shared" si="7"/>
        <v>0.45811486390195238</v>
      </c>
      <c r="I42" s="213">
        <v>0.42</v>
      </c>
      <c r="J42" s="213">
        <f>I42*(1-0.06)</f>
        <v>0.39479999999999998</v>
      </c>
      <c r="K42" s="213">
        <f t="shared" ref="K42:U42" si="8">J42*(1-0.06)</f>
        <v>0.37111199999999994</v>
      </c>
      <c r="L42" s="213">
        <f t="shared" si="8"/>
        <v>0.34884527999999992</v>
      </c>
      <c r="M42" s="213">
        <f t="shared" si="8"/>
        <v>0.3279145631999999</v>
      </c>
      <c r="N42" s="213">
        <f t="shared" si="8"/>
        <v>0.3082396894079999</v>
      </c>
      <c r="O42" s="213">
        <f t="shared" si="8"/>
        <v>0.28974530804351989</v>
      </c>
      <c r="P42" s="213">
        <f t="shared" si="8"/>
        <v>0.27236058956090869</v>
      </c>
      <c r="Q42" s="213">
        <f t="shared" si="8"/>
        <v>0.25601895418725418</v>
      </c>
      <c r="R42" s="213">
        <f t="shared" si="8"/>
        <v>0.24065781693601893</v>
      </c>
      <c r="S42" s="213">
        <f t="shared" si="8"/>
        <v>0.22621834791985779</v>
      </c>
      <c r="T42" s="213">
        <f t="shared" si="8"/>
        <v>0.21264524704466631</v>
      </c>
      <c r="U42" s="213">
        <f t="shared" si="8"/>
        <v>0.19988653222198632</v>
      </c>
    </row>
    <row r="43" spans="2:21">
      <c r="B43" s="13"/>
      <c r="C43" s="86" t="s">
        <v>180</v>
      </c>
      <c r="D43" s="174"/>
      <c r="E43" s="87"/>
      <c r="F43" s="88"/>
      <c r="G43" s="176"/>
      <c r="H43" s="176"/>
      <c r="I43" s="199"/>
      <c r="J43" s="199"/>
      <c r="K43" s="199"/>
      <c r="L43" s="199"/>
      <c r="M43" s="199"/>
      <c r="N43" s="200"/>
      <c r="O43" s="200"/>
      <c r="P43" s="200"/>
      <c r="Q43" s="200"/>
      <c r="R43" s="200"/>
      <c r="S43" s="200"/>
      <c r="T43" s="200"/>
      <c r="U43" s="200"/>
    </row>
    <row r="44" spans="2:21">
      <c r="B44" s="13"/>
      <c r="C44" s="47" t="s">
        <v>183</v>
      </c>
      <c r="D44" s="174" t="s">
        <v>181</v>
      </c>
      <c r="E44" s="87"/>
      <c r="F44" s="179">
        <f>F110/F146</f>
        <v>0</v>
      </c>
      <c r="G44" s="179">
        <f>G110/G146</f>
        <v>-6.4306535363867917E-4</v>
      </c>
      <c r="H44" s="179">
        <f>H110/H146</f>
        <v>-1.5568862275449102E-2</v>
      </c>
      <c r="I44" s="213">
        <v>0.02</v>
      </c>
      <c r="J44" s="213">
        <v>0.02</v>
      </c>
      <c r="K44" s="213">
        <v>0.02</v>
      </c>
      <c r="L44" s="213">
        <v>0.02</v>
      </c>
      <c r="M44" s="213">
        <v>0.02</v>
      </c>
      <c r="N44" s="213">
        <v>0.02</v>
      </c>
      <c r="O44" s="213">
        <v>0.02</v>
      </c>
      <c r="P44" s="213">
        <v>0.02</v>
      </c>
      <c r="Q44" s="213">
        <v>0.02</v>
      </c>
      <c r="R44" s="213">
        <v>0.02</v>
      </c>
      <c r="S44" s="213">
        <v>0.02</v>
      </c>
      <c r="T44" s="213">
        <v>0.02</v>
      </c>
      <c r="U44" s="213">
        <v>0.02</v>
      </c>
    </row>
    <row r="45" spans="2:21">
      <c r="B45" s="13"/>
      <c r="C45" s="85"/>
      <c r="D45" s="174"/>
      <c r="E45" s="87"/>
      <c r="F45" s="88"/>
      <c r="G45" s="176"/>
      <c r="H45" s="176"/>
      <c r="I45" s="199"/>
      <c r="J45" s="199"/>
      <c r="K45" s="199"/>
      <c r="L45" s="199"/>
      <c r="M45" s="199"/>
      <c r="N45" s="200"/>
      <c r="O45" s="200"/>
      <c r="P45" s="200"/>
      <c r="Q45" s="200"/>
      <c r="R45" s="200"/>
      <c r="S45" s="200"/>
      <c r="T45" s="200"/>
      <c r="U45" s="200"/>
    </row>
    <row r="46" spans="2:21">
      <c r="B46" s="187" t="s">
        <v>190</v>
      </c>
      <c r="C46" s="206"/>
      <c r="D46" s="203"/>
      <c r="E46" s="204"/>
      <c r="F46" s="205"/>
      <c r="G46" s="209"/>
      <c r="H46" s="209"/>
      <c r="I46" s="210"/>
      <c r="J46" s="210"/>
      <c r="K46" s="210"/>
      <c r="L46" s="210"/>
      <c r="M46" s="210"/>
      <c r="N46" s="211"/>
      <c r="O46" s="211"/>
      <c r="P46" s="211"/>
      <c r="Q46" s="211"/>
      <c r="R46" s="211"/>
      <c r="S46" s="211"/>
      <c r="T46" s="211"/>
      <c r="U46" s="211"/>
    </row>
    <row r="47" spans="2:21">
      <c r="B47" s="13"/>
      <c r="C47" s="85"/>
      <c r="D47" s="174"/>
      <c r="E47" s="87"/>
      <c r="F47" s="88"/>
      <c r="G47" s="176"/>
      <c r="H47" s="176"/>
      <c r="I47" s="199"/>
      <c r="J47" s="199"/>
      <c r="K47" s="199"/>
      <c r="L47" s="199"/>
      <c r="M47" s="199"/>
      <c r="N47" s="200"/>
      <c r="O47" s="200"/>
      <c r="P47" s="200"/>
      <c r="Q47" s="200"/>
      <c r="R47" s="200"/>
      <c r="S47" s="200"/>
      <c r="T47" s="200"/>
      <c r="U47" s="200"/>
    </row>
    <row r="48" spans="2:21">
      <c r="B48" s="13"/>
      <c r="C48" s="39" t="s">
        <v>191</v>
      </c>
      <c r="D48" s="174" t="s">
        <v>181</v>
      </c>
      <c r="E48" s="87"/>
      <c r="F48" s="179">
        <f>F131/-F65</f>
        <v>0.10577404670325713</v>
      </c>
      <c r="G48" s="179">
        <f t="shared" ref="G48:H48" si="9">G131/-G65</f>
        <v>7.7939145510835917E-2</v>
      </c>
      <c r="H48" s="179">
        <f t="shared" si="9"/>
        <v>0.11299077199281868</v>
      </c>
      <c r="I48" s="179">
        <v>0.09</v>
      </c>
      <c r="J48" s="179">
        <v>0.08</v>
      </c>
      <c r="K48" s="179">
        <v>0.08</v>
      </c>
      <c r="L48" s="179">
        <v>0.08</v>
      </c>
      <c r="M48" s="199">
        <v>0.05</v>
      </c>
      <c r="N48" s="199">
        <v>0.05</v>
      </c>
      <c r="O48" s="199">
        <v>0.05</v>
      </c>
      <c r="P48" s="199">
        <v>0.05</v>
      </c>
      <c r="Q48" s="200">
        <v>0.04</v>
      </c>
      <c r="R48" s="200">
        <v>0.04</v>
      </c>
      <c r="S48" s="200">
        <v>0.04</v>
      </c>
      <c r="T48" s="200">
        <v>0.04</v>
      </c>
      <c r="U48" s="200">
        <v>0.04</v>
      </c>
    </row>
    <row r="49" spans="2:21">
      <c r="B49" s="13"/>
      <c r="C49" s="85"/>
      <c r="D49" s="174"/>
      <c r="E49" s="87"/>
      <c r="F49" s="88"/>
      <c r="G49" s="176"/>
      <c r="H49" s="176"/>
      <c r="I49" s="199"/>
      <c r="J49" s="199"/>
      <c r="K49" s="199"/>
      <c r="L49" s="199"/>
      <c r="M49" s="199"/>
      <c r="N49" s="200"/>
      <c r="O49" s="200"/>
      <c r="P49" s="200"/>
      <c r="Q49" s="200"/>
      <c r="R49" s="200"/>
      <c r="S49" s="200"/>
      <c r="T49" s="200"/>
      <c r="U49" s="200"/>
    </row>
    <row r="50" spans="2:21">
      <c r="B50" s="29"/>
      <c r="C50" s="29"/>
      <c r="D50" s="30"/>
      <c r="E50" s="30"/>
      <c r="F50" s="31"/>
      <c r="G50" s="180" t="s">
        <v>19</v>
      </c>
      <c r="H50" s="32"/>
      <c r="I50" s="31"/>
      <c r="J50" s="31"/>
      <c r="K50" s="31"/>
      <c r="L50" s="31"/>
      <c r="M50" s="31"/>
      <c r="N50" s="181" t="s">
        <v>20</v>
      </c>
      <c r="O50" s="31"/>
      <c r="P50" s="31"/>
      <c r="Q50" s="31"/>
      <c r="R50" s="31"/>
      <c r="S50" s="31"/>
      <c r="T50" s="31"/>
      <c r="U50" s="31"/>
    </row>
    <row r="51" spans="2:21">
      <c r="B51" s="33" t="s">
        <v>30</v>
      </c>
      <c r="C51" s="33"/>
      <c r="D51" s="34" t="s">
        <v>21</v>
      </c>
      <c r="E51" s="35"/>
      <c r="F51" s="35" t="s">
        <v>25</v>
      </c>
      <c r="G51" s="35" t="s">
        <v>26</v>
      </c>
      <c r="H51" s="36" t="s">
        <v>27</v>
      </c>
      <c r="I51" s="35" t="str">
        <f t="shared" ref="I51:U51" si="10">I19</f>
        <v>Q4</v>
      </c>
      <c r="J51" s="35" t="str">
        <f t="shared" si="10"/>
        <v>Q1-25</v>
      </c>
      <c r="K51" s="35" t="str">
        <f t="shared" si="10"/>
        <v>Q2-25</v>
      </c>
      <c r="L51" s="35" t="str">
        <f t="shared" si="10"/>
        <v>Q3-25</v>
      </c>
      <c r="M51" s="35" t="str">
        <f t="shared" si="10"/>
        <v>Q4-25</v>
      </c>
      <c r="N51" s="35" t="str">
        <f t="shared" si="10"/>
        <v>Q1-26</v>
      </c>
      <c r="O51" s="35" t="str">
        <f t="shared" si="10"/>
        <v>Q2-26</v>
      </c>
      <c r="P51" s="35" t="str">
        <f t="shared" si="10"/>
        <v>Q3-26</v>
      </c>
      <c r="Q51" s="35" t="str">
        <f t="shared" si="10"/>
        <v>Q4-26</v>
      </c>
      <c r="R51" s="35" t="str">
        <f t="shared" si="10"/>
        <v>Q1-27</v>
      </c>
      <c r="S51" s="35" t="str">
        <f t="shared" si="10"/>
        <v>Q2-27</v>
      </c>
      <c r="T51" s="35" t="str">
        <f t="shared" si="10"/>
        <v>Q3-27</v>
      </c>
      <c r="U51" s="35" t="str">
        <f t="shared" si="10"/>
        <v>Q4-27</v>
      </c>
    </row>
    <row r="52" spans="2:21">
      <c r="N52" s="77">
        <f>SUM(J53:M53)</f>
        <v>966578.40000000014</v>
      </c>
    </row>
    <row r="53" spans="2:21">
      <c r="C53" s="201" t="s">
        <v>83</v>
      </c>
      <c r="F53" s="698">
        <v>11286</v>
      </c>
      <c r="G53" s="698">
        <v>24900</v>
      </c>
      <c r="H53" s="698">
        <f>H21</f>
        <v>28125</v>
      </c>
      <c r="I53" s="82">
        <f t="shared" ref="I53:U53" si="11">I21*I23</f>
        <v>84753</v>
      </c>
      <c r="J53" s="82">
        <f t="shared" si="11"/>
        <v>159256.80000000002</v>
      </c>
      <c r="K53" s="82">
        <f t="shared" si="11"/>
        <v>217992.6</v>
      </c>
      <c r="L53" s="82">
        <f t="shared" si="11"/>
        <v>258595.20000000001</v>
      </c>
      <c r="M53" s="82">
        <f t="shared" si="11"/>
        <v>330733.8</v>
      </c>
      <c r="N53" s="82">
        <f t="shared" si="11"/>
        <v>371336.4</v>
      </c>
      <c r="O53" s="82">
        <f t="shared" si="11"/>
        <v>398536.2</v>
      </c>
      <c r="P53" s="82">
        <f t="shared" si="11"/>
        <v>416669.4</v>
      </c>
      <c r="Q53" s="82">
        <f t="shared" si="11"/>
        <v>434802.60000000003</v>
      </c>
      <c r="R53" s="82">
        <f t="shared" si="11"/>
        <v>443869.2</v>
      </c>
      <c r="S53" s="82">
        <f t="shared" si="11"/>
        <v>476587.8</v>
      </c>
      <c r="T53" s="82">
        <f t="shared" si="11"/>
        <v>503787.60000000003</v>
      </c>
      <c r="U53" s="82">
        <f t="shared" si="11"/>
        <v>517387.5</v>
      </c>
    </row>
    <row r="54" spans="2:21">
      <c r="C54" s="202" t="s">
        <v>164</v>
      </c>
      <c r="F54" s="42"/>
      <c r="G54" s="42"/>
      <c r="H54" s="499">
        <f>H21*H28</f>
        <v>9856.7407621247112</v>
      </c>
      <c r="I54" s="499">
        <f>I21*I28</f>
        <v>30134.400000000001</v>
      </c>
      <c r="J54" s="499">
        <f>I54*(1+0.05)</f>
        <v>31641.120000000003</v>
      </c>
      <c r="K54" s="499">
        <f t="shared" ref="K54:U54" si="12">J54*(1+0.05)</f>
        <v>33223.176000000007</v>
      </c>
      <c r="L54" s="499">
        <f t="shared" si="12"/>
        <v>34884.334800000011</v>
      </c>
      <c r="M54" s="499">
        <f t="shared" si="12"/>
        <v>36628.551540000015</v>
      </c>
      <c r="N54" s="499">
        <f t="shared" si="12"/>
        <v>38459.979117000017</v>
      </c>
      <c r="O54" s="499">
        <f t="shared" si="12"/>
        <v>40382.978072850019</v>
      </c>
      <c r="P54" s="499">
        <f t="shared" si="12"/>
        <v>42402.126976492524</v>
      </c>
      <c r="Q54" s="499">
        <f t="shared" si="12"/>
        <v>44522.233325317153</v>
      </c>
      <c r="R54" s="499">
        <f t="shared" si="12"/>
        <v>46748.344991583013</v>
      </c>
      <c r="S54" s="499">
        <f t="shared" si="12"/>
        <v>49085.762241162163</v>
      </c>
      <c r="T54" s="499">
        <f t="shared" si="12"/>
        <v>51540.050353220271</v>
      </c>
      <c r="U54" s="499">
        <f t="shared" si="12"/>
        <v>54117.052870881285</v>
      </c>
    </row>
    <row r="55" spans="2:21">
      <c r="C55" s="4" t="s">
        <v>146</v>
      </c>
      <c r="F55" s="41">
        <f>SUM(F53:F54)</f>
        <v>11286</v>
      </c>
      <c r="G55" s="41">
        <f t="shared" ref="G55:U55" si="13">SUM(G53:G54)</f>
        <v>24900</v>
      </c>
      <c r="H55" s="41">
        <f t="shared" si="13"/>
        <v>37981.740762124711</v>
      </c>
      <c r="I55" s="41">
        <f t="shared" si="13"/>
        <v>114887.4</v>
      </c>
      <c r="J55" s="41">
        <f t="shared" si="13"/>
        <v>190897.92000000001</v>
      </c>
      <c r="K55" s="41">
        <f t="shared" si="13"/>
        <v>251215.77600000001</v>
      </c>
      <c r="L55" s="41">
        <f t="shared" si="13"/>
        <v>293479.53480000002</v>
      </c>
      <c r="M55" s="41">
        <f t="shared" si="13"/>
        <v>367362.35154</v>
      </c>
      <c r="N55" s="41">
        <f t="shared" si="13"/>
        <v>409796.37911700003</v>
      </c>
      <c r="O55" s="41">
        <f t="shared" si="13"/>
        <v>438919.17807285005</v>
      </c>
      <c r="P55" s="41">
        <f t="shared" si="13"/>
        <v>459071.52697649255</v>
      </c>
      <c r="Q55" s="41">
        <f t="shared" si="13"/>
        <v>479324.83332531719</v>
      </c>
      <c r="R55" s="41">
        <f t="shared" si="13"/>
        <v>490617.54499158304</v>
      </c>
      <c r="S55" s="41">
        <f t="shared" si="13"/>
        <v>525673.56224116217</v>
      </c>
      <c r="T55" s="41">
        <f t="shared" si="13"/>
        <v>555327.65035322029</v>
      </c>
      <c r="U55" s="41">
        <f t="shared" si="13"/>
        <v>571504.55287088128</v>
      </c>
    </row>
    <row r="56" spans="2:21">
      <c r="C56" s="659" t="s">
        <v>415</v>
      </c>
      <c r="F56" s="41"/>
      <c r="G56" s="658">
        <f>G55/F55-1</f>
        <v>1.2062732589048379</v>
      </c>
      <c r="H56" s="658">
        <f t="shared" ref="H56:U56" si="14">H55/G55-1</f>
        <v>0.52537111494476751</v>
      </c>
      <c r="I56" s="658">
        <f t="shared" si="14"/>
        <v>2.0248060698304116</v>
      </c>
      <c r="J56" s="658">
        <f t="shared" si="14"/>
        <v>0.66160884483415949</v>
      </c>
      <c r="K56" s="658">
        <f t="shared" si="14"/>
        <v>0.31596916299559474</v>
      </c>
      <c r="L56" s="658">
        <f t="shared" si="14"/>
        <v>0.16823688174742668</v>
      </c>
      <c r="M56" s="658">
        <f t="shared" si="14"/>
        <v>0.25174776425330481</v>
      </c>
      <c r="N56" s="658">
        <f t="shared" si="14"/>
        <v>0.11551000639862696</v>
      </c>
      <c r="O56" s="658">
        <f t="shared" si="14"/>
        <v>7.106651117465157E-2</v>
      </c>
      <c r="P56" s="658">
        <f t="shared" si="14"/>
        <v>4.5913575688637742E-2</v>
      </c>
      <c r="Q56" s="658">
        <f t="shared" si="14"/>
        <v>4.4117975432315992E-2</v>
      </c>
      <c r="R56" s="658">
        <f t="shared" si="14"/>
        <v>2.355962153665736E-2</v>
      </c>
      <c r="S56" s="658">
        <f t="shared" si="14"/>
        <v>7.1452840623913216E-2</v>
      </c>
      <c r="T56" s="658">
        <f t="shared" si="14"/>
        <v>5.6411602641058378E-2</v>
      </c>
      <c r="U56" s="658">
        <f t="shared" si="14"/>
        <v>2.9130374666868297E-2</v>
      </c>
    </row>
    <row r="57" spans="2:21">
      <c r="C57" s="4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</row>
    <row r="58" spans="2:21">
      <c r="C58" s="40" t="s">
        <v>0</v>
      </c>
      <c r="F58" s="699">
        <v>-8748</v>
      </c>
      <c r="G58" s="699">
        <v>-18100</v>
      </c>
      <c r="H58" s="699">
        <v>-18900</v>
      </c>
      <c r="I58" s="42">
        <f t="shared" ref="I58:U58" si="15">I21*-I27</f>
        <v>-62340.54</v>
      </c>
      <c r="J58" s="42">
        <f t="shared" si="15"/>
        <v>-115372.704</v>
      </c>
      <c r="K58" s="42">
        <f t="shared" si="15"/>
        <v>-155501.38800000001</v>
      </c>
      <c r="L58" s="42">
        <f t="shared" si="15"/>
        <v>-181591.296</v>
      </c>
      <c r="M58" s="42">
        <f t="shared" si="15"/>
        <v>-145702.79390300231</v>
      </c>
      <c r="N58" s="42">
        <f t="shared" si="15"/>
        <v>-163590.02605080832</v>
      </c>
      <c r="O58" s="42">
        <f t="shared" si="15"/>
        <v>-175572.73496535796</v>
      </c>
      <c r="P58" s="42">
        <f t="shared" si="15"/>
        <v>-183561.20757505772</v>
      </c>
      <c r="Q58" s="42">
        <f t="shared" si="15"/>
        <v>-191549.68018475748</v>
      </c>
      <c r="R58" s="42">
        <f t="shared" si="15"/>
        <v>-195543.91648960736</v>
      </c>
      <c r="S58" s="42">
        <f t="shared" si="15"/>
        <v>-209957.89967667434</v>
      </c>
      <c r="T58" s="42">
        <f t="shared" si="15"/>
        <v>-221940.60859122401</v>
      </c>
      <c r="U58" s="42">
        <f t="shared" si="15"/>
        <v>-227931.96304849882</v>
      </c>
    </row>
    <row r="59" spans="2:21">
      <c r="C59" s="4" t="s">
        <v>1</v>
      </c>
      <c r="F59" s="41">
        <f>SUM(F53:F58)</f>
        <v>13824</v>
      </c>
      <c r="G59" s="41">
        <f t="shared" ref="G59:H59" si="16">SUM(G53:G58)</f>
        <v>31701.206273258904</v>
      </c>
      <c r="H59" s="41">
        <f t="shared" si="16"/>
        <v>57064.006895364364</v>
      </c>
      <c r="I59" s="41">
        <f t="shared" ref="I59" si="17">SUM(I53:I58)</f>
        <v>167436.2848060698</v>
      </c>
      <c r="J59" s="41">
        <f t="shared" ref="J59" si="18">SUM(J53:J58)</f>
        <v>266423.79760884482</v>
      </c>
      <c r="K59" s="41">
        <f t="shared" ref="K59" si="19">SUM(K53:K58)</f>
        <v>346930.47996916296</v>
      </c>
      <c r="L59" s="41">
        <f t="shared" ref="L59" si="20">SUM(L53:L58)</f>
        <v>405367.9418368818</v>
      </c>
      <c r="M59" s="41">
        <f t="shared" ref="M59" si="21">SUM(M53:M58)</f>
        <v>589022.16092476202</v>
      </c>
      <c r="N59" s="41">
        <f t="shared" ref="N59" si="22">SUM(N53:N58)</f>
        <v>656002.84769319813</v>
      </c>
      <c r="O59" s="41">
        <f t="shared" ref="O59" si="23">SUM(O53:O58)</f>
        <v>702265.69224685337</v>
      </c>
      <c r="P59" s="41">
        <f t="shared" ref="P59" si="24">SUM(P53:P58)</f>
        <v>734581.89229150303</v>
      </c>
      <c r="Q59" s="41">
        <f t="shared" ref="Q59" si="25">SUM(Q53:Q58)</f>
        <v>767100.03058385232</v>
      </c>
      <c r="R59" s="41">
        <f t="shared" ref="R59" si="26">SUM(R53:R58)</f>
        <v>785691.19705318031</v>
      </c>
      <c r="S59" s="41">
        <f t="shared" ref="S59" si="27">SUM(S53:S58)</f>
        <v>841389.29625849077</v>
      </c>
      <c r="T59" s="41">
        <f t="shared" ref="T59" si="28">SUM(T53:T58)</f>
        <v>888714.74852681905</v>
      </c>
      <c r="U59" s="41">
        <f t="shared" ref="U59" si="29">SUM(U53:U58)</f>
        <v>915077.17182363849</v>
      </c>
    </row>
    <row r="60" spans="2:21">
      <c r="C60" s="659" t="s">
        <v>416</v>
      </c>
      <c r="F60" s="658">
        <f>F59/F55</f>
        <v>1.2248803827751196</v>
      </c>
      <c r="G60" s="658">
        <f t="shared" ref="G60:U60" si="30">G59/G55</f>
        <v>1.2731408141871046</v>
      </c>
      <c r="H60" s="658">
        <f t="shared" si="30"/>
        <v>1.5024063076189609</v>
      </c>
      <c r="I60" s="658">
        <f t="shared" si="30"/>
        <v>1.4573946734460856</v>
      </c>
      <c r="J60" s="658">
        <f t="shared" si="30"/>
        <v>1.3956348901488544</v>
      </c>
      <c r="K60" s="658">
        <f t="shared" si="30"/>
        <v>1.3810059443446854</v>
      </c>
      <c r="L60" s="658">
        <f t="shared" si="30"/>
        <v>1.3812477320203309</v>
      </c>
      <c r="M60" s="658">
        <f t="shared" si="30"/>
        <v>1.6033819428026683</v>
      </c>
      <c r="N60" s="658">
        <f t="shared" si="30"/>
        <v>1.600801961956585</v>
      </c>
      <c r="O60" s="658">
        <f t="shared" si="30"/>
        <v>1.5999886250818918</v>
      </c>
      <c r="P60" s="658">
        <f t="shared" si="30"/>
        <v>1.6001469250980542</v>
      </c>
      <c r="Q60" s="658">
        <f t="shared" si="30"/>
        <v>1.6003761483879189</v>
      </c>
      <c r="R60" s="658">
        <f t="shared" si="30"/>
        <v>1.6014331429314448</v>
      </c>
      <c r="S60" s="658">
        <f t="shared" si="30"/>
        <v>1.6005927569788803</v>
      </c>
      <c r="T60" s="658">
        <f t="shared" si="30"/>
        <v>1.6003430550622599</v>
      </c>
      <c r="U60" s="658">
        <f t="shared" si="30"/>
        <v>1.6011721467954425</v>
      </c>
    </row>
    <row r="61" spans="2:21">
      <c r="C61" s="168"/>
      <c r="F61" s="6"/>
      <c r="G61" s="6"/>
      <c r="H61" s="6"/>
    </row>
    <row r="62" spans="2:21">
      <c r="C62" s="39" t="s">
        <v>3</v>
      </c>
      <c r="F62" s="70">
        <v>49906.8</v>
      </c>
      <c r="G62" s="70">
        <v>83000</v>
      </c>
      <c r="H62" s="70">
        <v>53500</v>
      </c>
      <c r="I62" s="77">
        <f>AVERAGE(F62:H62)</f>
        <v>62135.6</v>
      </c>
      <c r="J62" s="77">
        <f>I62*(1+0.01)</f>
        <v>62756.955999999998</v>
      </c>
      <c r="K62" s="77">
        <f t="shared" ref="K62:U62" si="31">J62*(1+0.01)</f>
        <v>63384.525560000002</v>
      </c>
      <c r="L62" s="77">
        <f t="shared" si="31"/>
        <v>64018.370815599999</v>
      </c>
      <c r="M62" s="77">
        <f t="shared" si="31"/>
        <v>64658.554523756</v>
      </c>
      <c r="N62" s="77">
        <f t="shared" si="31"/>
        <v>65305.140068993562</v>
      </c>
      <c r="O62" s="77">
        <f t="shared" si="31"/>
        <v>65958.191469683501</v>
      </c>
      <c r="P62" s="77">
        <f t="shared" si="31"/>
        <v>66617.773384380343</v>
      </c>
      <c r="Q62" s="77">
        <f t="shared" si="31"/>
        <v>67283.95111822414</v>
      </c>
      <c r="R62" s="77">
        <f t="shared" si="31"/>
        <v>67956.790629406387</v>
      </c>
      <c r="S62" s="77">
        <f t="shared" si="31"/>
        <v>68636.358535700449</v>
      </c>
      <c r="T62" s="77">
        <f t="shared" si="31"/>
        <v>69322.72212105745</v>
      </c>
      <c r="U62" s="77">
        <f t="shared" si="31"/>
        <v>70015.949342268024</v>
      </c>
    </row>
    <row r="63" spans="2:21">
      <c r="C63" s="39" t="s">
        <v>4</v>
      </c>
      <c r="F63" s="70">
        <v>24634.799999999999</v>
      </c>
      <c r="G63" s="70">
        <v>34700</v>
      </c>
      <c r="H63" s="70">
        <v>34400</v>
      </c>
      <c r="I63" s="77">
        <f>AVERAGE(F63:H63)</f>
        <v>31244.933333333334</v>
      </c>
      <c r="J63" s="77">
        <f>I63*(1+0.01)</f>
        <v>31557.382666666668</v>
      </c>
      <c r="K63" s="77">
        <f t="shared" ref="K63:U63" si="32">J63*(1+0.01)</f>
        <v>31872.956493333335</v>
      </c>
      <c r="L63" s="77">
        <f t="shared" si="32"/>
        <v>32191.686058266667</v>
      </c>
      <c r="M63" s="77">
        <f t="shared" si="32"/>
        <v>32513.602918849334</v>
      </c>
      <c r="N63" s="77">
        <f t="shared" si="32"/>
        <v>32838.738948037826</v>
      </c>
      <c r="O63" s="77">
        <f t="shared" si="32"/>
        <v>33167.126337518202</v>
      </c>
      <c r="P63" s="77">
        <f t="shared" si="32"/>
        <v>33498.797600893384</v>
      </c>
      <c r="Q63" s="77">
        <f t="shared" si="32"/>
        <v>33833.785576902315</v>
      </c>
      <c r="R63" s="77">
        <f t="shared" si="32"/>
        <v>34172.123432671338</v>
      </c>
      <c r="S63" s="77">
        <f t="shared" si="32"/>
        <v>34513.844666998055</v>
      </c>
      <c r="T63" s="77">
        <f t="shared" si="32"/>
        <v>34858.983113668037</v>
      </c>
      <c r="U63" s="77">
        <f t="shared" si="32"/>
        <v>35207.57294480472</v>
      </c>
    </row>
    <row r="64" spans="2:21">
      <c r="C64" s="40" t="s">
        <v>5</v>
      </c>
      <c r="F64" s="699">
        <v>8758.7999999999993</v>
      </c>
      <c r="G64" s="699">
        <v>11500</v>
      </c>
      <c r="H64" s="699">
        <v>23500</v>
      </c>
      <c r="I64" s="195">
        <f>I130</f>
        <v>19651.844668329712</v>
      </c>
      <c r="J64" s="195">
        <f t="shared" ref="J64:U64" si="33">J130</f>
        <v>30984.344668329712</v>
      </c>
      <c r="K64" s="195">
        <f t="shared" si="33"/>
        <v>42491.844668329708</v>
      </c>
      <c r="L64" s="195">
        <f t="shared" si="33"/>
        <v>47954.344668329715</v>
      </c>
      <c r="M64" s="195">
        <f t="shared" si="33"/>
        <v>58821.844668329715</v>
      </c>
      <c r="N64" s="195">
        <f t="shared" si="33"/>
        <v>63311.844668329715</v>
      </c>
      <c r="O64" s="195">
        <f t="shared" si="33"/>
        <v>66911.844668329722</v>
      </c>
      <c r="P64" s="195">
        <f t="shared" si="33"/>
        <v>68561.844668329722</v>
      </c>
      <c r="Q64" s="195">
        <f t="shared" si="33"/>
        <v>70516.844668329722</v>
      </c>
      <c r="R64" s="195">
        <f t="shared" si="33"/>
        <v>70826.844668329722</v>
      </c>
      <c r="S64" s="195">
        <f t="shared" si="33"/>
        <v>77226.844668329722</v>
      </c>
      <c r="T64" s="195">
        <f t="shared" si="33"/>
        <v>82911.844668329722</v>
      </c>
      <c r="U64" s="195">
        <f t="shared" si="33"/>
        <v>84701.844668329722</v>
      </c>
    </row>
    <row r="65" spans="3:21">
      <c r="C65" s="4" t="s">
        <v>2</v>
      </c>
      <c r="F65" s="41">
        <f>-SUM(F62:F64)</f>
        <v>-83300.400000000009</v>
      </c>
      <c r="G65" s="41">
        <f t="shared" ref="G65:H65" si="34">-SUM(G62:G64)</f>
        <v>-129200</v>
      </c>
      <c r="H65" s="41">
        <f t="shared" si="34"/>
        <v>-111400</v>
      </c>
      <c r="I65" s="41">
        <f t="shared" ref="I65" si="35">-SUM(I62:I64)</f>
        <v>-113032.37800166303</v>
      </c>
      <c r="J65" s="41">
        <f t="shared" ref="J65" si="36">-SUM(J62:J64)</f>
        <v>-125298.68333499637</v>
      </c>
      <c r="K65" s="41">
        <f t="shared" ref="K65" si="37">-SUM(K62:K64)</f>
        <v>-137749.32672166306</v>
      </c>
      <c r="L65" s="41">
        <f t="shared" ref="L65" si="38">-SUM(L62:L64)</f>
        <v>-144164.40154219637</v>
      </c>
      <c r="M65" s="41">
        <f t="shared" ref="M65" si="39">-SUM(M62:M64)</f>
        <v>-155994.00211093505</v>
      </c>
      <c r="N65" s="41">
        <f t="shared" ref="N65" si="40">-SUM(N62:N64)</f>
        <v>-161455.7236853611</v>
      </c>
      <c r="O65" s="41">
        <f t="shared" ref="O65" si="41">-SUM(O62:O64)</f>
        <v>-166037.16247553143</v>
      </c>
      <c r="P65" s="41">
        <f t="shared" ref="P65" si="42">-SUM(P62:P64)</f>
        <v>-168678.41565360344</v>
      </c>
      <c r="Q65" s="41">
        <f t="shared" ref="Q65" si="43">-SUM(Q62:Q64)</f>
        <v>-171634.58136345618</v>
      </c>
      <c r="R65" s="41">
        <f t="shared" ref="R65" si="44">-SUM(R62:R64)</f>
        <v>-172955.75873040746</v>
      </c>
      <c r="S65" s="41">
        <f t="shared" ref="S65" si="45">-SUM(S62:S64)</f>
        <v>-180377.04787102822</v>
      </c>
      <c r="T65" s="41">
        <f t="shared" ref="T65" si="46">-SUM(T62:T64)</f>
        <v>-187093.54990305522</v>
      </c>
      <c r="U65" s="41">
        <f t="shared" ref="U65" si="47">-SUM(U62:U64)</f>
        <v>-189925.36695540248</v>
      </c>
    </row>
    <row r="66" spans="3:21">
      <c r="C66" s="5"/>
      <c r="F66" s="77"/>
      <c r="G66" s="77"/>
      <c r="H66" s="77"/>
    </row>
    <row r="67" spans="3:21">
      <c r="C67" s="4" t="s">
        <v>188</v>
      </c>
      <c r="F67" s="41">
        <f>SUM(F59,F65)</f>
        <v>-69476.400000000009</v>
      </c>
      <c r="G67" s="41">
        <f t="shared" ref="G67:U67" si="48">SUM(G59,G65)</f>
        <v>-97498.793726741103</v>
      </c>
      <c r="H67" s="41">
        <f t="shared" si="48"/>
        <v>-54335.993104635636</v>
      </c>
      <c r="I67" s="41">
        <f t="shared" si="48"/>
        <v>54403.906804406768</v>
      </c>
      <c r="J67" s="41">
        <f t="shared" si="48"/>
        <v>141125.11427384845</v>
      </c>
      <c r="K67" s="41">
        <f t="shared" si="48"/>
        <v>209181.1532474999</v>
      </c>
      <c r="L67" s="41">
        <f t="shared" si="48"/>
        <v>261203.54029468543</v>
      </c>
      <c r="M67" s="41">
        <f t="shared" si="48"/>
        <v>433028.15881382697</v>
      </c>
      <c r="N67" s="41">
        <f t="shared" si="48"/>
        <v>494547.12400783703</v>
      </c>
      <c r="O67" s="41">
        <f t="shared" si="48"/>
        <v>536228.52977132192</v>
      </c>
      <c r="P67" s="41">
        <f t="shared" si="48"/>
        <v>565903.47663789964</v>
      </c>
      <c r="Q67" s="41">
        <f t="shared" si="48"/>
        <v>595465.44922039611</v>
      </c>
      <c r="R67" s="41">
        <f t="shared" si="48"/>
        <v>612735.43832277285</v>
      </c>
      <c r="S67" s="41">
        <f t="shared" si="48"/>
        <v>661012.24838746258</v>
      </c>
      <c r="T67" s="41">
        <f t="shared" si="48"/>
        <v>701621.19862376386</v>
      </c>
      <c r="U67" s="41">
        <f t="shared" si="48"/>
        <v>725151.80486823595</v>
      </c>
    </row>
    <row r="68" spans="3:21">
      <c r="F68" s="6"/>
      <c r="G68" s="6"/>
      <c r="H68" s="6"/>
    </row>
    <row r="69" spans="3:21">
      <c r="C69" s="5" t="s">
        <v>165</v>
      </c>
      <c r="F69" s="70">
        <v>-51256.800000000003</v>
      </c>
      <c r="G69" s="70">
        <v>12700</v>
      </c>
      <c r="H69" s="70">
        <v>28600</v>
      </c>
      <c r="I69" s="77">
        <f t="shared" ref="I69:U69" si="49">H89*I29</f>
        <v>16802.968136185071</v>
      </c>
      <c r="J69" s="77">
        <f t="shared" si="49"/>
        <v>14279.358541318974</v>
      </c>
      <c r="K69" s="77">
        <f t="shared" si="49"/>
        <v>12392.065237080287</v>
      </c>
      <c r="L69" s="77">
        <f t="shared" si="49"/>
        <v>10679.909178864711</v>
      </c>
      <c r="M69" s="77">
        <f t="shared" si="49"/>
        <v>10774.329404742428</v>
      </c>
      <c r="N69" s="77">
        <f t="shared" si="49"/>
        <v>10384.162207539568</v>
      </c>
      <c r="O69" s="77">
        <f t="shared" si="49"/>
        <v>12211.755226466215</v>
      </c>
      <c r="P69" s="77">
        <f t="shared" si="49"/>
        <v>14440.945973701382</v>
      </c>
      <c r="Q69" s="77">
        <f t="shared" si="49"/>
        <v>17547.612792580429</v>
      </c>
      <c r="R69" s="77">
        <f t="shared" si="49"/>
        <v>20786.505944136061</v>
      </c>
      <c r="S69" s="77">
        <f t="shared" si="49"/>
        <v>25051.93890130537</v>
      </c>
      <c r="T69" s="77">
        <f t="shared" si="49"/>
        <v>27865.991462421898</v>
      </c>
      <c r="U69" s="77">
        <f t="shared" si="49"/>
        <v>31371.093889379135</v>
      </c>
    </row>
    <row r="70" spans="3:21">
      <c r="C70" s="5" t="s">
        <v>187</v>
      </c>
      <c r="F70" s="70">
        <v>15735.6</v>
      </c>
      <c r="G70" s="70">
        <v>74000</v>
      </c>
      <c r="H70" s="70">
        <v>7200</v>
      </c>
      <c r="I70" s="6">
        <f>H70*(1+0.01)</f>
        <v>7272</v>
      </c>
      <c r="J70" s="6">
        <f t="shared" ref="J70:U70" si="50">I70*(1+0.01)</f>
        <v>7344.72</v>
      </c>
      <c r="K70" s="6">
        <f t="shared" si="50"/>
        <v>7418.1672000000008</v>
      </c>
      <c r="L70" s="6">
        <f t="shared" si="50"/>
        <v>7492.3488720000005</v>
      </c>
      <c r="M70" s="6">
        <f t="shared" si="50"/>
        <v>7567.2723607200005</v>
      </c>
      <c r="N70" s="6">
        <f t="shared" si="50"/>
        <v>7642.9450843272007</v>
      </c>
      <c r="O70" s="6">
        <f t="shared" si="50"/>
        <v>7719.3745351704729</v>
      </c>
      <c r="P70" s="6">
        <f t="shared" si="50"/>
        <v>7796.5682805221777</v>
      </c>
      <c r="Q70" s="6">
        <f t="shared" si="50"/>
        <v>7874.5339633273998</v>
      </c>
      <c r="R70" s="6">
        <f t="shared" si="50"/>
        <v>7953.2793029606737</v>
      </c>
      <c r="S70" s="6">
        <f t="shared" si="50"/>
        <v>8032.8120959902808</v>
      </c>
      <c r="T70" s="6">
        <f t="shared" si="50"/>
        <v>8113.1402169501835</v>
      </c>
      <c r="U70" s="6">
        <f t="shared" si="50"/>
        <v>8194.2716191196851</v>
      </c>
    </row>
    <row r="71" spans="3:21">
      <c r="C71" s="5"/>
      <c r="F71" s="6"/>
      <c r="G71" s="6"/>
      <c r="H71" s="6"/>
    </row>
    <row r="72" spans="3:21">
      <c r="C72" s="4" t="s">
        <v>6</v>
      </c>
      <c r="F72" s="41">
        <f>SUM(F67:F70)</f>
        <v>-104997.6</v>
      </c>
      <c r="G72" s="41">
        <f t="shared" ref="G72:U72" si="51">SUM(G67:G70)</f>
        <v>-10798.793726741103</v>
      </c>
      <c r="H72" s="41">
        <f t="shared" si="51"/>
        <v>-18535.993104635636</v>
      </c>
      <c r="I72" s="41">
        <f t="shared" si="51"/>
        <v>78478.874940591835</v>
      </c>
      <c r="J72" s="41">
        <f t="shared" si="51"/>
        <v>162749.19281516742</v>
      </c>
      <c r="K72" s="41">
        <f t="shared" si="51"/>
        <v>228991.38568458019</v>
      </c>
      <c r="L72" s="41">
        <f t="shared" si="51"/>
        <v>279375.79834555014</v>
      </c>
      <c r="M72" s="41">
        <f t="shared" si="51"/>
        <v>451369.7605792894</v>
      </c>
      <c r="N72" s="41">
        <f t="shared" si="51"/>
        <v>512574.23129970377</v>
      </c>
      <c r="O72" s="41">
        <f t="shared" si="51"/>
        <v>556159.65953295864</v>
      </c>
      <c r="P72" s="41">
        <f t="shared" si="51"/>
        <v>588140.9908921232</v>
      </c>
      <c r="Q72" s="41">
        <f t="shared" si="51"/>
        <v>620887.59597630391</v>
      </c>
      <c r="R72" s="41">
        <f t="shared" si="51"/>
        <v>641475.22356986965</v>
      </c>
      <c r="S72" s="41">
        <f t="shared" si="51"/>
        <v>694096.99938475818</v>
      </c>
      <c r="T72" s="41">
        <f t="shared" si="51"/>
        <v>737600.33030313603</v>
      </c>
      <c r="U72" s="41">
        <f t="shared" si="51"/>
        <v>764717.17037673481</v>
      </c>
    </row>
    <row r="73" spans="3:21">
      <c r="F73" s="6"/>
      <c r="G73" s="6"/>
      <c r="H73" s="6"/>
    </row>
    <row r="74" spans="3:21">
      <c r="C74" s="5" t="s">
        <v>7</v>
      </c>
      <c r="F74" s="70">
        <v>-3898.8</v>
      </c>
      <c r="G74" s="70">
        <v>-3600</v>
      </c>
      <c r="H74" s="70">
        <v>-600</v>
      </c>
      <c r="I74" s="6">
        <f t="shared" ref="I74:U74" si="52">-I55*Tax_Rate</f>
        <v>-19371.161564458962</v>
      </c>
      <c r="J74" s="6">
        <f t="shared" si="52"/>
        <v>-32187.293390216528</v>
      </c>
      <c r="K74" s="6">
        <f t="shared" si="52"/>
        <v>-42357.485541816881</v>
      </c>
      <c r="L74" s="6">
        <f t="shared" si="52"/>
        <v>-49483.57682803386</v>
      </c>
      <c r="M74" s="6">
        <f t="shared" si="52"/>
        <v>-61940.956661748023</v>
      </c>
      <c r="N74" s="6">
        <f t="shared" si="52"/>
        <v>-69095.756962083615</v>
      </c>
      <c r="O74" s="6">
        <f t="shared" si="52"/>
        <v>-74006.151346350525</v>
      </c>
      <c r="P74" s="6">
        <f t="shared" si="52"/>
        <v>-77404.038377615987</v>
      </c>
      <c r="Q74" s="6">
        <f t="shared" si="52"/>
        <v>-80818.947841121684</v>
      </c>
      <c r="R74" s="6">
        <f t="shared" si="52"/>
        <v>-82723.01166524936</v>
      </c>
      <c r="S74" s="6">
        <f t="shared" si="52"/>
        <v>-88633.805833696533</v>
      </c>
      <c r="T74" s="6">
        <f t="shared" si="52"/>
        <v>-93633.780868951741</v>
      </c>
      <c r="U74" s="6">
        <f t="shared" si="52"/>
        <v>-96361.367987139762</v>
      </c>
    </row>
    <row r="76" spans="3:21">
      <c r="C76" s="215" t="s">
        <v>29</v>
      </c>
      <c r="F76" s="700">
        <v>251035.21</v>
      </c>
      <c r="G76" s="700">
        <v>-58200</v>
      </c>
      <c r="H76" s="700">
        <v>-42400</v>
      </c>
      <c r="I76" s="170">
        <v>0</v>
      </c>
      <c r="J76" s="170">
        <v>0</v>
      </c>
      <c r="K76" s="170">
        <v>0</v>
      </c>
      <c r="L76" s="170">
        <v>0</v>
      </c>
      <c r="M76" s="170">
        <v>0</v>
      </c>
      <c r="N76" s="170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170">
        <v>0</v>
      </c>
    </row>
    <row r="77" spans="3:21">
      <c r="C77" s="46" t="s">
        <v>68</v>
      </c>
      <c r="F77" s="41">
        <f>SUM(F72:F74)</f>
        <v>-108896.40000000001</v>
      </c>
      <c r="G77" s="41">
        <f>SUM(G72:G74)</f>
        <v>-14398.793726741103</v>
      </c>
      <c r="H77" s="41">
        <f>SUM(H72:H74)</f>
        <v>-19135.993104635636</v>
      </c>
      <c r="I77" s="41">
        <f>SUM(I72:I74)</f>
        <v>59107.713376132873</v>
      </c>
      <c r="J77" s="41">
        <f t="shared" ref="J77:U77" si="53">SUM(J72:J74)</f>
        <v>130561.8994249509</v>
      </c>
      <c r="K77" s="41">
        <f t="shared" si="53"/>
        <v>186633.9001427633</v>
      </c>
      <c r="L77" s="41">
        <f t="shared" si="53"/>
        <v>229892.22151751627</v>
      </c>
      <c r="M77" s="41">
        <f t="shared" si="53"/>
        <v>389428.8039175414</v>
      </c>
      <c r="N77" s="41">
        <f t="shared" si="53"/>
        <v>443478.47433762014</v>
      </c>
      <c r="O77" s="41">
        <f t="shared" si="53"/>
        <v>482153.50818660809</v>
      </c>
      <c r="P77" s="41">
        <f t="shared" si="53"/>
        <v>510736.95251450723</v>
      </c>
      <c r="Q77" s="41">
        <f t="shared" si="53"/>
        <v>540068.64813518221</v>
      </c>
      <c r="R77" s="41">
        <f t="shared" si="53"/>
        <v>558752.21190462029</v>
      </c>
      <c r="S77" s="41">
        <f t="shared" si="53"/>
        <v>605463.19355106167</v>
      </c>
      <c r="T77" s="41">
        <f t="shared" si="53"/>
        <v>643966.54943418433</v>
      </c>
      <c r="U77" s="41">
        <f t="shared" si="53"/>
        <v>668355.80238959508</v>
      </c>
    </row>
    <row r="79" spans="3:21">
      <c r="C79" s="168" t="s">
        <v>8</v>
      </c>
      <c r="F79" s="41">
        <f t="shared" ref="F79:U79" si="54">F67+F130</f>
        <v>-60717.600000000006</v>
      </c>
      <c r="G79" s="41">
        <f t="shared" si="54"/>
        <v>-85998.793726741103</v>
      </c>
      <c r="H79" s="41">
        <f t="shared" si="54"/>
        <v>-30835.993104635636</v>
      </c>
      <c r="I79" s="41">
        <f t="shared" si="54"/>
        <v>74055.751472736476</v>
      </c>
      <c r="J79" s="41">
        <f t="shared" si="54"/>
        <v>172109.45894217817</v>
      </c>
      <c r="K79" s="41">
        <f t="shared" si="54"/>
        <v>251672.99791582959</v>
      </c>
      <c r="L79" s="41">
        <f t="shared" si="54"/>
        <v>309157.88496301515</v>
      </c>
      <c r="M79" s="41">
        <f t="shared" si="54"/>
        <v>491850.00348215667</v>
      </c>
      <c r="N79" s="41">
        <f t="shared" si="54"/>
        <v>557858.96867616673</v>
      </c>
      <c r="O79" s="41">
        <f t="shared" si="54"/>
        <v>603140.37443965161</v>
      </c>
      <c r="P79" s="41">
        <f t="shared" si="54"/>
        <v>634465.32130622934</v>
      </c>
      <c r="Q79" s="41">
        <f t="shared" si="54"/>
        <v>665982.29388872581</v>
      </c>
      <c r="R79" s="41">
        <f t="shared" si="54"/>
        <v>683562.28299110255</v>
      </c>
      <c r="S79" s="41">
        <f t="shared" si="54"/>
        <v>738239.09305579227</v>
      </c>
      <c r="T79" s="41">
        <f t="shared" si="54"/>
        <v>784533.04329209356</v>
      </c>
      <c r="U79" s="41">
        <f t="shared" si="54"/>
        <v>809853.64953656564</v>
      </c>
    </row>
    <row r="80" spans="3:21">
      <c r="C80" s="652" t="s">
        <v>301</v>
      </c>
      <c r="F80" s="662">
        <f>F79/F55</f>
        <v>-5.3799043062200962</v>
      </c>
      <c r="G80" s="662">
        <f t="shared" ref="G80:U80" si="55">G79/G55</f>
        <v>-3.4537668163349839</v>
      </c>
      <c r="H80" s="662">
        <f t="shared" si="55"/>
        <v>-0.81186360829952287</v>
      </c>
      <c r="I80" s="662">
        <f t="shared" si="55"/>
        <v>0.64459419808209151</v>
      </c>
      <c r="J80" s="662">
        <f t="shared" si="55"/>
        <v>0.90157849253767752</v>
      </c>
      <c r="K80" s="662">
        <f t="shared" si="55"/>
        <v>1.0018200366358743</v>
      </c>
      <c r="L80" s="662">
        <f t="shared" si="55"/>
        <v>1.0534222945858887</v>
      </c>
      <c r="M80" s="662">
        <f t="shared" si="55"/>
        <v>1.3388688345996771</v>
      </c>
      <c r="N80" s="662">
        <f t="shared" si="55"/>
        <v>1.3613077057396197</v>
      </c>
      <c r="O80" s="662">
        <f t="shared" si="55"/>
        <v>1.3741490565252648</v>
      </c>
      <c r="P80" s="662">
        <f t="shared" si="55"/>
        <v>1.3820620187117771</v>
      </c>
      <c r="Q80" s="662">
        <f t="shared" si="55"/>
        <v>1.389417463035395</v>
      </c>
      <c r="R80" s="662">
        <f t="shared" si="55"/>
        <v>1.3932691359474918</v>
      </c>
      <c r="S80" s="662">
        <f t="shared" si="55"/>
        <v>1.404367931132728</v>
      </c>
      <c r="T80" s="662">
        <f t="shared" si="55"/>
        <v>1.4127390249577623</v>
      </c>
      <c r="U80" s="662">
        <f t="shared" si="55"/>
        <v>1.4170554643324671</v>
      </c>
    </row>
    <row r="81" spans="2:22">
      <c r="F81" s="186"/>
    </row>
    <row r="85" spans="2:22">
      <c r="B85" s="29"/>
      <c r="C85" s="29"/>
      <c r="D85" s="30"/>
      <c r="E85" s="31" t="s">
        <v>19</v>
      </c>
      <c r="F85" s="31"/>
      <c r="G85" s="31"/>
      <c r="H85" s="32"/>
      <c r="I85" s="31" t="s">
        <v>20</v>
      </c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</row>
    <row r="86" spans="2:22">
      <c r="B86" s="33" t="s">
        <v>31</v>
      </c>
      <c r="C86" s="33"/>
      <c r="D86" s="34" t="s">
        <v>21</v>
      </c>
      <c r="E86" s="35"/>
      <c r="F86" s="35" t="s">
        <v>25</v>
      </c>
      <c r="G86" s="35" t="s">
        <v>26</v>
      </c>
      <c r="H86" s="36" t="s">
        <v>27</v>
      </c>
      <c r="I86" s="35" t="str">
        <f t="shared" ref="I86:U86" si="56">I19</f>
        <v>Q4</v>
      </c>
      <c r="J86" s="35" t="str">
        <f t="shared" si="56"/>
        <v>Q1-25</v>
      </c>
      <c r="K86" s="35" t="str">
        <f t="shared" si="56"/>
        <v>Q2-25</v>
      </c>
      <c r="L86" s="35" t="str">
        <f t="shared" si="56"/>
        <v>Q3-25</v>
      </c>
      <c r="M86" s="35" t="str">
        <f t="shared" si="56"/>
        <v>Q4-25</v>
      </c>
      <c r="N86" s="35" t="str">
        <f t="shared" si="56"/>
        <v>Q1-26</v>
      </c>
      <c r="O86" s="35" t="str">
        <f t="shared" si="56"/>
        <v>Q2-26</v>
      </c>
      <c r="P86" s="35" t="str">
        <f t="shared" si="56"/>
        <v>Q3-26</v>
      </c>
      <c r="Q86" s="35" t="str">
        <f t="shared" si="56"/>
        <v>Q4-26</v>
      </c>
      <c r="R86" s="35" t="str">
        <f t="shared" si="56"/>
        <v>Q1-27</v>
      </c>
      <c r="S86" s="35" t="str">
        <f t="shared" si="56"/>
        <v>Q2-27</v>
      </c>
      <c r="T86" s="35" t="str">
        <f t="shared" si="56"/>
        <v>Q3-27</v>
      </c>
      <c r="U86" s="35" t="str">
        <f t="shared" si="56"/>
        <v>Q4-27</v>
      </c>
    </row>
    <row r="87" spans="2:22">
      <c r="C87" s="187" t="s">
        <v>52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</row>
    <row r="88" spans="2:22">
      <c r="C88" s="154"/>
    </row>
    <row r="89" spans="2:22">
      <c r="C89" s="47" t="s">
        <v>42</v>
      </c>
      <c r="E89" s="6"/>
      <c r="F89" s="701">
        <v>157539.6</v>
      </c>
      <c r="G89" s="701">
        <v>3894700</v>
      </c>
      <c r="H89" s="701">
        <v>2288200</v>
      </c>
      <c r="I89" s="50">
        <f>I157</f>
        <v>1944539.0807998255</v>
      </c>
      <c r="J89" s="50">
        <f t="shared" ref="J89:U89" si="57">J157</f>
        <v>1687530.6461138669</v>
      </c>
      <c r="K89" s="50">
        <f t="shared" si="57"/>
        <v>1454372.1076546989</v>
      </c>
      <c r="L89" s="50">
        <f t="shared" si="57"/>
        <v>1467230.0955472144</v>
      </c>
      <c r="M89" s="50">
        <f t="shared" si="57"/>
        <v>1414097.7814581944</v>
      </c>
      <c r="N89" s="50">
        <f t="shared" si="57"/>
        <v>1662976.3314866424</v>
      </c>
      <c r="O89" s="50">
        <f t="shared" si="57"/>
        <v>1966543.7861459712</v>
      </c>
      <c r="P89" s="50">
        <f t="shared" si="57"/>
        <v>2389604.4595546504</v>
      </c>
      <c r="Q89" s="50">
        <f t="shared" si="57"/>
        <v>2830671.4930289062</v>
      </c>
      <c r="R89" s="50">
        <f t="shared" si="57"/>
        <v>3411530.9943676232</v>
      </c>
      <c r="S89" s="50">
        <f t="shared" si="57"/>
        <v>3794743.9492550548</v>
      </c>
      <c r="T89" s="50">
        <f t="shared" si="57"/>
        <v>4272062.9150687037</v>
      </c>
      <c r="U89" s="50">
        <f t="shared" si="57"/>
        <v>4914494.848060092</v>
      </c>
    </row>
    <row r="90" spans="2:22">
      <c r="C90" s="47" t="s">
        <v>34</v>
      </c>
      <c r="F90" s="76">
        <v>32421.599999999999</v>
      </c>
      <c r="G90" s="76">
        <v>36600</v>
      </c>
      <c r="H90" s="76">
        <v>104400</v>
      </c>
      <c r="I90" s="44">
        <f t="shared" ref="I90:U90" si="58">I35/(Current_Quart-Hist_Quart)*I55</f>
        <v>293462.38043478259</v>
      </c>
      <c r="J90" s="44">
        <f t="shared" si="58"/>
        <v>466869.91304347827</v>
      </c>
      <c r="K90" s="44">
        <f t="shared" si="58"/>
        <v>587080.34608695656</v>
      </c>
      <c r="L90" s="44">
        <f t="shared" si="58"/>
        <v>653948.96341304353</v>
      </c>
      <c r="M90" s="44">
        <f t="shared" si="58"/>
        <v>778648.46250326082</v>
      </c>
      <c r="N90" s="44">
        <f t="shared" si="58"/>
        <v>824047.06670266308</v>
      </c>
      <c r="O90" s="44">
        <f t="shared" si="58"/>
        <v>834900.61046466045</v>
      </c>
      <c r="P90" s="44">
        <f t="shared" si="58"/>
        <v>823334.80381653551</v>
      </c>
      <c r="Q90" s="44">
        <f t="shared" si="58"/>
        <v>807558.14310243656</v>
      </c>
      <c r="R90" s="44">
        <f t="shared" si="58"/>
        <v>773255.91330195148</v>
      </c>
      <c r="S90" s="44">
        <f t="shared" si="58"/>
        <v>771368.81415822718</v>
      </c>
      <c r="T90" s="44">
        <f t="shared" si="58"/>
        <v>754521.26406687545</v>
      </c>
      <c r="U90" s="44">
        <f t="shared" si="58"/>
        <v>714380.6910886016</v>
      </c>
      <c r="V90" s="77"/>
    </row>
    <row r="91" spans="2:22">
      <c r="C91" s="47" t="s">
        <v>35</v>
      </c>
      <c r="F91" s="76">
        <v>21060</v>
      </c>
      <c r="G91" s="76">
        <v>33100</v>
      </c>
      <c r="H91" s="76">
        <v>22100</v>
      </c>
      <c r="I91" s="44">
        <f>I36*I146</f>
        <v>66794.257530071845</v>
      </c>
      <c r="J91" s="44">
        <f t="shared" ref="J91:U91" si="59">-J36*J146</f>
        <v>70763.942086122639</v>
      </c>
      <c r="K91" s="44">
        <f t="shared" si="59"/>
        <v>77667.741314037034</v>
      </c>
      <c r="L91" s="44">
        <f t="shared" si="59"/>
        <v>49362.164479587984</v>
      </c>
      <c r="M91" s="44">
        <f t="shared" si="59"/>
        <v>84571.540541951443</v>
      </c>
      <c r="N91" s="44">
        <f t="shared" si="59"/>
        <v>45760</v>
      </c>
      <c r="O91" s="44">
        <f t="shared" si="59"/>
        <v>39360</v>
      </c>
      <c r="P91" s="44">
        <f t="shared" si="59"/>
        <v>26240</v>
      </c>
      <c r="Q91" s="44">
        <f t="shared" si="59"/>
        <v>26240</v>
      </c>
      <c r="R91" s="44">
        <f t="shared" si="59"/>
        <v>12300</v>
      </c>
      <c r="S91" s="44">
        <f t="shared" si="59"/>
        <v>40200</v>
      </c>
      <c r="T91" s="44">
        <f t="shared" si="59"/>
        <v>36900</v>
      </c>
      <c r="U91" s="44">
        <f t="shared" si="59"/>
        <v>18450</v>
      </c>
      <c r="V91" s="44"/>
    </row>
    <row r="92" spans="2:22">
      <c r="C92" s="47" t="s">
        <v>43</v>
      </c>
      <c r="F92" s="76">
        <v>2998544.48</v>
      </c>
      <c r="G92" s="76">
        <v>0</v>
      </c>
      <c r="H92" s="76">
        <v>0</v>
      </c>
      <c r="I92" s="212">
        <v>0</v>
      </c>
      <c r="J92" s="212">
        <v>0</v>
      </c>
      <c r="K92" s="212">
        <v>0</v>
      </c>
      <c r="L92" s="212">
        <v>0</v>
      </c>
      <c r="M92" s="212">
        <v>0</v>
      </c>
      <c r="N92" s="212">
        <v>0</v>
      </c>
      <c r="O92" s="212">
        <v>0</v>
      </c>
      <c r="P92" s="212">
        <v>0</v>
      </c>
      <c r="Q92" s="212">
        <v>0</v>
      </c>
      <c r="R92" s="212">
        <v>0</v>
      </c>
      <c r="S92" s="212">
        <v>0</v>
      </c>
      <c r="T92" s="212">
        <v>0</v>
      </c>
      <c r="U92" s="212">
        <v>0</v>
      </c>
      <c r="V92" s="77"/>
    </row>
    <row r="93" spans="2:22">
      <c r="C93" s="48" t="s">
        <v>36</v>
      </c>
      <c r="F93" s="702">
        <v>18295.2</v>
      </c>
      <c r="G93" s="702">
        <v>19700</v>
      </c>
      <c r="H93" s="702">
        <v>19400</v>
      </c>
      <c r="I93" s="49">
        <f>H93*(1+0.02)</f>
        <v>19788</v>
      </c>
      <c r="J93" s="49">
        <f t="shared" ref="J93:U93" si="60">I93*(1+0.02)</f>
        <v>20183.760000000002</v>
      </c>
      <c r="K93" s="49">
        <f t="shared" si="60"/>
        <v>20587.435200000004</v>
      </c>
      <c r="L93" s="49">
        <f t="shared" si="60"/>
        <v>20999.183904000005</v>
      </c>
      <c r="M93" s="49">
        <f t="shared" si="60"/>
        <v>21419.167582080005</v>
      </c>
      <c r="N93" s="49">
        <f t="shared" si="60"/>
        <v>21847.550933721606</v>
      </c>
      <c r="O93" s="49">
        <f t="shared" si="60"/>
        <v>22284.50195239604</v>
      </c>
      <c r="P93" s="49">
        <f t="shared" si="60"/>
        <v>22730.19199144396</v>
      </c>
      <c r="Q93" s="49">
        <f t="shared" si="60"/>
        <v>23184.795831272841</v>
      </c>
      <c r="R93" s="49">
        <f t="shared" si="60"/>
        <v>23648.491747898297</v>
      </c>
      <c r="S93" s="49">
        <f t="shared" si="60"/>
        <v>24121.461582856264</v>
      </c>
      <c r="T93" s="49">
        <f t="shared" si="60"/>
        <v>24603.89081451339</v>
      </c>
      <c r="U93" s="49">
        <f t="shared" si="60"/>
        <v>25095.968630803658</v>
      </c>
      <c r="V93" s="77"/>
    </row>
    <row r="94" spans="2:22">
      <c r="C94" s="43" t="s">
        <v>51</v>
      </c>
      <c r="F94" s="46">
        <f>SUM(F89:F93)</f>
        <v>3227860.8800000004</v>
      </c>
      <c r="G94" s="46">
        <f>SUM(G89:G93)</f>
        <v>3984100</v>
      </c>
      <c r="H94" s="46">
        <f>SUM(H89:H93)</f>
        <v>2434100</v>
      </c>
      <c r="I94" s="46">
        <f t="shared" ref="I94:U94" si="61">SUM(I89:I93)</f>
        <v>2324583.71876468</v>
      </c>
      <c r="J94" s="46">
        <f t="shared" si="61"/>
        <v>2245348.2612434677</v>
      </c>
      <c r="K94" s="46">
        <f t="shared" si="61"/>
        <v>2139707.6302556926</v>
      </c>
      <c r="L94" s="46">
        <f t="shared" si="61"/>
        <v>2191540.4073438463</v>
      </c>
      <c r="M94" s="46">
        <f t="shared" si="61"/>
        <v>2298736.9520854871</v>
      </c>
      <c r="N94" s="46">
        <f t="shared" si="61"/>
        <v>2554630.9491230268</v>
      </c>
      <c r="O94" s="46">
        <f t="shared" si="61"/>
        <v>2863088.8985630278</v>
      </c>
      <c r="P94" s="46">
        <f t="shared" si="61"/>
        <v>3261909.4553626296</v>
      </c>
      <c r="Q94" s="46">
        <f t="shared" si="61"/>
        <v>3687654.4319626153</v>
      </c>
      <c r="R94" s="46">
        <f t="shared" si="61"/>
        <v>4220735.399417473</v>
      </c>
      <c r="S94" s="46">
        <f t="shared" si="61"/>
        <v>4630434.2249961384</v>
      </c>
      <c r="T94" s="46">
        <f t="shared" si="61"/>
        <v>5088088.0699500926</v>
      </c>
      <c r="U94" s="46">
        <f t="shared" si="61"/>
        <v>5672421.5077794977</v>
      </c>
      <c r="V94" s="77"/>
    </row>
    <row r="95" spans="2:22">
      <c r="C95" s="45"/>
      <c r="F95" s="44"/>
      <c r="G95" s="44"/>
      <c r="H95" s="44"/>
      <c r="V95" s="77"/>
    </row>
    <row r="96" spans="2:22">
      <c r="C96" s="47" t="s">
        <v>37</v>
      </c>
      <c r="F96" s="76">
        <v>194194.81</v>
      </c>
      <c r="G96" s="76">
        <v>338200</v>
      </c>
      <c r="H96" s="76">
        <v>507000</v>
      </c>
      <c r="I96" s="216">
        <f>Deployment!K112</f>
        <v>874348.15533167031</v>
      </c>
      <c r="J96" s="216">
        <f>Deployment!L112</f>
        <v>1253363.8106633406</v>
      </c>
      <c r="K96" s="216">
        <f>Deployment!M112</f>
        <v>1660871.9659950109</v>
      </c>
      <c r="L96" s="216">
        <f>Deployment!N112</f>
        <v>1898917.6213266812</v>
      </c>
      <c r="M96" s="216">
        <f>Deployment!O112</f>
        <v>2330095.7766583515</v>
      </c>
      <c r="N96" s="216">
        <f>Deployment!P112</f>
        <v>2552783.9319900218</v>
      </c>
      <c r="O96" s="216">
        <f>Deployment!Q112</f>
        <v>2731872.0873216921</v>
      </c>
      <c r="P96" s="216">
        <f>Deployment!R112</f>
        <v>2827310.2426533625</v>
      </c>
      <c r="Q96" s="216">
        <f>Deployment!S112</f>
        <v>2920793.3979850328</v>
      </c>
      <c r="R96" s="216">
        <f>Deployment!T112</f>
        <v>2931966.5533167031</v>
      </c>
      <c r="S96" s="216">
        <f>Deployment!U112</f>
        <v>3122739.7086483734</v>
      </c>
      <c r="T96" s="216">
        <f>Deployment!V112</f>
        <v>3285827.8639800437</v>
      </c>
      <c r="U96" s="216">
        <f>Deployment!W112</f>
        <v>3324126.019311714</v>
      </c>
      <c r="V96" s="77"/>
    </row>
    <row r="97" spans="3:22">
      <c r="C97" s="47" t="s">
        <v>44</v>
      </c>
      <c r="F97" s="76">
        <v>4233.6000000000004</v>
      </c>
      <c r="G97" s="76">
        <v>4700</v>
      </c>
      <c r="H97" s="76">
        <v>8700</v>
      </c>
      <c r="I97" s="183">
        <v>8700</v>
      </c>
      <c r="J97" s="183">
        <v>8700</v>
      </c>
      <c r="K97" s="183">
        <v>8700</v>
      </c>
      <c r="L97" s="183">
        <v>8700</v>
      </c>
      <c r="M97" s="183">
        <v>8700</v>
      </c>
      <c r="N97" s="183">
        <v>8700</v>
      </c>
      <c r="O97" s="183">
        <v>8700</v>
      </c>
      <c r="P97" s="183">
        <v>8700</v>
      </c>
      <c r="Q97" s="183">
        <v>8700</v>
      </c>
      <c r="R97" s="183">
        <v>8700</v>
      </c>
      <c r="S97" s="183">
        <v>8700</v>
      </c>
      <c r="T97" s="183">
        <v>8700</v>
      </c>
      <c r="U97" s="183">
        <v>8700</v>
      </c>
      <c r="V97" s="77"/>
    </row>
    <row r="98" spans="3:22">
      <c r="C98" s="47" t="s">
        <v>45</v>
      </c>
      <c r="F98" s="76">
        <v>98355.599999999991</v>
      </c>
      <c r="G98" s="76">
        <v>97100</v>
      </c>
      <c r="H98" s="76">
        <v>97100</v>
      </c>
      <c r="I98" s="212">
        <v>97100</v>
      </c>
      <c r="J98" s="212">
        <v>97100</v>
      </c>
      <c r="K98" s="212">
        <v>97100</v>
      </c>
      <c r="L98" s="212">
        <v>97100</v>
      </c>
      <c r="M98" s="212">
        <v>97100</v>
      </c>
      <c r="N98" s="212">
        <v>97100</v>
      </c>
      <c r="O98" s="212">
        <v>97100</v>
      </c>
      <c r="P98" s="212">
        <v>97100</v>
      </c>
      <c r="Q98" s="212">
        <v>97100</v>
      </c>
      <c r="R98" s="212">
        <v>97100</v>
      </c>
      <c r="S98" s="212">
        <v>97100</v>
      </c>
      <c r="T98" s="212">
        <v>97100</v>
      </c>
      <c r="U98" s="212">
        <v>97100</v>
      </c>
      <c r="V98" s="77"/>
    </row>
    <row r="99" spans="3:22">
      <c r="C99" s="48" t="s">
        <v>46</v>
      </c>
      <c r="F99" s="702">
        <v>5137592.54</v>
      </c>
      <c r="G99" s="702">
        <v>8300</v>
      </c>
      <c r="H99" s="702">
        <v>10500</v>
      </c>
      <c r="I99" s="49">
        <f t="shared" ref="I99:U99" si="62">I38*I55</f>
        <v>30611.58973321932</v>
      </c>
      <c r="J99" s="49">
        <f t="shared" si="62"/>
        <v>47724.480000000003</v>
      </c>
      <c r="K99" s="49">
        <f t="shared" si="62"/>
        <v>62803.944000000003</v>
      </c>
      <c r="L99" s="49">
        <f t="shared" si="62"/>
        <v>73369.883700000006</v>
      </c>
      <c r="M99" s="49">
        <f t="shared" si="62"/>
        <v>55104.352730999999</v>
      </c>
      <c r="N99" s="49">
        <f t="shared" si="62"/>
        <v>61469.456867550005</v>
      </c>
      <c r="O99" s="49">
        <f t="shared" si="62"/>
        <v>65837.876710927507</v>
      </c>
      <c r="P99" s="49">
        <f t="shared" si="62"/>
        <v>68860.729046473876</v>
      </c>
      <c r="Q99" s="49">
        <f t="shared" si="62"/>
        <v>71898.724998797581</v>
      </c>
      <c r="R99" s="49">
        <f t="shared" si="62"/>
        <v>49061.754499158305</v>
      </c>
      <c r="S99" s="49">
        <f t="shared" si="62"/>
        <v>52567.356224116222</v>
      </c>
      <c r="T99" s="49">
        <f t="shared" si="62"/>
        <v>55532.765035322031</v>
      </c>
      <c r="U99" s="49">
        <f t="shared" si="62"/>
        <v>57150.455287088131</v>
      </c>
      <c r="V99" s="77"/>
    </row>
    <row r="100" spans="3:22">
      <c r="C100" s="43" t="s">
        <v>32</v>
      </c>
      <c r="F100" s="46">
        <f>SUM(F94:F99)</f>
        <v>8662237.4299999997</v>
      </c>
      <c r="G100" s="46">
        <f>SUM(G94:G99)</f>
        <v>4432400</v>
      </c>
      <c r="H100" s="46">
        <f>SUM(H94:H99)</f>
        <v>3057400</v>
      </c>
      <c r="I100" s="46">
        <f t="shared" ref="I100:U100" si="63">SUM(I94:I99)</f>
        <v>3335343.4638295695</v>
      </c>
      <c r="J100" s="46">
        <f t="shared" si="63"/>
        <v>3652236.5519068083</v>
      </c>
      <c r="K100" s="46">
        <f t="shared" si="63"/>
        <v>3969183.5402507037</v>
      </c>
      <c r="L100" s="46">
        <f t="shared" si="63"/>
        <v>4269627.9123705272</v>
      </c>
      <c r="M100" s="46">
        <f t="shared" si="63"/>
        <v>4789737.0814748378</v>
      </c>
      <c r="N100" s="46">
        <f t="shared" si="63"/>
        <v>5274684.3379805982</v>
      </c>
      <c r="O100" s="46">
        <f t="shared" si="63"/>
        <v>5766598.8625956476</v>
      </c>
      <c r="P100" s="46">
        <f t="shared" si="63"/>
        <v>6263880.4270624658</v>
      </c>
      <c r="Q100" s="46">
        <f t="shared" si="63"/>
        <v>6786146.5549464459</v>
      </c>
      <c r="R100" s="46">
        <f t="shared" si="63"/>
        <v>7307563.707233334</v>
      </c>
      <c r="S100" s="46">
        <f t="shared" si="63"/>
        <v>7911541.2898686277</v>
      </c>
      <c r="T100" s="46">
        <f t="shared" si="63"/>
        <v>8535248.6989654582</v>
      </c>
      <c r="U100" s="46">
        <f t="shared" si="63"/>
        <v>9159497.9823783003</v>
      </c>
      <c r="V100" s="77"/>
    </row>
    <row r="101" spans="3:22">
      <c r="C101" s="45"/>
      <c r="F101" s="44"/>
      <c r="G101" s="44"/>
      <c r="H101" s="44"/>
      <c r="V101" s="77"/>
    </row>
    <row r="102" spans="3:22">
      <c r="C102" s="189" t="s">
        <v>56</v>
      </c>
      <c r="D102" s="188"/>
      <c r="E102" s="188"/>
      <c r="F102" s="51"/>
      <c r="G102" s="51"/>
      <c r="H102" s="51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77"/>
    </row>
    <row r="103" spans="3:22">
      <c r="C103" s="45"/>
      <c r="F103" s="44"/>
      <c r="G103" s="44"/>
      <c r="H103" s="44"/>
      <c r="V103" s="77"/>
    </row>
    <row r="104" spans="3:22">
      <c r="C104" s="47" t="s">
        <v>47</v>
      </c>
      <c r="F104" s="76">
        <v>61020</v>
      </c>
      <c r="G104" s="76">
        <v>56300</v>
      </c>
      <c r="H104" s="76">
        <v>83500</v>
      </c>
      <c r="I104" s="44">
        <f t="shared" ref="I104:U104" si="64">I41/(Current_Quart-Hist_Quart)*I55</f>
        <v>256168.39678891367</v>
      </c>
      <c r="J104" s="44">
        <f t="shared" si="64"/>
        <v>404901.89995840198</v>
      </c>
      <c r="K104" s="44">
        <f t="shared" si="64"/>
        <v>505532.35177488858</v>
      </c>
      <c r="L104" s="44">
        <f t="shared" si="64"/>
        <v>558681.58882515645</v>
      </c>
      <c r="M104" s="44">
        <f t="shared" si="64"/>
        <v>659397.73935659113</v>
      </c>
      <c r="N104" s="44">
        <f t="shared" si="64"/>
        <v>691021.69176228053</v>
      </c>
      <c r="O104" s="44">
        <f t="shared" si="64"/>
        <v>692421.58622956497</v>
      </c>
      <c r="P104" s="44">
        <f t="shared" si="64"/>
        <v>674314.05811817886</v>
      </c>
      <c r="Q104" s="44">
        <f t="shared" si="64"/>
        <v>651962.90380645439</v>
      </c>
      <c r="R104" s="44">
        <f t="shared" si="64"/>
        <v>613994.90905525035</v>
      </c>
      <c r="S104" s="44">
        <f t="shared" si="64"/>
        <v>600728.15875748196</v>
      </c>
      <c r="T104" s="44">
        <f t="shared" si="64"/>
        <v>574254.49581925361</v>
      </c>
      <c r="U104" s="44">
        <f t="shared" si="64"/>
        <v>528862.68434194115</v>
      </c>
      <c r="V104" s="77"/>
    </row>
    <row r="105" spans="3:22">
      <c r="C105" s="47" t="s">
        <v>38</v>
      </c>
      <c r="F105" s="76">
        <v>10260</v>
      </c>
      <c r="G105" s="76">
        <v>13800</v>
      </c>
      <c r="H105" s="76">
        <v>17400</v>
      </c>
      <c r="I105" s="44">
        <f t="shared" ref="I105:U105" si="65">I55*I42</f>
        <v>48252.707999999999</v>
      </c>
      <c r="J105" s="44">
        <f t="shared" si="65"/>
        <v>75366.498816000007</v>
      </c>
      <c r="K105" s="44">
        <f t="shared" si="65"/>
        <v>93229.189062911988</v>
      </c>
      <c r="L105" s="44">
        <f t="shared" si="65"/>
        <v>102378.95049157573</v>
      </c>
      <c r="M105" s="44">
        <f t="shared" si="65"/>
        <v>120463.46504136392</v>
      </c>
      <c r="N105" s="44">
        <f t="shared" si="65"/>
        <v>126315.50861954706</v>
      </c>
      <c r="O105" s="44">
        <f t="shared" si="65"/>
        <v>127174.7724569265</v>
      </c>
      <c r="P105" s="44">
        <f t="shared" si="65"/>
        <v>125032.9917379441</v>
      </c>
      <c r="Q105" s="44">
        <f t="shared" si="65"/>
        <v>122716.24254392763</v>
      </c>
      <c r="R105" s="44">
        <f t="shared" si="65"/>
        <v>118070.94732818342</v>
      </c>
      <c r="S105" s="44">
        <f t="shared" si="65"/>
        <v>118917.00479534225</v>
      </c>
      <c r="T105" s="44">
        <f t="shared" si="65"/>
        <v>118087.7854000946</v>
      </c>
      <c r="U105" s="44">
        <f t="shared" si="65"/>
        <v>114236.0632224373</v>
      </c>
      <c r="V105" s="77"/>
    </row>
    <row r="106" spans="3:22">
      <c r="C106" s="48" t="s">
        <v>39</v>
      </c>
      <c r="F106" s="702">
        <v>3654039.7</v>
      </c>
      <c r="G106" s="702">
        <v>0</v>
      </c>
      <c r="H106" s="703">
        <v>0</v>
      </c>
      <c r="I106" s="218">
        <v>0</v>
      </c>
      <c r="J106" s="218">
        <v>0</v>
      </c>
      <c r="K106" s="218">
        <v>0</v>
      </c>
      <c r="L106" s="218">
        <v>0</v>
      </c>
      <c r="M106" s="218">
        <v>0</v>
      </c>
      <c r="N106" s="218">
        <v>0</v>
      </c>
      <c r="O106" s="218">
        <v>0</v>
      </c>
      <c r="P106" s="218">
        <v>0</v>
      </c>
      <c r="Q106" s="218">
        <v>0</v>
      </c>
      <c r="R106" s="218">
        <v>0</v>
      </c>
      <c r="S106" s="218">
        <v>0</v>
      </c>
      <c r="T106" s="218">
        <v>0</v>
      </c>
      <c r="U106" s="218">
        <v>0</v>
      </c>
      <c r="V106" s="77"/>
    </row>
    <row r="107" spans="3:22">
      <c r="C107" s="43" t="s">
        <v>53</v>
      </c>
      <c r="F107" s="46">
        <f>SUM(F104:F106)</f>
        <v>3725319.7</v>
      </c>
      <c r="G107" s="46">
        <f t="shared" ref="G107:H107" si="66">SUM(G104:G106)</f>
        <v>70100</v>
      </c>
      <c r="H107" s="46">
        <f t="shared" si="66"/>
        <v>100900</v>
      </c>
      <c r="I107" s="46">
        <f t="shared" ref="I107" si="67">SUM(I104:I106)</f>
        <v>304421.10478891368</v>
      </c>
      <c r="J107" s="46">
        <f t="shared" ref="J107" si="68">SUM(J104:J106)</f>
        <v>480268.39877440198</v>
      </c>
      <c r="K107" s="46">
        <f t="shared" ref="K107" si="69">SUM(K104:K106)</f>
        <v>598761.5408378006</v>
      </c>
      <c r="L107" s="46">
        <f t="shared" ref="L107" si="70">SUM(L104:L106)</f>
        <v>661060.5393167322</v>
      </c>
      <c r="M107" s="46">
        <f t="shared" ref="M107" si="71">SUM(M104:M106)</f>
        <v>779861.20439795509</v>
      </c>
      <c r="N107" s="46">
        <f t="shared" ref="N107" si="72">SUM(N104:N106)</f>
        <v>817337.20038182754</v>
      </c>
      <c r="O107" s="46">
        <f t="shared" ref="O107" si="73">SUM(O104:O106)</f>
        <v>819596.3586864915</v>
      </c>
      <c r="P107" s="46">
        <f t="shared" ref="P107" si="74">SUM(P104:P106)</f>
        <v>799347.04985612293</v>
      </c>
      <c r="Q107" s="46">
        <f t="shared" ref="Q107" si="75">SUM(Q104:Q106)</f>
        <v>774679.14635038201</v>
      </c>
      <c r="R107" s="46">
        <f t="shared" ref="R107" si="76">SUM(R104:R106)</f>
        <v>732065.8563834338</v>
      </c>
      <c r="S107" s="46">
        <f t="shared" ref="S107" si="77">SUM(S104:S106)</f>
        <v>719645.16355282417</v>
      </c>
      <c r="T107" s="46">
        <f t="shared" ref="T107" si="78">SUM(T104:T106)</f>
        <v>692342.2812193482</v>
      </c>
      <c r="U107" s="46">
        <f t="shared" ref="U107" si="79">SUM(U104:U106)</f>
        <v>643098.74756437843</v>
      </c>
      <c r="V107" s="77"/>
    </row>
    <row r="108" spans="3:22">
      <c r="C108" s="45"/>
      <c r="F108" s="44"/>
      <c r="G108" s="44"/>
      <c r="H108" s="44"/>
      <c r="V108" s="77"/>
    </row>
    <row r="109" spans="3:22">
      <c r="C109" s="39" t="s">
        <v>48</v>
      </c>
      <c r="F109" s="76">
        <v>11815.2</v>
      </c>
      <c r="G109" s="76">
        <v>10300</v>
      </c>
      <c r="H109" s="76">
        <v>27800</v>
      </c>
      <c r="I109" s="212">
        <v>27800</v>
      </c>
      <c r="J109" s="212">
        <v>27800</v>
      </c>
      <c r="K109" s="212">
        <v>27800</v>
      </c>
      <c r="L109" s="212">
        <v>27800</v>
      </c>
      <c r="M109" s="212">
        <v>27800</v>
      </c>
      <c r="N109" s="212">
        <v>27800</v>
      </c>
      <c r="O109" s="212">
        <v>27800</v>
      </c>
      <c r="P109" s="212">
        <v>27800</v>
      </c>
      <c r="Q109" s="212">
        <v>27800</v>
      </c>
      <c r="R109" s="212">
        <v>27800</v>
      </c>
      <c r="S109" s="212">
        <v>27800</v>
      </c>
      <c r="T109" s="212">
        <v>27800</v>
      </c>
      <c r="U109" s="212">
        <v>27800</v>
      </c>
      <c r="V109" s="77"/>
    </row>
    <row r="110" spans="3:22">
      <c r="C110" s="47" t="s">
        <v>49</v>
      </c>
      <c r="F110" s="76">
        <v>0</v>
      </c>
      <c r="G110" s="76">
        <v>100</v>
      </c>
      <c r="H110" s="76">
        <v>2600</v>
      </c>
      <c r="I110" s="77">
        <f>-I146*I44</f>
        <v>7740</v>
      </c>
      <c r="J110" s="77">
        <f t="shared" ref="J110:U110" si="80">-J146*J44</f>
        <v>8200</v>
      </c>
      <c r="K110" s="77">
        <f t="shared" si="80"/>
        <v>9000</v>
      </c>
      <c r="L110" s="77">
        <f t="shared" si="80"/>
        <v>5720</v>
      </c>
      <c r="M110" s="77">
        <f t="shared" si="80"/>
        <v>9800</v>
      </c>
      <c r="N110" s="77">
        <f t="shared" si="80"/>
        <v>5720</v>
      </c>
      <c r="O110" s="77">
        <f t="shared" si="80"/>
        <v>4920</v>
      </c>
      <c r="P110" s="77">
        <f t="shared" si="80"/>
        <v>3280</v>
      </c>
      <c r="Q110" s="77">
        <f t="shared" si="80"/>
        <v>3280</v>
      </c>
      <c r="R110" s="77">
        <f t="shared" si="80"/>
        <v>1640</v>
      </c>
      <c r="S110" s="77">
        <f t="shared" si="80"/>
        <v>5360</v>
      </c>
      <c r="T110" s="77">
        <f t="shared" si="80"/>
        <v>4920</v>
      </c>
      <c r="U110" s="77">
        <f t="shared" si="80"/>
        <v>2460</v>
      </c>
      <c r="V110" s="77"/>
    </row>
    <row r="111" spans="3:22">
      <c r="C111" s="48" t="s">
        <v>50</v>
      </c>
      <c r="F111" s="702">
        <v>1574812.84</v>
      </c>
      <c r="G111" s="702">
        <v>0</v>
      </c>
      <c r="H111" s="702">
        <v>0</v>
      </c>
      <c r="I111" s="218">
        <v>0</v>
      </c>
      <c r="J111" s="218">
        <v>0</v>
      </c>
      <c r="K111" s="218">
        <v>0</v>
      </c>
      <c r="L111" s="218">
        <v>0</v>
      </c>
      <c r="M111" s="218">
        <v>0</v>
      </c>
      <c r="N111" s="218">
        <v>0</v>
      </c>
      <c r="O111" s="218">
        <v>0</v>
      </c>
      <c r="P111" s="218">
        <v>0</v>
      </c>
      <c r="Q111" s="218">
        <v>0</v>
      </c>
      <c r="R111" s="218">
        <v>0</v>
      </c>
      <c r="S111" s="218">
        <v>0</v>
      </c>
      <c r="T111" s="218">
        <v>0</v>
      </c>
      <c r="U111" s="218">
        <v>0</v>
      </c>
      <c r="V111" s="77"/>
    </row>
    <row r="112" spans="3:22">
      <c r="C112" s="43" t="s">
        <v>55</v>
      </c>
      <c r="F112" s="46">
        <f>SUM(F107:F111)</f>
        <v>5311947.74</v>
      </c>
      <c r="G112" s="46">
        <f>SUM(G107:G111)</f>
        <v>80500</v>
      </c>
      <c r="H112" s="46">
        <f>SUM(H107:H111)</f>
        <v>131300</v>
      </c>
      <c r="I112" s="46">
        <f t="shared" ref="I112:U112" si="81">SUM(I107:I111)</f>
        <v>339961.10478891368</v>
      </c>
      <c r="J112" s="46">
        <f t="shared" si="81"/>
        <v>516268.39877440198</v>
      </c>
      <c r="K112" s="46">
        <f t="shared" si="81"/>
        <v>635561.5408378006</v>
      </c>
      <c r="L112" s="46">
        <f t="shared" si="81"/>
        <v>694580.5393167322</v>
      </c>
      <c r="M112" s="46">
        <f t="shared" si="81"/>
        <v>817461.20439795509</v>
      </c>
      <c r="N112" s="46">
        <f t="shared" si="81"/>
        <v>850857.20038182754</v>
      </c>
      <c r="O112" s="46">
        <f t="shared" si="81"/>
        <v>852316.3586864915</v>
      </c>
      <c r="P112" s="46">
        <f t="shared" si="81"/>
        <v>830427.04985612293</v>
      </c>
      <c r="Q112" s="46">
        <f t="shared" si="81"/>
        <v>805759.14635038201</v>
      </c>
      <c r="R112" s="46">
        <f t="shared" si="81"/>
        <v>761505.8563834338</v>
      </c>
      <c r="S112" s="46">
        <f t="shared" si="81"/>
        <v>752805.16355282417</v>
      </c>
      <c r="T112" s="46">
        <f t="shared" si="81"/>
        <v>725062.2812193482</v>
      </c>
      <c r="U112" s="46">
        <f t="shared" si="81"/>
        <v>673358.74756437843</v>
      </c>
      <c r="V112" s="77"/>
    </row>
    <row r="113" spans="2:22">
      <c r="V113" s="77"/>
    </row>
    <row r="114" spans="2:22">
      <c r="C114" s="39" t="s">
        <v>40</v>
      </c>
      <c r="F114" s="70">
        <v>2221484.46</v>
      </c>
      <c r="G114" s="70">
        <v>3452900</v>
      </c>
      <c r="H114" s="70">
        <v>3358700</v>
      </c>
      <c r="I114" s="6">
        <f>H114+I128+I131</f>
        <v>3427980.6273962823</v>
      </c>
      <c r="J114" s="6">
        <f t="shared" ref="J114:U114" si="82">I114+J128+J131</f>
        <v>3568566.4214880331</v>
      </c>
      <c r="K114" s="6">
        <f t="shared" si="82"/>
        <v>3766220.2677685292</v>
      </c>
      <c r="L114" s="6">
        <f t="shared" si="82"/>
        <v>4007645.6414094213</v>
      </c>
      <c r="M114" s="6">
        <f t="shared" si="82"/>
        <v>4404874.1454325095</v>
      </c>
      <c r="N114" s="6">
        <f t="shared" si="82"/>
        <v>4856425.4059543973</v>
      </c>
      <c r="O114" s="6">
        <f t="shared" si="82"/>
        <v>5346880.7722647814</v>
      </c>
      <c r="P114" s="6">
        <f t="shared" si="82"/>
        <v>5866051.6455619689</v>
      </c>
      <c r="Q114" s="6">
        <f t="shared" si="82"/>
        <v>6412985.6769516896</v>
      </c>
      <c r="R114" s="6">
        <f t="shared" si="82"/>
        <v>6978656.119205527</v>
      </c>
      <c r="S114" s="6">
        <f t="shared" si="82"/>
        <v>7591334.3946714299</v>
      </c>
      <c r="T114" s="6">
        <f t="shared" si="82"/>
        <v>8242784.6861017365</v>
      </c>
      <c r="U114" s="6">
        <f t="shared" si="82"/>
        <v>8918737.5031695478</v>
      </c>
      <c r="V114" s="6"/>
    </row>
    <row r="115" spans="2:22">
      <c r="C115" s="39" t="s">
        <v>41</v>
      </c>
      <c r="F115" s="70">
        <v>-15044.4</v>
      </c>
      <c r="G115" s="70">
        <v>-950800</v>
      </c>
      <c r="H115" s="70">
        <v>-2301100</v>
      </c>
      <c r="I115" s="190">
        <v>-2301100</v>
      </c>
      <c r="J115" s="190">
        <v>-2301100</v>
      </c>
      <c r="K115" s="190">
        <v>-2301100</v>
      </c>
      <c r="L115" s="190">
        <v>-2301100</v>
      </c>
      <c r="M115" s="190">
        <v>-2301100</v>
      </c>
      <c r="N115" s="190">
        <v>-2301100</v>
      </c>
      <c r="O115" s="190">
        <v>-2301100</v>
      </c>
      <c r="P115" s="190">
        <v>-2301100</v>
      </c>
      <c r="Q115" s="190">
        <v>-2301100</v>
      </c>
      <c r="R115" s="190">
        <v>-2301100</v>
      </c>
      <c r="S115" s="190">
        <v>-2301100</v>
      </c>
      <c r="T115" s="190">
        <v>-2301100</v>
      </c>
      <c r="U115" s="190">
        <v>-2301100</v>
      </c>
      <c r="V115" s="77"/>
    </row>
    <row r="116" spans="2:22">
      <c r="C116" s="40" t="s">
        <v>189</v>
      </c>
      <c r="F116" s="699">
        <v>1143849.6299999997</v>
      </c>
      <c r="G116" s="699">
        <v>1849800</v>
      </c>
      <c r="H116" s="699">
        <v>1868500</v>
      </c>
      <c r="I116" s="220">
        <v>1868500</v>
      </c>
      <c r="J116" s="220">
        <v>1868500</v>
      </c>
      <c r="K116" s="220">
        <v>1868500</v>
      </c>
      <c r="L116" s="220">
        <v>1868500</v>
      </c>
      <c r="M116" s="220">
        <v>1868500</v>
      </c>
      <c r="N116" s="220">
        <v>1868500</v>
      </c>
      <c r="O116" s="220">
        <v>1868500</v>
      </c>
      <c r="P116" s="220">
        <v>1868500</v>
      </c>
      <c r="Q116" s="220">
        <v>1868500</v>
      </c>
      <c r="R116" s="220">
        <v>1868500</v>
      </c>
      <c r="S116" s="220">
        <v>1868500</v>
      </c>
      <c r="T116" s="220">
        <v>1868500</v>
      </c>
      <c r="U116" s="220">
        <v>1868500</v>
      </c>
      <c r="V116" s="77"/>
    </row>
    <row r="117" spans="2:22">
      <c r="C117" s="191" t="s">
        <v>54</v>
      </c>
      <c r="F117" s="46">
        <f>SUM(F114:F116)</f>
        <v>3350289.6899999995</v>
      </c>
      <c r="G117" s="46">
        <f>SUM(G114:G116)</f>
        <v>4351900</v>
      </c>
      <c r="H117" s="46">
        <f>SUM(H114:H116)</f>
        <v>2926100</v>
      </c>
      <c r="I117" s="46">
        <f t="shared" ref="I117:U117" si="83">SUM(I114:I116)</f>
        <v>2995380.6273962823</v>
      </c>
      <c r="J117" s="46">
        <f t="shared" si="83"/>
        <v>3135966.4214880331</v>
      </c>
      <c r="K117" s="46">
        <f t="shared" si="83"/>
        <v>3333620.2677685292</v>
      </c>
      <c r="L117" s="46">
        <f t="shared" si="83"/>
        <v>3575045.6414094213</v>
      </c>
      <c r="M117" s="46">
        <f t="shared" si="83"/>
        <v>3972274.1454325095</v>
      </c>
      <c r="N117" s="46">
        <f t="shared" si="83"/>
        <v>4423825.4059543973</v>
      </c>
      <c r="O117" s="46">
        <f t="shared" si="83"/>
        <v>4914280.7722647814</v>
      </c>
      <c r="P117" s="46">
        <f t="shared" si="83"/>
        <v>5433451.6455619689</v>
      </c>
      <c r="Q117" s="46">
        <f t="shared" si="83"/>
        <v>5980385.6769516896</v>
      </c>
      <c r="R117" s="46">
        <f t="shared" si="83"/>
        <v>6546056.119205527</v>
      </c>
      <c r="S117" s="46">
        <f t="shared" si="83"/>
        <v>7158734.3946714299</v>
      </c>
      <c r="T117" s="46">
        <f t="shared" si="83"/>
        <v>7810184.6861017365</v>
      </c>
      <c r="U117" s="46">
        <f t="shared" si="83"/>
        <v>8486137.5031695478</v>
      </c>
      <c r="V117" s="77"/>
    </row>
    <row r="118" spans="2:22">
      <c r="F118" s="44"/>
      <c r="G118" s="44"/>
      <c r="H118" s="44"/>
    </row>
    <row r="119" spans="2:22">
      <c r="C119" s="192" t="s">
        <v>56</v>
      </c>
      <c r="F119" s="46">
        <f>SUM(F112,F117)</f>
        <v>8662237.4299999997</v>
      </c>
      <c r="G119" s="46">
        <f>SUM(G112,G117)</f>
        <v>4432400</v>
      </c>
      <c r="H119" s="46">
        <f>SUM(H112,H117)</f>
        <v>3057400</v>
      </c>
      <c r="I119" s="46">
        <f t="shared" ref="I119:U119" si="84">SUM(I112,I117)</f>
        <v>3335341.7321851961</v>
      </c>
      <c r="J119" s="46">
        <f t="shared" si="84"/>
        <v>3652234.8202624349</v>
      </c>
      <c r="K119" s="46">
        <f t="shared" si="84"/>
        <v>3969181.8086063298</v>
      </c>
      <c r="L119" s="46">
        <f t="shared" si="84"/>
        <v>4269626.1807261538</v>
      </c>
      <c r="M119" s="46">
        <f t="shared" si="84"/>
        <v>4789735.3498304645</v>
      </c>
      <c r="N119" s="46">
        <f t="shared" si="84"/>
        <v>5274682.6063362248</v>
      </c>
      <c r="O119" s="46">
        <f t="shared" si="84"/>
        <v>5766597.1309512733</v>
      </c>
      <c r="P119" s="46">
        <f t="shared" si="84"/>
        <v>6263878.6954180915</v>
      </c>
      <c r="Q119" s="46">
        <f t="shared" si="84"/>
        <v>6786144.8233020715</v>
      </c>
      <c r="R119" s="46">
        <f t="shared" si="84"/>
        <v>7307561.9755889606</v>
      </c>
      <c r="S119" s="46">
        <f t="shared" si="84"/>
        <v>7911539.5582242543</v>
      </c>
      <c r="T119" s="46">
        <f t="shared" si="84"/>
        <v>8535246.9673210848</v>
      </c>
      <c r="U119" s="46">
        <f t="shared" si="84"/>
        <v>9159496.2507339269</v>
      </c>
    </row>
    <row r="121" spans="2:22">
      <c r="C121" s="168" t="s">
        <v>57</v>
      </c>
      <c r="F121" s="53">
        <f>F100-F119</f>
        <v>0</v>
      </c>
      <c r="G121" s="53">
        <f>G100-G119</f>
        <v>0</v>
      </c>
      <c r="H121" s="53">
        <f>H100-H119</f>
        <v>0</v>
      </c>
      <c r="I121" s="53">
        <f t="shared" ref="I121:U121" si="85">I100-I119</f>
        <v>1.7316443733870983</v>
      </c>
      <c r="J121" s="53">
        <f t="shared" si="85"/>
        <v>1.7316443733870983</v>
      </c>
      <c r="K121" s="53">
        <f t="shared" si="85"/>
        <v>1.7316443738527596</v>
      </c>
      <c r="L121" s="53">
        <f t="shared" si="85"/>
        <v>1.7316443733870983</v>
      </c>
      <c r="M121" s="53">
        <f t="shared" si="85"/>
        <v>1.7316443733870983</v>
      </c>
      <c r="N121" s="53">
        <f t="shared" si="85"/>
        <v>1.7316443733870983</v>
      </c>
      <c r="O121" s="53">
        <f t="shared" si="85"/>
        <v>1.7316443743184209</v>
      </c>
      <c r="P121" s="53">
        <f t="shared" si="85"/>
        <v>1.7316443743184209</v>
      </c>
      <c r="Q121" s="53">
        <f t="shared" si="85"/>
        <v>1.7316443743184209</v>
      </c>
      <c r="R121" s="53">
        <f t="shared" si="85"/>
        <v>1.7316443733870983</v>
      </c>
      <c r="S121" s="53">
        <f t="shared" si="85"/>
        <v>1.7316443733870983</v>
      </c>
      <c r="T121" s="53">
        <f t="shared" si="85"/>
        <v>1.7316443733870983</v>
      </c>
      <c r="U121" s="53">
        <f t="shared" si="85"/>
        <v>1.7316443733870983</v>
      </c>
    </row>
    <row r="123" spans="2:22">
      <c r="B123" s="29"/>
      <c r="C123" s="29"/>
      <c r="D123" s="30"/>
      <c r="E123" s="30"/>
      <c r="F123" s="31"/>
      <c r="G123" s="180" t="s">
        <v>19</v>
      </c>
      <c r="H123" s="32"/>
      <c r="I123" s="31"/>
      <c r="J123" s="31"/>
      <c r="K123" s="31"/>
      <c r="L123" s="31"/>
      <c r="M123" s="31"/>
      <c r="N123" s="181" t="s">
        <v>20</v>
      </c>
      <c r="O123" s="31"/>
      <c r="P123" s="31"/>
      <c r="Q123" s="31"/>
      <c r="R123" s="31"/>
      <c r="S123" s="31"/>
      <c r="T123" s="31"/>
      <c r="U123" s="31"/>
      <c r="V123" s="197"/>
    </row>
    <row r="124" spans="2:22">
      <c r="B124" s="33" t="s">
        <v>60</v>
      </c>
      <c r="C124" s="33"/>
      <c r="D124" s="34" t="s">
        <v>21</v>
      </c>
      <c r="E124" s="35"/>
      <c r="F124" s="35" t="s">
        <v>25</v>
      </c>
      <c r="G124" s="35" t="s">
        <v>26</v>
      </c>
      <c r="H124" s="36" t="s">
        <v>27</v>
      </c>
      <c r="I124" s="35" t="str">
        <f t="shared" ref="I124:U124" si="86">I19</f>
        <v>Q4</v>
      </c>
      <c r="J124" s="35" t="str">
        <f t="shared" si="86"/>
        <v>Q1-25</v>
      </c>
      <c r="K124" s="35" t="str">
        <f t="shared" si="86"/>
        <v>Q2-25</v>
      </c>
      <c r="L124" s="35" t="str">
        <f t="shared" si="86"/>
        <v>Q3-25</v>
      </c>
      <c r="M124" s="35" t="str">
        <f t="shared" si="86"/>
        <v>Q4-25</v>
      </c>
      <c r="N124" s="35" t="str">
        <f t="shared" si="86"/>
        <v>Q1-26</v>
      </c>
      <c r="O124" s="35" t="str">
        <f t="shared" si="86"/>
        <v>Q2-26</v>
      </c>
      <c r="P124" s="35" t="str">
        <f t="shared" si="86"/>
        <v>Q3-26</v>
      </c>
      <c r="Q124" s="35" t="str">
        <f t="shared" si="86"/>
        <v>Q4-26</v>
      </c>
      <c r="R124" s="35" t="str">
        <f t="shared" si="86"/>
        <v>Q1-27</v>
      </c>
      <c r="S124" s="35" t="str">
        <f t="shared" si="86"/>
        <v>Q2-27</v>
      </c>
      <c r="T124" s="35" t="str">
        <f t="shared" si="86"/>
        <v>Q3-27</v>
      </c>
      <c r="U124" s="35" t="str">
        <f t="shared" si="86"/>
        <v>Q4-27</v>
      </c>
      <c r="V124" s="156"/>
    </row>
    <row r="126" spans="2:22">
      <c r="C126" s="4"/>
      <c r="E126" s="6"/>
    </row>
    <row r="128" spans="2:22">
      <c r="C128" s="4" t="s">
        <v>68</v>
      </c>
      <c r="E128" s="6"/>
      <c r="F128" s="161">
        <f>F77</f>
        <v>-108896.40000000001</v>
      </c>
      <c r="G128" s="161">
        <f t="shared" ref="G128:U128" si="87">G77</f>
        <v>-14398.793726741103</v>
      </c>
      <c r="H128" s="161">
        <f t="shared" si="87"/>
        <v>-19135.993104635636</v>
      </c>
      <c r="I128" s="185">
        <f t="shared" si="87"/>
        <v>59107.713376132873</v>
      </c>
      <c r="J128" s="185">
        <f t="shared" si="87"/>
        <v>130561.8994249509</v>
      </c>
      <c r="K128" s="185">
        <f t="shared" si="87"/>
        <v>186633.9001427633</v>
      </c>
      <c r="L128" s="185">
        <f t="shared" si="87"/>
        <v>229892.22151751627</v>
      </c>
      <c r="M128" s="185">
        <f t="shared" si="87"/>
        <v>389428.8039175414</v>
      </c>
      <c r="N128" s="185">
        <f t="shared" si="87"/>
        <v>443478.47433762014</v>
      </c>
      <c r="O128" s="185">
        <f t="shared" si="87"/>
        <v>482153.50818660809</v>
      </c>
      <c r="P128" s="185">
        <f t="shared" si="87"/>
        <v>510736.95251450723</v>
      </c>
      <c r="Q128" s="185">
        <f t="shared" si="87"/>
        <v>540068.64813518221</v>
      </c>
      <c r="R128" s="185">
        <f t="shared" si="87"/>
        <v>558752.21190462029</v>
      </c>
      <c r="S128" s="185">
        <f t="shared" si="87"/>
        <v>605463.19355106167</v>
      </c>
      <c r="T128" s="185">
        <f t="shared" si="87"/>
        <v>643966.54943418433</v>
      </c>
      <c r="U128" s="185">
        <f t="shared" si="87"/>
        <v>668355.80238959508</v>
      </c>
    </row>
    <row r="129" spans="3:22">
      <c r="C129" s="4"/>
      <c r="E129" s="6"/>
      <c r="F129" s="704"/>
      <c r="G129" s="705"/>
      <c r="H129" s="704"/>
    </row>
    <row r="130" spans="3:22">
      <c r="C130" s="193" t="s">
        <v>61</v>
      </c>
      <c r="E130" s="6"/>
      <c r="F130" s="62">
        <v>8758.7999999999993</v>
      </c>
      <c r="G130" s="62">
        <v>11500</v>
      </c>
      <c r="H130" s="62">
        <v>23500</v>
      </c>
      <c r="I130" s="77">
        <f>Deployment!K132</f>
        <v>19651.844668329712</v>
      </c>
      <c r="J130" s="77">
        <f>Deployment!L132</f>
        <v>30984.344668329712</v>
      </c>
      <c r="K130" s="77">
        <f>Deployment!M132</f>
        <v>42491.844668329708</v>
      </c>
      <c r="L130" s="77">
        <f>Deployment!N132</f>
        <v>47954.344668329715</v>
      </c>
      <c r="M130" s="77">
        <f>Deployment!O132</f>
        <v>58821.844668329715</v>
      </c>
      <c r="N130" s="77">
        <f>Deployment!P132</f>
        <v>63311.844668329715</v>
      </c>
      <c r="O130" s="77">
        <f>Deployment!Q132</f>
        <v>66911.844668329722</v>
      </c>
      <c r="P130" s="77">
        <f>Deployment!R132</f>
        <v>68561.844668329722</v>
      </c>
      <c r="Q130" s="77">
        <f>Deployment!S132</f>
        <v>70516.844668329722</v>
      </c>
      <c r="R130" s="77">
        <f>Deployment!T132</f>
        <v>70826.844668329722</v>
      </c>
      <c r="S130" s="77">
        <f>Deployment!U132</f>
        <v>77226.844668329722</v>
      </c>
      <c r="T130" s="77">
        <f>Deployment!V132</f>
        <v>82911.844668329722</v>
      </c>
      <c r="U130" s="77">
        <f>Deployment!W132</f>
        <v>84701.844668329722</v>
      </c>
      <c r="V130" s="77"/>
    </row>
    <row r="131" spans="3:22">
      <c r="C131" s="39" t="s">
        <v>62</v>
      </c>
      <c r="E131" s="6"/>
      <c r="F131" s="62">
        <v>8811.0204000000012</v>
      </c>
      <c r="G131" s="62">
        <v>10069.7376</v>
      </c>
      <c r="H131" s="62">
        <v>12587.172</v>
      </c>
      <c r="I131" s="77">
        <f>-I65*I48</f>
        <v>10172.914020149672</v>
      </c>
      <c r="J131" s="77">
        <f t="shared" ref="J131:U131" si="88">-J65*J48</f>
        <v>10023.89466679971</v>
      </c>
      <c r="K131" s="77">
        <f t="shared" si="88"/>
        <v>11019.946137733044</v>
      </c>
      <c r="L131" s="77">
        <f t="shared" si="88"/>
        <v>11533.15212337571</v>
      </c>
      <c r="M131" s="77">
        <f t="shared" si="88"/>
        <v>7799.7001055467526</v>
      </c>
      <c r="N131" s="77">
        <f t="shared" si="88"/>
        <v>8072.786184268055</v>
      </c>
      <c r="O131" s="77">
        <f t="shared" si="88"/>
        <v>8301.858123776572</v>
      </c>
      <c r="P131" s="77">
        <f t="shared" si="88"/>
        <v>8433.9207826801721</v>
      </c>
      <c r="Q131" s="77">
        <f t="shared" si="88"/>
        <v>6865.3832545382475</v>
      </c>
      <c r="R131" s="77">
        <f t="shared" si="88"/>
        <v>6918.2303492162982</v>
      </c>
      <c r="S131" s="77">
        <f t="shared" si="88"/>
        <v>7215.0819148411292</v>
      </c>
      <c r="T131" s="77">
        <f t="shared" si="88"/>
        <v>7483.7419961222085</v>
      </c>
      <c r="U131" s="77">
        <f t="shared" si="88"/>
        <v>7597.0146782160991</v>
      </c>
    </row>
    <row r="132" spans="3:22">
      <c r="C132" s="39"/>
      <c r="E132" s="6"/>
      <c r="F132" s="62"/>
      <c r="G132" s="62"/>
      <c r="H132" s="62"/>
    </row>
    <row r="133" spans="3:22">
      <c r="C133" s="39" t="s">
        <v>63</v>
      </c>
      <c r="E133" s="6"/>
      <c r="F133" s="704"/>
      <c r="G133" s="62">
        <f t="shared" ref="G133:H136" si="89">F90-G90</f>
        <v>-4178.4000000000015</v>
      </c>
      <c r="H133" s="62">
        <f t="shared" si="89"/>
        <v>-67800</v>
      </c>
      <c r="I133" s="77">
        <f t="shared" ref="I133:U133" si="90">H90-I90</f>
        <v>-189062.38043478259</v>
      </c>
      <c r="J133" s="77">
        <f t="shared" si="90"/>
        <v>-173407.53260869568</v>
      </c>
      <c r="K133" s="77">
        <f t="shared" si="90"/>
        <v>-120210.43304347829</v>
      </c>
      <c r="L133" s="77">
        <f t="shared" si="90"/>
        <v>-66868.617326086969</v>
      </c>
      <c r="M133" s="77">
        <f t="shared" si="90"/>
        <v>-124699.49909021729</v>
      </c>
      <c r="N133" s="77">
        <f t="shared" si="90"/>
        <v>-45398.604199402267</v>
      </c>
      <c r="O133" s="77">
        <f t="shared" si="90"/>
        <v>-10853.543761997367</v>
      </c>
      <c r="P133" s="77">
        <f t="shared" si="90"/>
        <v>11565.806648124941</v>
      </c>
      <c r="Q133" s="77">
        <f t="shared" si="90"/>
        <v>15776.660714098951</v>
      </c>
      <c r="R133" s="77">
        <f t="shared" si="90"/>
        <v>34302.229800485075</v>
      </c>
      <c r="S133" s="77">
        <f t="shared" si="90"/>
        <v>1887.0991437243065</v>
      </c>
      <c r="T133" s="77">
        <f t="shared" si="90"/>
        <v>16847.550091351732</v>
      </c>
      <c r="U133" s="77">
        <f t="shared" si="90"/>
        <v>40140.572978273849</v>
      </c>
    </row>
    <row r="134" spans="3:22">
      <c r="C134" s="39" t="s">
        <v>64</v>
      </c>
      <c r="E134" s="6"/>
      <c r="F134" s="704"/>
      <c r="G134" s="62">
        <f t="shared" si="89"/>
        <v>-12040</v>
      </c>
      <c r="H134" s="62">
        <f t="shared" si="89"/>
        <v>11000</v>
      </c>
      <c r="I134" s="77">
        <f t="shared" ref="I134:U134" si="91">H91-I91</f>
        <v>-44694.257530071845</v>
      </c>
      <c r="J134" s="77">
        <f t="shared" si="91"/>
        <v>-3969.6845560507936</v>
      </c>
      <c r="K134" s="77">
        <f t="shared" si="91"/>
        <v>-6903.7992279143946</v>
      </c>
      <c r="L134" s="77">
        <f t="shared" si="91"/>
        <v>28305.57683444905</v>
      </c>
      <c r="M134" s="77">
        <f t="shared" si="91"/>
        <v>-35209.376062363459</v>
      </c>
      <c r="N134" s="77">
        <f t="shared" si="91"/>
        <v>38811.540541951443</v>
      </c>
      <c r="O134" s="77">
        <f t="shared" si="91"/>
        <v>6400</v>
      </c>
      <c r="P134" s="77">
        <f t="shared" si="91"/>
        <v>13120</v>
      </c>
      <c r="Q134" s="77">
        <f t="shared" si="91"/>
        <v>0</v>
      </c>
      <c r="R134" s="77">
        <f t="shared" si="91"/>
        <v>13940</v>
      </c>
      <c r="S134" s="77">
        <f t="shared" si="91"/>
        <v>-27900</v>
      </c>
      <c r="T134" s="77">
        <f t="shared" si="91"/>
        <v>3300</v>
      </c>
      <c r="U134" s="77">
        <f t="shared" si="91"/>
        <v>18450</v>
      </c>
    </row>
    <row r="135" spans="3:22">
      <c r="C135" s="47" t="s">
        <v>43</v>
      </c>
      <c r="E135" s="6"/>
      <c r="F135" s="704"/>
      <c r="G135" s="62">
        <f t="shared" si="89"/>
        <v>2998544.48</v>
      </c>
      <c r="H135" s="62">
        <f t="shared" si="89"/>
        <v>0</v>
      </c>
      <c r="I135" s="77">
        <f t="shared" ref="I135:U135" si="92">H92-I92</f>
        <v>0</v>
      </c>
      <c r="J135" s="77">
        <f t="shared" si="92"/>
        <v>0</v>
      </c>
      <c r="K135" s="77">
        <f t="shared" si="92"/>
        <v>0</v>
      </c>
      <c r="L135" s="77">
        <f t="shared" si="92"/>
        <v>0</v>
      </c>
      <c r="M135" s="77">
        <f t="shared" si="92"/>
        <v>0</v>
      </c>
      <c r="N135" s="77">
        <f t="shared" si="92"/>
        <v>0</v>
      </c>
      <c r="O135" s="77">
        <f t="shared" si="92"/>
        <v>0</v>
      </c>
      <c r="P135" s="77">
        <f t="shared" si="92"/>
        <v>0</v>
      </c>
      <c r="Q135" s="77">
        <f t="shared" si="92"/>
        <v>0</v>
      </c>
      <c r="R135" s="77">
        <f t="shared" si="92"/>
        <v>0</v>
      </c>
      <c r="S135" s="77">
        <f t="shared" si="92"/>
        <v>0</v>
      </c>
      <c r="T135" s="77">
        <f t="shared" si="92"/>
        <v>0</v>
      </c>
      <c r="U135" s="77">
        <f t="shared" si="92"/>
        <v>0</v>
      </c>
    </row>
    <row r="136" spans="3:22">
      <c r="C136" s="47" t="s">
        <v>36</v>
      </c>
      <c r="E136" s="6"/>
      <c r="F136" s="704"/>
      <c r="G136" s="62">
        <f t="shared" si="89"/>
        <v>-1404.7999999999993</v>
      </c>
      <c r="H136" s="62">
        <f t="shared" si="89"/>
        <v>300</v>
      </c>
      <c r="I136" s="77">
        <f t="shared" ref="I136:U136" si="93">H93-I93</f>
        <v>-388</v>
      </c>
      <c r="J136" s="77">
        <f t="shared" si="93"/>
        <v>-395.76000000000204</v>
      </c>
      <c r="K136" s="77">
        <f t="shared" si="93"/>
        <v>-403.6752000000015</v>
      </c>
      <c r="L136" s="77">
        <f t="shared" si="93"/>
        <v>-411.74870400000145</v>
      </c>
      <c r="M136" s="77">
        <f t="shared" si="93"/>
        <v>-419.98367807999966</v>
      </c>
      <c r="N136" s="77">
        <f t="shared" si="93"/>
        <v>-428.38335164160162</v>
      </c>
      <c r="O136" s="77">
        <f t="shared" si="93"/>
        <v>-436.95101867443373</v>
      </c>
      <c r="P136" s="77">
        <f t="shared" si="93"/>
        <v>-445.69003904792044</v>
      </c>
      <c r="Q136" s="77">
        <f t="shared" si="93"/>
        <v>-454.60383982888015</v>
      </c>
      <c r="R136" s="77">
        <f t="shared" si="93"/>
        <v>-463.69591662545645</v>
      </c>
      <c r="S136" s="77">
        <f t="shared" si="93"/>
        <v>-472.96983495796667</v>
      </c>
      <c r="T136" s="77">
        <f t="shared" si="93"/>
        <v>-482.42923165712637</v>
      </c>
      <c r="U136" s="77">
        <f t="shared" si="93"/>
        <v>-492.07781629026795</v>
      </c>
    </row>
    <row r="137" spans="3:22">
      <c r="C137" s="47" t="s">
        <v>46</v>
      </c>
      <c r="E137" s="6"/>
      <c r="F137" s="704"/>
      <c r="G137" s="62">
        <f>F99-G99</f>
        <v>5129292.54</v>
      </c>
      <c r="H137" s="62">
        <f>G99-H99</f>
        <v>-2200</v>
      </c>
      <c r="I137" s="77">
        <f t="shared" ref="I137:U137" si="94">H99-I99</f>
        <v>-20111.58973321932</v>
      </c>
      <c r="J137" s="77">
        <f t="shared" si="94"/>
        <v>-17112.890266780683</v>
      </c>
      <c r="K137" s="77">
        <f t="shared" si="94"/>
        <v>-15079.464</v>
      </c>
      <c r="L137" s="77">
        <f t="shared" si="94"/>
        <v>-10565.939700000003</v>
      </c>
      <c r="M137" s="77">
        <f t="shared" si="94"/>
        <v>18265.530969000007</v>
      </c>
      <c r="N137" s="77">
        <f t="shared" si="94"/>
        <v>-6365.1041365500059</v>
      </c>
      <c r="O137" s="77">
        <f t="shared" si="94"/>
        <v>-4368.4198433775018</v>
      </c>
      <c r="P137" s="77">
        <f t="shared" si="94"/>
        <v>-3022.8523355463694</v>
      </c>
      <c r="Q137" s="77">
        <f t="shared" si="94"/>
        <v>-3037.9959523237048</v>
      </c>
      <c r="R137" s="77">
        <f t="shared" si="94"/>
        <v>22836.970499639276</v>
      </c>
      <c r="S137" s="77">
        <f t="shared" si="94"/>
        <v>-3505.6017249579163</v>
      </c>
      <c r="T137" s="77">
        <f t="shared" si="94"/>
        <v>-2965.4088112058089</v>
      </c>
      <c r="U137" s="77">
        <f t="shared" si="94"/>
        <v>-1617.6902517661001</v>
      </c>
    </row>
    <row r="138" spans="3:22">
      <c r="E138" s="6"/>
      <c r="F138" s="704"/>
      <c r="G138" s="62"/>
      <c r="H138" s="62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</row>
    <row r="139" spans="3:22">
      <c r="C139" s="47" t="s">
        <v>47</v>
      </c>
      <c r="E139" s="6"/>
      <c r="F139" s="704"/>
      <c r="G139" s="62">
        <f t="shared" ref="G139:H141" si="95">G104-F104</f>
        <v>-4720</v>
      </c>
      <c r="H139" s="62">
        <f t="shared" si="95"/>
        <v>27200</v>
      </c>
      <c r="I139" s="77">
        <f t="shared" ref="I139:U139" si="96">I104-H104</f>
        <v>172668.39678891367</v>
      </c>
      <c r="J139" s="77">
        <f t="shared" si="96"/>
        <v>148733.50316948831</v>
      </c>
      <c r="K139" s="77">
        <f t="shared" si="96"/>
        <v>100630.4518164866</v>
      </c>
      <c r="L139" s="77">
        <f t="shared" si="96"/>
        <v>53149.237050267868</v>
      </c>
      <c r="M139" s="77">
        <f t="shared" si="96"/>
        <v>100716.15053143469</v>
      </c>
      <c r="N139" s="77">
        <f t="shared" si="96"/>
        <v>31623.952405689401</v>
      </c>
      <c r="O139" s="77">
        <f t="shared" si="96"/>
        <v>1399.8944672844373</v>
      </c>
      <c r="P139" s="77">
        <f t="shared" si="96"/>
        <v>-18107.528111386113</v>
      </c>
      <c r="Q139" s="77">
        <f t="shared" si="96"/>
        <v>-22351.154311724473</v>
      </c>
      <c r="R139" s="77">
        <f t="shared" si="96"/>
        <v>-37967.994751204038</v>
      </c>
      <c r="S139" s="77">
        <f t="shared" si="96"/>
        <v>-13266.750297768391</v>
      </c>
      <c r="T139" s="77">
        <f t="shared" si="96"/>
        <v>-26473.662938228343</v>
      </c>
      <c r="U139" s="77">
        <f t="shared" si="96"/>
        <v>-45391.811477312469</v>
      </c>
    </row>
    <row r="140" spans="3:22">
      <c r="C140" s="47" t="s">
        <v>38</v>
      </c>
      <c r="E140" s="6"/>
      <c r="F140" s="704"/>
      <c r="G140" s="62">
        <f t="shared" si="95"/>
        <v>3540</v>
      </c>
      <c r="H140" s="62">
        <f t="shared" si="95"/>
        <v>3600</v>
      </c>
      <c r="I140" s="77">
        <f>I105-H105</f>
        <v>30852.707999999999</v>
      </c>
      <c r="J140" s="77">
        <f t="shared" ref="J140:T140" si="97">J105-I105</f>
        <v>27113.790816000008</v>
      </c>
      <c r="K140" s="77">
        <f t="shared" si="97"/>
        <v>17862.690246911981</v>
      </c>
      <c r="L140" s="77">
        <f t="shared" si="97"/>
        <v>9149.7614286637399</v>
      </c>
      <c r="M140" s="77">
        <f t="shared" si="97"/>
        <v>18084.514549788189</v>
      </c>
      <c r="N140" s="77">
        <f t="shared" si="97"/>
        <v>5852.0435781831475</v>
      </c>
      <c r="O140" s="77">
        <f t="shared" si="97"/>
        <v>859.26383737943252</v>
      </c>
      <c r="P140" s="77">
        <f t="shared" si="97"/>
        <v>-2141.7807189823943</v>
      </c>
      <c r="Q140" s="77">
        <f t="shared" si="97"/>
        <v>-2316.7491940164764</v>
      </c>
      <c r="R140" s="77">
        <f t="shared" si="97"/>
        <v>-4645.2952157442051</v>
      </c>
      <c r="S140" s="77">
        <f t="shared" si="97"/>
        <v>846.0574671588256</v>
      </c>
      <c r="T140" s="77">
        <f t="shared" si="97"/>
        <v>-829.21939524765185</v>
      </c>
      <c r="U140" s="77">
        <f t="shared" ref="U140" si="98">U105-T105</f>
        <v>-3851.7221776572987</v>
      </c>
    </row>
    <row r="141" spans="3:22">
      <c r="C141" s="47" t="s">
        <v>39</v>
      </c>
      <c r="E141" s="6"/>
      <c r="F141" s="704"/>
      <c r="G141" s="62">
        <f t="shared" si="95"/>
        <v>-3654039.7</v>
      </c>
      <c r="H141" s="62">
        <f t="shared" si="95"/>
        <v>0</v>
      </c>
      <c r="I141" s="77">
        <f t="shared" ref="I141:U141" si="99">I106-H106</f>
        <v>0</v>
      </c>
      <c r="J141" s="77">
        <f t="shared" si="99"/>
        <v>0</v>
      </c>
      <c r="K141" s="77">
        <f t="shared" si="99"/>
        <v>0</v>
      </c>
      <c r="L141" s="77">
        <f t="shared" si="99"/>
        <v>0</v>
      </c>
      <c r="M141" s="77">
        <f t="shared" si="99"/>
        <v>0</v>
      </c>
      <c r="N141" s="77">
        <f t="shared" si="99"/>
        <v>0</v>
      </c>
      <c r="O141" s="77">
        <f t="shared" si="99"/>
        <v>0</v>
      </c>
      <c r="P141" s="77">
        <f t="shared" si="99"/>
        <v>0</v>
      </c>
      <c r="Q141" s="77">
        <f t="shared" si="99"/>
        <v>0</v>
      </c>
      <c r="R141" s="77">
        <f t="shared" si="99"/>
        <v>0</v>
      </c>
      <c r="S141" s="77">
        <f t="shared" si="99"/>
        <v>0</v>
      </c>
      <c r="T141" s="77">
        <f t="shared" si="99"/>
        <v>0</v>
      </c>
      <c r="U141" s="77">
        <f t="shared" si="99"/>
        <v>0</v>
      </c>
    </row>
    <row r="142" spans="3:22">
      <c r="C142" s="47" t="s">
        <v>49</v>
      </c>
      <c r="E142" s="6"/>
      <c r="F142" s="704"/>
      <c r="G142" s="62">
        <f>F110-G110</f>
        <v>-100</v>
      </c>
      <c r="H142" s="62">
        <f>G110-H110</f>
        <v>-2500</v>
      </c>
      <c r="I142" s="77">
        <f>I110-H110</f>
        <v>5140</v>
      </c>
      <c r="J142" s="77">
        <f t="shared" ref="J142:U142" si="100">J110-I110</f>
        <v>460</v>
      </c>
      <c r="K142" s="77">
        <f t="shared" si="100"/>
        <v>800</v>
      </c>
      <c r="L142" s="77">
        <f t="shared" si="100"/>
        <v>-3280</v>
      </c>
      <c r="M142" s="77">
        <f t="shared" si="100"/>
        <v>4080</v>
      </c>
      <c r="N142" s="77">
        <f t="shared" si="100"/>
        <v>-4080</v>
      </c>
      <c r="O142" s="77">
        <f t="shared" si="100"/>
        <v>-800</v>
      </c>
      <c r="P142" s="77">
        <f t="shared" si="100"/>
        <v>-1640</v>
      </c>
      <c r="Q142" s="77">
        <f t="shared" si="100"/>
        <v>0</v>
      </c>
      <c r="R142" s="77">
        <f t="shared" si="100"/>
        <v>-1640</v>
      </c>
      <c r="S142" s="77">
        <f t="shared" si="100"/>
        <v>3720</v>
      </c>
      <c r="T142" s="77">
        <f t="shared" si="100"/>
        <v>-440</v>
      </c>
      <c r="U142" s="77">
        <f t="shared" si="100"/>
        <v>-2460</v>
      </c>
    </row>
    <row r="143" spans="3:22">
      <c r="C143" s="48" t="s">
        <v>81</v>
      </c>
      <c r="E143" s="6"/>
      <c r="F143" s="704"/>
      <c r="G143" s="706">
        <v>132552.15239999909</v>
      </c>
      <c r="H143" s="706">
        <v>134659.72647575103</v>
      </c>
      <c r="I143" s="195">
        <v>0</v>
      </c>
      <c r="J143" s="195">
        <v>0</v>
      </c>
      <c r="K143" s="195">
        <v>0</v>
      </c>
      <c r="L143" s="195">
        <v>0</v>
      </c>
      <c r="M143" s="195">
        <v>0</v>
      </c>
      <c r="N143" s="195">
        <v>0</v>
      </c>
      <c r="O143" s="195">
        <v>0</v>
      </c>
      <c r="P143" s="195">
        <v>0</v>
      </c>
      <c r="Q143" s="195">
        <v>0</v>
      </c>
      <c r="R143" s="195">
        <v>0</v>
      </c>
      <c r="S143" s="195">
        <v>0</v>
      </c>
      <c r="T143" s="195">
        <v>0</v>
      </c>
      <c r="U143" s="195">
        <v>0</v>
      </c>
    </row>
    <row r="144" spans="3:22">
      <c r="C144" s="4" t="s">
        <v>77</v>
      </c>
      <c r="E144" s="6"/>
      <c r="G144" s="82">
        <f>SUM(G128:G143)</f>
        <v>4594617.2162732575</v>
      </c>
      <c r="H144" s="82">
        <f>SUM(H128:H143)</f>
        <v>121210.9053711154</v>
      </c>
      <c r="I144" s="82">
        <f>SUM(I128:I143)</f>
        <v>43337.349155452175</v>
      </c>
      <c r="J144" s="82">
        <f t="shared" ref="J144:U144" si="101">SUM(J128:J143)</f>
        <v>152991.56531404151</v>
      </c>
      <c r="K144" s="82">
        <f t="shared" si="101"/>
        <v>216841.46154083198</v>
      </c>
      <c r="L144" s="82">
        <f t="shared" si="101"/>
        <v>298857.98789251543</v>
      </c>
      <c r="M144" s="82">
        <f t="shared" si="101"/>
        <v>436867.68591097998</v>
      </c>
      <c r="N144" s="82">
        <f t="shared" si="101"/>
        <v>534878.55002844811</v>
      </c>
      <c r="O144" s="82">
        <f t="shared" si="101"/>
        <v>549567.45465932891</v>
      </c>
      <c r="P144" s="82">
        <f t="shared" si="101"/>
        <v>587060.6734086792</v>
      </c>
      <c r="Q144" s="82">
        <f t="shared" si="101"/>
        <v>605067.0334742557</v>
      </c>
      <c r="R144" s="82">
        <f t="shared" si="101"/>
        <v>662859.50133871695</v>
      </c>
      <c r="S144" s="82">
        <f t="shared" si="101"/>
        <v>651212.95488743135</v>
      </c>
      <c r="T144" s="82">
        <f t="shared" si="101"/>
        <v>723318.965813649</v>
      </c>
      <c r="U144" s="82">
        <f t="shared" si="101"/>
        <v>765431.93299138849</v>
      </c>
    </row>
    <row r="145" spans="3:22">
      <c r="C145" s="4"/>
      <c r="E145" s="6"/>
      <c r="F145" s="184"/>
      <c r="G145" s="184"/>
      <c r="H145" s="184"/>
      <c r="I145" s="194"/>
    </row>
    <row r="146" spans="3:22">
      <c r="C146" s="39" t="s">
        <v>65</v>
      </c>
      <c r="E146" s="6"/>
      <c r="F146" s="707">
        <v>-64494.81</v>
      </c>
      <c r="G146" s="62">
        <v>-155505.19</v>
      </c>
      <c r="H146" s="62">
        <v>-167000</v>
      </c>
      <c r="I146" s="198">
        <f>-Deployment!K110</f>
        <v>-387000</v>
      </c>
      <c r="J146" s="198">
        <f>-Deployment!L110</f>
        <v>-410000</v>
      </c>
      <c r="K146" s="198">
        <f>-Deployment!M110</f>
        <v>-450000</v>
      </c>
      <c r="L146" s="198">
        <f>-Deployment!N110</f>
        <v>-286000</v>
      </c>
      <c r="M146" s="198">
        <f>-Deployment!O110</f>
        <v>-490000</v>
      </c>
      <c r="N146" s="198">
        <f>-Deployment!P110</f>
        <v>-286000</v>
      </c>
      <c r="O146" s="198">
        <f>-Deployment!Q110</f>
        <v>-246000</v>
      </c>
      <c r="P146" s="198">
        <f>-Deployment!R110</f>
        <v>-164000</v>
      </c>
      <c r="Q146" s="198">
        <f>-Deployment!S110</f>
        <v>-164000</v>
      </c>
      <c r="R146" s="198">
        <f>-Deployment!T110</f>
        <v>-82000</v>
      </c>
      <c r="S146" s="198">
        <f>-Deployment!U110</f>
        <v>-268000</v>
      </c>
      <c r="T146" s="198">
        <f>-Deployment!V110</f>
        <v>-246000</v>
      </c>
      <c r="U146" s="198">
        <f>-Deployment!W110</f>
        <v>-123000</v>
      </c>
      <c r="V146" s="77"/>
    </row>
    <row r="147" spans="3:22">
      <c r="C147" s="47" t="s">
        <v>45</v>
      </c>
      <c r="E147" s="6"/>
      <c r="F147" s="704"/>
      <c r="G147" s="706">
        <f>F98-G98</f>
        <v>1255.5999999999913</v>
      </c>
      <c r="H147" s="706">
        <f>G98-H98</f>
        <v>0</v>
      </c>
      <c r="I147" s="195">
        <f>H98-I98</f>
        <v>0</v>
      </c>
      <c r="J147" s="195">
        <f t="shared" ref="J147:U147" si="102">I98-J98</f>
        <v>0</v>
      </c>
      <c r="K147" s="195">
        <f t="shared" si="102"/>
        <v>0</v>
      </c>
      <c r="L147" s="195">
        <f t="shared" si="102"/>
        <v>0</v>
      </c>
      <c r="M147" s="195">
        <f t="shared" si="102"/>
        <v>0</v>
      </c>
      <c r="N147" s="195">
        <f t="shared" si="102"/>
        <v>0</v>
      </c>
      <c r="O147" s="195">
        <f t="shared" si="102"/>
        <v>0</v>
      </c>
      <c r="P147" s="195">
        <f t="shared" si="102"/>
        <v>0</v>
      </c>
      <c r="Q147" s="195">
        <f t="shared" si="102"/>
        <v>0</v>
      </c>
      <c r="R147" s="195">
        <f t="shared" si="102"/>
        <v>0</v>
      </c>
      <c r="S147" s="195">
        <f t="shared" si="102"/>
        <v>0</v>
      </c>
      <c r="T147" s="195">
        <f t="shared" si="102"/>
        <v>0</v>
      </c>
      <c r="U147" s="195">
        <f t="shared" si="102"/>
        <v>0</v>
      </c>
    </row>
    <row r="148" spans="3:22">
      <c r="C148" s="4" t="s">
        <v>67</v>
      </c>
      <c r="E148" s="6"/>
      <c r="F148" s="77"/>
      <c r="G148" s="82">
        <f>SUM(G146:G147)</f>
        <v>-154249.59000000003</v>
      </c>
      <c r="H148" s="82">
        <f>SUM(H146:H147)</f>
        <v>-167000</v>
      </c>
      <c r="I148" s="82">
        <f t="shared" ref="I148:U148" si="103">SUM(I146:I147)</f>
        <v>-387000</v>
      </c>
      <c r="J148" s="82">
        <f t="shared" si="103"/>
        <v>-410000</v>
      </c>
      <c r="K148" s="82">
        <f t="shared" si="103"/>
        <v>-450000</v>
      </c>
      <c r="L148" s="82">
        <f t="shared" si="103"/>
        <v>-286000</v>
      </c>
      <c r="M148" s="82">
        <f t="shared" si="103"/>
        <v>-490000</v>
      </c>
      <c r="N148" s="82">
        <f t="shared" si="103"/>
        <v>-286000</v>
      </c>
      <c r="O148" s="82">
        <f t="shared" si="103"/>
        <v>-246000</v>
      </c>
      <c r="P148" s="82">
        <f t="shared" si="103"/>
        <v>-164000</v>
      </c>
      <c r="Q148" s="82">
        <f t="shared" si="103"/>
        <v>-164000</v>
      </c>
      <c r="R148" s="82">
        <f t="shared" si="103"/>
        <v>-82000</v>
      </c>
      <c r="S148" s="82">
        <f t="shared" si="103"/>
        <v>-268000</v>
      </c>
      <c r="T148" s="82">
        <f t="shared" si="103"/>
        <v>-246000</v>
      </c>
      <c r="U148" s="82">
        <f t="shared" si="103"/>
        <v>-123000</v>
      </c>
    </row>
    <row r="149" spans="3:22">
      <c r="C149" s="4"/>
      <c r="E149" s="6"/>
      <c r="F149" s="77"/>
      <c r="G149" s="82"/>
      <c r="H149" s="82"/>
      <c r="I149" s="194"/>
    </row>
    <row r="150" spans="3:22">
      <c r="C150" s="39" t="s">
        <v>48</v>
      </c>
      <c r="E150" s="6"/>
      <c r="G150" s="62">
        <f>G109-F109</f>
        <v>-1515.2000000000007</v>
      </c>
      <c r="H150" s="62">
        <f>H109-G109</f>
        <v>17500</v>
      </c>
      <c r="I150" s="77">
        <f t="shared" ref="I150:U150" si="104">I109-H109</f>
        <v>0</v>
      </c>
      <c r="J150" s="77">
        <f t="shared" si="104"/>
        <v>0</v>
      </c>
      <c r="K150" s="77">
        <f t="shared" si="104"/>
        <v>0</v>
      </c>
      <c r="L150" s="77">
        <f t="shared" si="104"/>
        <v>0</v>
      </c>
      <c r="M150" s="77">
        <f t="shared" si="104"/>
        <v>0</v>
      </c>
      <c r="N150" s="77">
        <f t="shared" si="104"/>
        <v>0</v>
      </c>
      <c r="O150" s="77">
        <f t="shared" si="104"/>
        <v>0</v>
      </c>
      <c r="P150" s="77">
        <f t="shared" si="104"/>
        <v>0</v>
      </c>
      <c r="Q150" s="77">
        <f t="shared" si="104"/>
        <v>0</v>
      </c>
      <c r="R150" s="77">
        <f t="shared" si="104"/>
        <v>0</v>
      </c>
      <c r="S150" s="77">
        <f t="shared" si="104"/>
        <v>0</v>
      </c>
      <c r="T150" s="77">
        <f t="shared" si="104"/>
        <v>0</v>
      </c>
      <c r="U150" s="77">
        <f t="shared" si="104"/>
        <v>0</v>
      </c>
    </row>
    <row r="151" spans="3:22">
      <c r="C151" s="47" t="s">
        <v>80</v>
      </c>
      <c r="E151" s="6"/>
      <c r="G151" s="62">
        <f>G115-F115</f>
        <v>-935755.6</v>
      </c>
      <c r="H151" s="62">
        <f>H115-G115</f>
        <v>-1350300</v>
      </c>
      <c r="I151" s="77">
        <f t="shared" ref="I151:U151" si="105">I115-H115</f>
        <v>0</v>
      </c>
      <c r="J151" s="77">
        <f t="shared" si="105"/>
        <v>0</v>
      </c>
      <c r="K151" s="77">
        <f t="shared" si="105"/>
        <v>0</v>
      </c>
      <c r="L151" s="77">
        <f t="shared" si="105"/>
        <v>0</v>
      </c>
      <c r="M151" s="77">
        <f t="shared" si="105"/>
        <v>0</v>
      </c>
      <c r="N151" s="77">
        <f t="shared" si="105"/>
        <v>0</v>
      </c>
      <c r="O151" s="77">
        <f t="shared" si="105"/>
        <v>0</v>
      </c>
      <c r="P151" s="77">
        <f t="shared" si="105"/>
        <v>0</v>
      </c>
      <c r="Q151" s="77">
        <f t="shared" si="105"/>
        <v>0</v>
      </c>
      <c r="R151" s="77">
        <f t="shared" si="105"/>
        <v>0</v>
      </c>
      <c r="S151" s="77">
        <f t="shared" si="105"/>
        <v>0</v>
      </c>
      <c r="T151" s="77">
        <f t="shared" si="105"/>
        <v>0</v>
      </c>
      <c r="U151" s="77">
        <f t="shared" si="105"/>
        <v>0</v>
      </c>
    </row>
    <row r="152" spans="3:22">
      <c r="C152" s="39" t="s">
        <v>58</v>
      </c>
      <c r="E152" s="6"/>
      <c r="G152" s="706">
        <v>6154.4</v>
      </c>
      <c r="H152" s="706">
        <v>0</v>
      </c>
      <c r="I152" s="195">
        <v>0</v>
      </c>
      <c r="J152" s="195">
        <v>0</v>
      </c>
      <c r="K152" s="195">
        <v>0</v>
      </c>
      <c r="L152" s="195">
        <v>0</v>
      </c>
      <c r="M152" s="195">
        <v>0</v>
      </c>
      <c r="N152" s="195">
        <v>0</v>
      </c>
      <c r="O152" s="195">
        <v>0</v>
      </c>
      <c r="P152" s="195">
        <v>0</v>
      </c>
      <c r="Q152" s="195">
        <v>0</v>
      </c>
      <c r="R152" s="195">
        <v>0</v>
      </c>
      <c r="S152" s="195">
        <v>0</v>
      </c>
      <c r="T152" s="195">
        <v>0</v>
      </c>
      <c r="U152" s="195">
        <v>0</v>
      </c>
    </row>
    <row r="153" spans="3:22">
      <c r="C153" s="4" t="s">
        <v>66</v>
      </c>
      <c r="E153" s="6"/>
      <c r="G153" s="82">
        <f>SUM(G150:G152)</f>
        <v>-931116.39999999991</v>
      </c>
      <c r="H153" s="82">
        <f>SUM(H150:H152)</f>
        <v>-1332800</v>
      </c>
      <c r="I153" s="82">
        <f t="shared" ref="I153:U153" si="106">SUM(I150:I152)</f>
        <v>0</v>
      </c>
      <c r="J153" s="82">
        <f t="shared" si="106"/>
        <v>0</v>
      </c>
      <c r="K153" s="82">
        <f t="shared" si="106"/>
        <v>0</v>
      </c>
      <c r="L153" s="82">
        <f t="shared" si="106"/>
        <v>0</v>
      </c>
      <c r="M153" s="82">
        <f t="shared" si="106"/>
        <v>0</v>
      </c>
      <c r="N153" s="82">
        <f t="shared" si="106"/>
        <v>0</v>
      </c>
      <c r="O153" s="82">
        <f t="shared" si="106"/>
        <v>0</v>
      </c>
      <c r="P153" s="82">
        <f t="shared" si="106"/>
        <v>0</v>
      </c>
      <c r="Q153" s="82">
        <f t="shared" si="106"/>
        <v>0</v>
      </c>
      <c r="R153" s="82">
        <f t="shared" si="106"/>
        <v>0</v>
      </c>
      <c r="S153" s="82">
        <f t="shared" si="106"/>
        <v>0</v>
      </c>
      <c r="T153" s="82">
        <f t="shared" si="106"/>
        <v>0</v>
      </c>
      <c r="U153" s="82">
        <f t="shared" si="106"/>
        <v>0</v>
      </c>
    </row>
    <row r="154" spans="3:22">
      <c r="C154" s="4"/>
      <c r="E154" s="6"/>
    </row>
    <row r="155" spans="3:22">
      <c r="C155" s="39" t="s">
        <v>79</v>
      </c>
      <c r="E155" s="6"/>
      <c r="G155" s="67">
        <f>SUM(G144,G148,G153)</f>
        <v>3509251.2262732578</v>
      </c>
      <c r="H155" s="67">
        <f>SUM(H144,H148,H153)</f>
        <v>-1378589.0946288847</v>
      </c>
      <c r="I155" s="77">
        <f t="shared" ref="I155:U155" si="107">SUM(I144,I148,I153)</f>
        <v>-343662.65084454784</v>
      </c>
      <c r="J155" s="77">
        <f t="shared" si="107"/>
        <v>-257008.43468595849</v>
      </c>
      <c r="K155" s="77">
        <f t="shared" si="107"/>
        <v>-233158.53845916802</v>
      </c>
      <c r="L155" s="77">
        <f t="shared" si="107"/>
        <v>12857.987892515433</v>
      </c>
      <c r="M155" s="77">
        <f t="shared" si="107"/>
        <v>-53132.314089020016</v>
      </c>
      <c r="N155" s="77">
        <f t="shared" si="107"/>
        <v>248878.55002844811</v>
      </c>
      <c r="O155" s="77">
        <f t="shared" si="107"/>
        <v>303567.45465932891</v>
      </c>
      <c r="P155" s="77">
        <f t="shared" si="107"/>
        <v>423060.6734086792</v>
      </c>
      <c r="Q155" s="77">
        <f t="shared" si="107"/>
        <v>441067.0334742557</v>
      </c>
      <c r="R155" s="77">
        <f t="shared" si="107"/>
        <v>580859.50133871695</v>
      </c>
      <c r="S155" s="77">
        <f t="shared" si="107"/>
        <v>383212.95488743135</v>
      </c>
      <c r="T155" s="77">
        <f t="shared" si="107"/>
        <v>477318.965813649</v>
      </c>
      <c r="U155" s="77">
        <f t="shared" si="107"/>
        <v>642431.93299138849</v>
      </c>
    </row>
    <row r="156" spans="3:22">
      <c r="C156" s="40" t="s">
        <v>78</v>
      </c>
      <c r="E156" s="6"/>
      <c r="F156" s="196"/>
      <c r="G156" s="706">
        <f>F157</f>
        <v>157539.6</v>
      </c>
      <c r="H156" s="706">
        <f>G157</f>
        <v>3666790.8262732578</v>
      </c>
      <c r="I156" s="195">
        <f t="shared" ref="I156:U156" si="108">H157</f>
        <v>2288201.7316443734</v>
      </c>
      <c r="J156" s="195">
        <f t="shared" si="108"/>
        <v>1944539.0807998255</v>
      </c>
      <c r="K156" s="195">
        <f t="shared" si="108"/>
        <v>1687530.6461138669</v>
      </c>
      <c r="L156" s="195">
        <f t="shared" si="108"/>
        <v>1454372.1076546989</v>
      </c>
      <c r="M156" s="195">
        <f t="shared" si="108"/>
        <v>1467230.0955472144</v>
      </c>
      <c r="N156" s="195">
        <f t="shared" si="108"/>
        <v>1414097.7814581944</v>
      </c>
      <c r="O156" s="195">
        <f t="shared" si="108"/>
        <v>1662976.3314866424</v>
      </c>
      <c r="P156" s="195">
        <f t="shared" si="108"/>
        <v>1966543.7861459712</v>
      </c>
      <c r="Q156" s="195">
        <f t="shared" si="108"/>
        <v>2389604.4595546504</v>
      </c>
      <c r="R156" s="195">
        <f t="shared" si="108"/>
        <v>2830671.4930289062</v>
      </c>
      <c r="S156" s="195">
        <f t="shared" si="108"/>
        <v>3411530.9943676232</v>
      </c>
      <c r="T156" s="195">
        <f t="shared" si="108"/>
        <v>3794743.9492550548</v>
      </c>
      <c r="U156" s="195">
        <f t="shared" si="108"/>
        <v>4272062.9150687037</v>
      </c>
    </row>
    <row r="157" spans="3:22">
      <c r="C157" s="4" t="s">
        <v>59</v>
      </c>
      <c r="E157" s="6"/>
      <c r="F157" s="82">
        <v>157539.6</v>
      </c>
      <c r="G157" s="82">
        <f>SUM(G155:G156)</f>
        <v>3666790.8262732578</v>
      </c>
      <c r="H157" s="82">
        <f>SUM(H155:H156)</f>
        <v>2288201.7316443734</v>
      </c>
      <c r="I157" s="82">
        <f t="shared" ref="I157:U157" si="109">SUM(I155:I156)</f>
        <v>1944539.0807998255</v>
      </c>
      <c r="J157" s="82">
        <f t="shared" si="109"/>
        <v>1687530.6461138669</v>
      </c>
      <c r="K157" s="82">
        <f t="shared" si="109"/>
        <v>1454372.1076546989</v>
      </c>
      <c r="L157" s="82">
        <f t="shared" si="109"/>
        <v>1467230.0955472144</v>
      </c>
      <c r="M157" s="82">
        <f t="shared" si="109"/>
        <v>1414097.7814581944</v>
      </c>
      <c r="N157" s="82">
        <f t="shared" si="109"/>
        <v>1662976.3314866424</v>
      </c>
      <c r="O157" s="82">
        <f t="shared" si="109"/>
        <v>1966543.7861459712</v>
      </c>
      <c r="P157" s="82">
        <f t="shared" si="109"/>
        <v>2389604.4595546504</v>
      </c>
      <c r="Q157" s="82">
        <f t="shared" si="109"/>
        <v>2830671.4930289062</v>
      </c>
      <c r="R157" s="82">
        <f t="shared" si="109"/>
        <v>3411530.9943676232</v>
      </c>
      <c r="S157" s="82">
        <f t="shared" si="109"/>
        <v>3794743.9492550548</v>
      </c>
      <c r="T157" s="82">
        <f t="shared" si="109"/>
        <v>4272062.9150687037</v>
      </c>
      <c r="U157" s="82">
        <f t="shared" si="109"/>
        <v>4914494.848060092</v>
      </c>
    </row>
    <row r="158" spans="3:22">
      <c r="E158" s="6"/>
      <c r="F158" s="77"/>
      <c r="G158" s="62"/>
      <c r="H158" s="62"/>
    </row>
    <row r="159" spans="3:22">
      <c r="C159" s="4"/>
      <c r="E159" s="6"/>
      <c r="G159" s="77"/>
      <c r="H159" s="77"/>
    </row>
    <row r="160" spans="3:22">
      <c r="H160" s="77"/>
    </row>
    <row r="161" spans="3:5">
      <c r="C161" s="4"/>
      <c r="E161" s="6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E59D-B7F0-4538-B6F0-1B19E48E7EE5}">
  <dimension ref="B2:Z132"/>
  <sheetViews>
    <sheetView showGridLines="0" zoomScale="50" zoomScaleNormal="75" workbookViewId="0">
      <selection activeCell="B39" sqref="B39"/>
    </sheetView>
  </sheetViews>
  <sheetFormatPr defaultRowHeight="14.5"/>
  <cols>
    <col min="2" max="2" width="55.08984375" customWidth="1"/>
    <col min="3" max="3" width="10.6328125" bestFit="1" customWidth="1"/>
    <col min="4" max="4" width="12.81640625" bestFit="1" customWidth="1"/>
    <col min="8" max="8" width="10" bestFit="1" customWidth="1"/>
    <col min="9" max="10" width="14.54296875" bestFit="1" customWidth="1"/>
    <col min="11" max="11" width="13.453125" bestFit="1" customWidth="1"/>
    <col min="12" max="12" width="13.26953125" bestFit="1" customWidth="1"/>
    <col min="13" max="16" width="11.1796875" bestFit="1" customWidth="1"/>
    <col min="17" max="18" width="12.26953125" bestFit="1" customWidth="1"/>
    <col min="19" max="23" width="11.1796875" bestFit="1" customWidth="1"/>
    <col min="24" max="24" width="9" bestFit="1" customWidth="1"/>
    <col min="25" max="25" width="9.36328125" bestFit="1" customWidth="1"/>
    <col min="26" max="26" width="9" bestFit="1" customWidth="1"/>
  </cols>
  <sheetData>
    <row r="2" spans="2:23" ht="16">
      <c r="B2" s="29"/>
      <c r="C2" s="29"/>
      <c r="D2" s="30"/>
      <c r="E2" s="31"/>
      <c r="F2" s="31"/>
      <c r="G2" s="31"/>
      <c r="H2" s="32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2:23" ht="16">
      <c r="B3" s="33" t="str">
        <f>Company_Name &amp; " - GPU Deployment Schedule &amp; MW Capacity"</f>
        <v>Nebius, N.V. - GPU Deployment Schedule &amp; MW Capacity</v>
      </c>
      <c r="C3" s="33" t="s">
        <v>21</v>
      </c>
      <c r="D3" s="34"/>
      <c r="E3" s="35"/>
      <c r="F3" s="35"/>
      <c r="G3" s="35"/>
      <c r="H3" s="36" t="str">
        <f>Model!F19</f>
        <v>Q1</v>
      </c>
      <c r="I3" s="35" t="str">
        <f>Model!G19</f>
        <v>Q2</v>
      </c>
      <c r="J3" s="35" t="str">
        <f>Model!H19</f>
        <v>Q3</v>
      </c>
      <c r="K3" s="35" t="str">
        <f>Model!I19</f>
        <v>Q4</v>
      </c>
      <c r="L3" s="35" t="str">
        <f>Model!J19</f>
        <v>Q1-25</v>
      </c>
      <c r="M3" s="35" t="str">
        <f>Model!K19</f>
        <v>Q2-25</v>
      </c>
      <c r="N3" s="35" t="str">
        <f>Model!L19</f>
        <v>Q3-25</v>
      </c>
      <c r="O3" s="35" t="str">
        <f>Model!M19</f>
        <v>Q4-25</v>
      </c>
      <c r="P3" s="35" t="str">
        <f>Model!N19</f>
        <v>Q1-26</v>
      </c>
      <c r="Q3" s="35" t="str">
        <f>Model!O19</f>
        <v>Q2-26</v>
      </c>
      <c r="R3" s="35" t="str">
        <f>Model!P19</f>
        <v>Q3-26</v>
      </c>
      <c r="S3" s="35" t="str">
        <f>Model!Q19</f>
        <v>Q4-26</v>
      </c>
      <c r="T3" s="35" t="str">
        <f>Model!R19</f>
        <v>Q1-27</v>
      </c>
      <c r="U3" s="35" t="str">
        <f>Model!S19</f>
        <v>Q2-27</v>
      </c>
      <c r="V3" s="35" t="str">
        <f>Model!T19</f>
        <v>Q3-27</v>
      </c>
      <c r="W3" s="35" t="str">
        <f>Model!U19</f>
        <v>Q4-27</v>
      </c>
    </row>
    <row r="4" spans="2:23">
      <c r="B4" s="3"/>
      <c r="D4" s="52"/>
    </row>
    <row r="5" spans="2:23" ht="16">
      <c r="B5" s="86" t="s">
        <v>445</v>
      </c>
      <c r="C5" s="87"/>
      <c r="D5" s="87"/>
      <c r="E5" s="88"/>
      <c r="F5" s="85"/>
      <c r="G5" s="85"/>
      <c r="H5" s="85"/>
      <c r="I5" s="85"/>
      <c r="J5" s="85"/>
      <c r="K5" s="85"/>
      <c r="L5" s="85"/>
      <c r="M5" s="8"/>
      <c r="N5" s="8"/>
      <c r="O5" s="8"/>
      <c r="P5" s="8"/>
      <c r="Q5" s="8"/>
      <c r="R5" s="8"/>
      <c r="S5" s="8"/>
      <c r="T5" s="8"/>
    </row>
    <row r="6" spans="2:23" ht="16">
      <c r="B6" s="86"/>
      <c r="C6" s="87"/>
      <c r="D6" s="87"/>
      <c r="E6" s="88"/>
      <c r="F6" s="85"/>
      <c r="G6" s="85"/>
      <c r="H6" s="85"/>
      <c r="I6" s="85"/>
      <c r="J6" s="85"/>
      <c r="K6" s="85"/>
      <c r="L6" s="85"/>
      <c r="M6" s="8"/>
      <c r="N6" s="8"/>
      <c r="O6" s="8"/>
      <c r="P6" s="8"/>
      <c r="Q6" s="8"/>
      <c r="R6" s="8"/>
      <c r="S6" s="8"/>
      <c r="T6" s="8"/>
    </row>
    <row r="7" spans="2:23" ht="16">
      <c r="B7" s="171" t="s">
        <v>84</v>
      </c>
      <c r="C7" s="87"/>
      <c r="D7" s="87"/>
      <c r="E7" s="88"/>
      <c r="F7" s="85"/>
      <c r="G7" s="85"/>
      <c r="H7" s="85"/>
      <c r="I7" s="85"/>
      <c r="J7" s="85"/>
      <c r="K7" s="85"/>
      <c r="L7" s="85"/>
      <c r="M7" s="8"/>
      <c r="N7" s="8"/>
      <c r="O7" s="8"/>
      <c r="P7" s="8"/>
      <c r="Q7" s="8"/>
      <c r="R7" s="8"/>
      <c r="S7" s="8"/>
      <c r="T7" s="8"/>
    </row>
    <row r="8" spans="2:23" ht="16">
      <c r="B8" s="674" t="s">
        <v>431</v>
      </c>
      <c r="C8" s="173" t="s">
        <v>86</v>
      </c>
      <c r="D8" s="87"/>
      <c r="E8" s="88"/>
      <c r="I8" s="8"/>
      <c r="J8" s="85"/>
      <c r="K8" s="85"/>
      <c r="L8" s="182">
        <f>INDEX($L$11:$W$13,MATCH(Scenario,$B11:$B13,0),1)</f>
        <v>30</v>
      </c>
      <c r="M8" s="182">
        <f>INDEX($L$11:$W$13,MATCH(Scenario,$B11:$B13,0),2)</f>
        <v>35</v>
      </c>
      <c r="N8" s="182">
        <f>INDEX($L$11:$W$13,MATCH(Scenario,$B11:$B13,0),3)</f>
        <v>45</v>
      </c>
      <c r="O8" s="182">
        <f>INDEX($L$11:$W$13,MATCH(Scenario,$B11:$B13,0),4)</f>
        <v>60</v>
      </c>
      <c r="P8" s="182">
        <f>INDEX($L$11:$W$13,MATCH(Scenario,$B11:$B13,0),5)</f>
        <v>60</v>
      </c>
      <c r="Q8" s="182">
        <f>INDEX($L$11:$W$13,MATCH(Scenario,$B11:$B13,0),6)</f>
        <v>60</v>
      </c>
      <c r="R8" s="182">
        <f>INDEX($L$11:$W$13,MATCH(Scenario,$B11:$B13,0),7)</f>
        <v>75</v>
      </c>
      <c r="S8" s="182">
        <f>INDEX($L$11:$W$13,MATCH(Scenario,$B11:$B13,0),8)</f>
        <v>75</v>
      </c>
      <c r="T8" s="182">
        <f>INDEX($L$11:$W$13,MATCH(Scenario,$B11:$B13,0),9)</f>
        <v>75</v>
      </c>
      <c r="U8" s="182">
        <f>INDEX($L$11:$W$13,MATCH(Scenario,$B11:$B13,0),10)</f>
        <v>75</v>
      </c>
      <c r="V8" s="182">
        <f>INDEX($L$11:$W$13,MATCH(Scenario,$B11:$B13,0),11)</f>
        <v>75</v>
      </c>
      <c r="W8" s="182">
        <f>INDEX($L$11:$W$13,MATCH(Scenario,$B11:$B13,0),12)</f>
        <v>75</v>
      </c>
    </row>
    <row r="9" spans="2:23" ht="16">
      <c r="B9" s="674"/>
      <c r="C9" s="675"/>
      <c r="D9" s="87"/>
      <c r="E9" s="88"/>
      <c r="I9" s="8"/>
      <c r="J9" s="85"/>
      <c r="K9" s="85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</row>
    <row r="10" spans="2:23" ht="16">
      <c r="B10" s="171" t="s">
        <v>436</v>
      </c>
      <c r="C10" s="173"/>
      <c r="D10" s="87"/>
      <c r="E10" s="88"/>
      <c r="I10" s="8"/>
      <c r="J10" s="85"/>
      <c r="K10" s="85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</row>
    <row r="11" spans="2:23" ht="16">
      <c r="B11" s="92" t="s">
        <v>102</v>
      </c>
      <c r="C11" s="174" t="s">
        <v>86</v>
      </c>
      <c r="D11" s="87"/>
      <c r="E11" s="88"/>
      <c r="I11" s="8"/>
      <c r="J11" s="85"/>
      <c r="K11" s="85"/>
      <c r="L11" s="183">
        <v>35</v>
      </c>
      <c r="M11" s="172">
        <v>45</v>
      </c>
      <c r="N11" s="172">
        <v>60</v>
      </c>
      <c r="O11" s="172">
        <v>75</v>
      </c>
      <c r="P11" s="172">
        <v>75</v>
      </c>
      <c r="Q11" s="172">
        <v>75</v>
      </c>
      <c r="R11" s="172">
        <v>75</v>
      </c>
      <c r="S11" s="172">
        <v>75</v>
      </c>
      <c r="T11" s="172">
        <v>75</v>
      </c>
      <c r="U11" s="172">
        <v>75</v>
      </c>
      <c r="V11" s="172">
        <v>75</v>
      </c>
      <c r="W11" s="172">
        <v>75</v>
      </c>
    </row>
    <row r="12" spans="2:23" ht="16">
      <c r="B12" s="92" t="s">
        <v>100</v>
      </c>
      <c r="C12" s="174" t="s">
        <v>86</v>
      </c>
      <c r="D12" s="87"/>
      <c r="E12" s="88"/>
      <c r="I12" s="85">
        <v>25</v>
      </c>
      <c r="J12" s="85">
        <v>25</v>
      </c>
      <c r="K12" s="85">
        <v>30</v>
      </c>
      <c r="L12" s="172">
        <v>30</v>
      </c>
      <c r="M12" s="172">
        <v>35</v>
      </c>
      <c r="N12" s="172">
        <v>45</v>
      </c>
      <c r="O12" s="172">
        <v>60</v>
      </c>
      <c r="P12" s="172">
        <v>60</v>
      </c>
      <c r="Q12" s="172">
        <v>60</v>
      </c>
      <c r="R12" s="172">
        <v>75</v>
      </c>
      <c r="S12" s="172">
        <v>75</v>
      </c>
      <c r="T12" s="172">
        <v>75</v>
      </c>
      <c r="U12" s="172">
        <v>75</v>
      </c>
      <c r="V12" s="172">
        <v>75</v>
      </c>
      <c r="W12" s="172">
        <v>75</v>
      </c>
    </row>
    <row r="13" spans="2:23" ht="16">
      <c r="B13" s="92" t="s">
        <v>103</v>
      </c>
      <c r="C13" s="174" t="s">
        <v>86</v>
      </c>
      <c r="D13" s="87"/>
      <c r="E13" s="88"/>
      <c r="I13" s="85"/>
      <c r="J13" s="85"/>
      <c r="K13" s="85"/>
      <c r="L13" s="172">
        <v>25</v>
      </c>
      <c r="M13" s="172">
        <v>25</v>
      </c>
      <c r="N13" s="172">
        <v>25</v>
      </c>
      <c r="O13" s="172">
        <v>25</v>
      </c>
      <c r="P13" s="172">
        <v>45</v>
      </c>
      <c r="Q13" s="172">
        <v>45</v>
      </c>
      <c r="R13" s="172">
        <v>45</v>
      </c>
      <c r="S13" s="172">
        <v>45</v>
      </c>
      <c r="T13" s="172">
        <v>60</v>
      </c>
      <c r="U13" s="172">
        <v>60</v>
      </c>
      <c r="V13" s="172">
        <v>60</v>
      </c>
      <c r="W13" s="172">
        <v>60</v>
      </c>
    </row>
    <row r="14" spans="2:23" ht="16">
      <c r="B14" s="92"/>
      <c r="C14" s="174"/>
      <c r="D14" s="87"/>
      <c r="E14" s="88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</row>
    <row r="15" spans="2:23" ht="16">
      <c r="B15" s="171" t="s">
        <v>435</v>
      </c>
      <c r="C15" s="174"/>
      <c r="D15" s="87"/>
      <c r="E15" s="88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</row>
    <row r="16" spans="2:23" ht="16">
      <c r="B16" s="92" t="s">
        <v>102</v>
      </c>
      <c r="C16" s="173" t="s">
        <v>439</v>
      </c>
      <c r="L16" s="678">
        <f t="shared" ref="L16:W16" si="0">(((H100Price*L17)+(H200Price*L18)+(BlackwellPrice*L19))*24*(365/4))/1000</f>
        <v>156804</v>
      </c>
      <c r="M16" s="678">
        <f t="shared" si="0"/>
        <v>219438</v>
      </c>
      <c r="N16" s="678">
        <f t="shared" si="0"/>
        <v>282072</v>
      </c>
      <c r="O16" s="678">
        <f t="shared" si="0"/>
        <v>337260</v>
      </c>
      <c r="P16" s="678">
        <f t="shared" si="0"/>
        <v>377556</v>
      </c>
      <c r="Q16" s="678">
        <f t="shared" si="0"/>
        <v>377556</v>
      </c>
      <c r="R16" s="678">
        <f t="shared" si="0"/>
        <v>377556</v>
      </c>
      <c r="S16" s="678">
        <f t="shared" si="0"/>
        <v>377556</v>
      </c>
      <c r="T16" s="678">
        <f t="shared" si="0"/>
        <v>377556</v>
      </c>
      <c r="U16" s="678">
        <f t="shared" si="0"/>
        <v>377556</v>
      </c>
      <c r="V16" s="678">
        <f t="shared" si="0"/>
        <v>377556</v>
      </c>
      <c r="W16" s="678">
        <f t="shared" si="0"/>
        <v>377556</v>
      </c>
    </row>
    <row r="17" spans="2:23" ht="16">
      <c r="B17" s="674" t="s">
        <v>433</v>
      </c>
      <c r="C17" s="173" t="s">
        <v>383</v>
      </c>
      <c r="L17" s="676">
        <v>10000</v>
      </c>
      <c r="M17" s="676">
        <v>10000</v>
      </c>
      <c r="N17" s="676">
        <v>10000</v>
      </c>
      <c r="O17" s="676">
        <v>10000</v>
      </c>
      <c r="P17" s="676">
        <v>10000</v>
      </c>
      <c r="Q17" s="676">
        <v>10000</v>
      </c>
      <c r="R17" s="676">
        <v>10000</v>
      </c>
      <c r="S17" s="676">
        <v>10000</v>
      </c>
      <c r="T17" s="676">
        <v>10000</v>
      </c>
      <c r="U17" s="676">
        <v>10000</v>
      </c>
      <c r="V17" s="676">
        <v>10000</v>
      </c>
      <c r="W17" s="676">
        <v>10000</v>
      </c>
    </row>
    <row r="18" spans="2:23" ht="16">
      <c r="B18" s="674" t="s">
        <v>432</v>
      </c>
      <c r="C18" s="173" t="s">
        <v>383</v>
      </c>
      <c r="L18" s="676">
        <v>12000</v>
      </c>
      <c r="M18" s="676">
        <f>L18+2000</f>
        <v>14000</v>
      </c>
      <c r="N18" s="676">
        <f t="shared" ref="N18" si="1">M18+2000</f>
        <v>16000</v>
      </c>
      <c r="O18" s="676">
        <f>N18+4000</f>
        <v>20000</v>
      </c>
      <c r="P18" s="676">
        <f>O18+8000</f>
        <v>28000</v>
      </c>
      <c r="Q18" s="676">
        <v>28000</v>
      </c>
      <c r="R18" s="676">
        <v>28000</v>
      </c>
      <c r="S18" s="676">
        <v>28000</v>
      </c>
      <c r="T18" s="676">
        <v>28000</v>
      </c>
      <c r="U18" s="676">
        <v>28000</v>
      </c>
      <c r="V18" s="676">
        <v>28000</v>
      </c>
      <c r="W18" s="676">
        <v>28000</v>
      </c>
    </row>
    <row r="19" spans="2:23" ht="16">
      <c r="B19" s="674" t="s">
        <v>452</v>
      </c>
      <c r="C19" s="173" t="s">
        <v>383</v>
      </c>
      <c r="L19" s="676">
        <v>6000</v>
      </c>
      <c r="M19" s="676">
        <f>L19+6000</f>
        <v>12000</v>
      </c>
      <c r="N19" s="676">
        <f t="shared" ref="N19" si="2">M19+6000</f>
        <v>18000</v>
      </c>
      <c r="O19" s="676">
        <v>22000</v>
      </c>
      <c r="P19" s="676">
        <v>22000</v>
      </c>
      <c r="Q19" s="676">
        <v>22000</v>
      </c>
      <c r="R19" s="676">
        <v>22000</v>
      </c>
      <c r="S19" s="676">
        <v>22000</v>
      </c>
      <c r="T19" s="676">
        <v>22000</v>
      </c>
      <c r="U19" s="676">
        <v>22000</v>
      </c>
      <c r="V19" s="676">
        <v>22000</v>
      </c>
      <c r="W19" s="676">
        <v>22000</v>
      </c>
    </row>
    <row r="20" spans="2:23" ht="16">
      <c r="B20" s="171"/>
      <c r="C20" s="173"/>
    </row>
    <row r="21" spans="2:23" ht="16">
      <c r="B21" s="92" t="s">
        <v>100</v>
      </c>
      <c r="C21" s="173" t="s">
        <v>439</v>
      </c>
      <c r="K21" s="185">
        <f t="shared" ref="K21:W21" si="3">(((H100Price*K22)+(H200Price*K23)+(BlackwellPrice*K24))*24*(365/4))/1000</f>
        <v>94170</v>
      </c>
      <c r="L21" s="678">
        <f t="shared" si="3"/>
        <v>139284</v>
      </c>
      <c r="M21" s="678">
        <f t="shared" si="3"/>
        <v>184398</v>
      </c>
      <c r="N21" s="678">
        <f t="shared" si="3"/>
        <v>229512</v>
      </c>
      <c r="O21" s="678">
        <f t="shared" si="3"/>
        <v>274626</v>
      </c>
      <c r="P21" s="678">
        <f t="shared" si="3"/>
        <v>319740</v>
      </c>
      <c r="Q21" s="678">
        <f t="shared" si="3"/>
        <v>349962</v>
      </c>
      <c r="R21" s="678">
        <f t="shared" si="3"/>
        <v>370110</v>
      </c>
      <c r="S21" s="678">
        <f t="shared" si="3"/>
        <v>370110</v>
      </c>
      <c r="T21" s="678">
        <f t="shared" si="3"/>
        <v>370110</v>
      </c>
      <c r="U21" s="678">
        <f t="shared" si="3"/>
        <v>370110</v>
      </c>
      <c r="V21" s="678">
        <f t="shared" si="3"/>
        <v>370110</v>
      </c>
      <c r="W21" s="678">
        <f t="shared" si="3"/>
        <v>370110</v>
      </c>
    </row>
    <row r="22" spans="2:23" ht="16">
      <c r="B22" s="674" t="s">
        <v>433</v>
      </c>
      <c r="C22" s="173" t="s">
        <v>383</v>
      </c>
      <c r="D22" s="87"/>
      <c r="E22" s="88"/>
      <c r="H22" s="67">
        <v>10000</v>
      </c>
      <c r="I22" s="77">
        <v>10000</v>
      </c>
      <c r="J22" s="77">
        <v>10000</v>
      </c>
      <c r="K22" s="77">
        <v>10000</v>
      </c>
      <c r="L22" s="676">
        <v>10000</v>
      </c>
      <c r="M22" s="676">
        <v>10000</v>
      </c>
      <c r="N22" s="676">
        <v>10000</v>
      </c>
      <c r="O22" s="676">
        <v>10000</v>
      </c>
      <c r="P22" s="676">
        <v>10000</v>
      </c>
      <c r="Q22" s="676">
        <v>10000</v>
      </c>
      <c r="R22" s="676">
        <v>10000</v>
      </c>
      <c r="S22" s="676">
        <v>10000</v>
      </c>
      <c r="T22" s="676">
        <v>10000</v>
      </c>
      <c r="U22" s="676">
        <v>10000</v>
      </c>
      <c r="V22" s="676">
        <v>10000</v>
      </c>
      <c r="W22" s="676">
        <v>10000</v>
      </c>
    </row>
    <row r="23" spans="2:23" ht="16">
      <c r="B23" s="674" t="s">
        <v>432</v>
      </c>
      <c r="C23" s="173" t="s">
        <v>383</v>
      </c>
      <c r="D23" s="87"/>
      <c r="E23" s="88"/>
      <c r="H23" s="67">
        <v>4000</v>
      </c>
      <c r="I23" s="77">
        <v>4000</v>
      </c>
      <c r="J23" s="77">
        <v>4000</v>
      </c>
      <c r="K23" s="77">
        <v>10000</v>
      </c>
      <c r="L23" s="676">
        <v>12000</v>
      </c>
      <c r="M23" s="676">
        <f>L23+2000</f>
        <v>14000</v>
      </c>
      <c r="N23" s="676">
        <f t="shared" ref="N23:P23" si="4">M23+2000</f>
        <v>16000</v>
      </c>
      <c r="O23" s="676">
        <f t="shared" si="4"/>
        <v>18000</v>
      </c>
      <c r="P23" s="676">
        <f t="shared" si="4"/>
        <v>20000</v>
      </c>
      <c r="Q23" s="676">
        <f>P23+6000</f>
        <v>26000</v>
      </c>
      <c r="R23" s="676">
        <v>30000</v>
      </c>
      <c r="S23" s="676">
        <v>30000</v>
      </c>
      <c r="T23" s="676">
        <v>30000</v>
      </c>
      <c r="U23" s="676">
        <v>30000</v>
      </c>
      <c r="V23" s="676">
        <v>30000</v>
      </c>
      <c r="W23" s="676">
        <v>30000</v>
      </c>
    </row>
    <row r="24" spans="2:23" ht="16">
      <c r="B24" s="674" t="s">
        <v>452</v>
      </c>
      <c r="C24" s="173" t="s">
        <v>383</v>
      </c>
      <c r="D24" s="67"/>
      <c r="E24" s="88"/>
      <c r="I24" s="8"/>
      <c r="J24" s="85"/>
      <c r="K24" s="85"/>
      <c r="L24" s="676">
        <v>4000</v>
      </c>
      <c r="M24" s="676">
        <f>L24+4000</f>
        <v>8000</v>
      </c>
      <c r="N24" s="676">
        <f t="shared" ref="N24:P24" si="5">M24+4000</f>
        <v>12000</v>
      </c>
      <c r="O24" s="676">
        <f t="shared" si="5"/>
        <v>16000</v>
      </c>
      <c r="P24" s="676">
        <f t="shared" si="5"/>
        <v>20000</v>
      </c>
      <c r="Q24" s="676">
        <v>20000</v>
      </c>
      <c r="R24" s="676">
        <v>20000</v>
      </c>
      <c r="S24" s="676">
        <v>20000</v>
      </c>
      <c r="T24" s="676">
        <v>20000</v>
      </c>
      <c r="U24" s="676">
        <v>20000</v>
      </c>
      <c r="V24" s="676">
        <v>20000</v>
      </c>
      <c r="W24" s="676">
        <v>20000</v>
      </c>
    </row>
    <row r="27" spans="2:23" ht="16">
      <c r="B27" s="92" t="s">
        <v>103</v>
      </c>
      <c r="C27" s="173" t="s">
        <v>439</v>
      </c>
      <c r="D27" s="87"/>
      <c r="E27" s="88"/>
      <c r="I27" s="85"/>
      <c r="J27" s="85"/>
      <c r="K27" s="85"/>
      <c r="L27" s="678">
        <f t="shared" ref="L27:W27" si="6">(((H100Price*L28)+(H200Price*L29)+(BlackwellPrice*L30))*24*(365/4))/1000</f>
        <v>121764</v>
      </c>
      <c r="M27" s="678">
        <f t="shared" si="6"/>
        <v>149358</v>
      </c>
      <c r="N27" s="678">
        <f t="shared" si="6"/>
        <v>176952</v>
      </c>
      <c r="O27" s="678">
        <f t="shared" si="6"/>
        <v>204546</v>
      </c>
      <c r="P27" s="678">
        <f t="shared" si="6"/>
        <v>232140</v>
      </c>
      <c r="Q27" s="678">
        <f t="shared" si="6"/>
        <v>279882</v>
      </c>
      <c r="R27" s="678">
        <f t="shared" si="6"/>
        <v>317550</v>
      </c>
      <c r="S27" s="678">
        <f t="shared" si="6"/>
        <v>335070</v>
      </c>
      <c r="T27" s="678">
        <f t="shared" si="6"/>
        <v>370110</v>
      </c>
      <c r="U27" s="678">
        <f t="shared" si="6"/>
        <v>370110</v>
      </c>
      <c r="V27" s="678">
        <f t="shared" si="6"/>
        <v>370110</v>
      </c>
      <c r="W27" s="678">
        <f t="shared" si="6"/>
        <v>370110</v>
      </c>
    </row>
    <row r="28" spans="2:23" ht="16">
      <c r="B28" s="674" t="s">
        <v>433</v>
      </c>
      <c r="C28" s="173" t="s">
        <v>383</v>
      </c>
      <c r="D28" s="87"/>
      <c r="E28" s="88"/>
      <c r="I28" s="85"/>
      <c r="J28" s="85"/>
      <c r="K28" s="85"/>
      <c r="L28" s="676">
        <v>10000</v>
      </c>
      <c r="M28" s="676">
        <v>10000</v>
      </c>
      <c r="N28" s="676">
        <v>10000</v>
      </c>
      <c r="O28" s="676">
        <v>10000</v>
      </c>
      <c r="P28" s="676">
        <v>10000</v>
      </c>
      <c r="Q28" s="676">
        <v>10000</v>
      </c>
      <c r="R28" s="676">
        <v>10000</v>
      </c>
      <c r="S28" s="676">
        <v>10000</v>
      </c>
      <c r="T28" s="676">
        <v>10000</v>
      </c>
      <c r="U28" s="676">
        <v>10000</v>
      </c>
      <c r="V28" s="676">
        <v>10000</v>
      </c>
      <c r="W28" s="676">
        <v>10000</v>
      </c>
    </row>
    <row r="29" spans="2:23" ht="16">
      <c r="B29" s="674" t="s">
        <v>432</v>
      </c>
      <c r="C29" s="173" t="s">
        <v>383</v>
      </c>
      <c r="D29" s="87"/>
      <c r="E29" s="88"/>
      <c r="I29" s="85"/>
      <c r="J29" s="85"/>
      <c r="K29" s="85"/>
      <c r="L29" s="676">
        <v>12000</v>
      </c>
      <c r="M29" s="676">
        <f>L29+2000</f>
        <v>14000</v>
      </c>
      <c r="N29" s="676">
        <f t="shared" ref="N29:P29" si="7">M29+2000</f>
        <v>16000</v>
      </c>
      <c r="O29" s="676">
        <f t="shared" si="7"/>
        <v>18000</v>
      </c>
      <c r="P29" s="676">
        <f t="shared" si="7"/>
        <v>20000</v>
      </c>
      <c r="Q29" s="676">
        <f>P29+6000</f>
        <v>26000</v>
      </c>
      <c r="R29" s="676">
        <v>30000</v>
      </c>
      <c r="S29" s="676">
        <v>30000</v>
      </c>
      <c r="T29" s="676">
        <v>30000</v>
      </c>
      <c r="U29" s="676">
        <v>30000</v>
      </c>
      <c r="V29" s="676">
        <v>30000</v>
      </c>
      <c r="W29" s="676">
        <v>30000</v>
      </c>
    </row>
    <row r="30" spans="2:23" ht="16">
      <c r="B30" s="674" t="s">
        <v>452</v>
      </c>
      <c r="C30" s="173" t="s">
        <v>383</v>
      </c>
      <c r="D30" s="87"/>
      <c r="E30" s="88"/>
      <c r="I30" s="85"/>
      <c r="J30" s="85"/>
      <c r="K30" s="85"/>
      <c r="L30" s="676">
        <v>2000</v>
      </c>
      <c r="M30" s="676">
        <f>L30+2000</f>
        <v>4000</v>
      </c>
      <c r="N30" s="676">
        <f t="shared" ref="N30:S30" si="8">M30+2000</f>
        <v>6000</v>
      </c>
      <c r="O30" s="676">
        <f t="shared" si="8"/>
        <v>8000</v>
      </c>
      <c r="P30" s="676">
        <f t="shared" si="8"/>
        <v>10000</v>
      </c>
      <c r="Q30" s="676">
        <f t="shared" si="8"/>
        <v>12000</v>
      </c>
      <c r="R30" s="676">
        <f t="shared" si="8"/>
        <v>14000</v>
      </c>
      <c r="S30" s="676">
        <f t="shared" si="8"/>
        <v>16000</v>
      </c>
      <c r="T30" s="676">
        <v>20000</v>
      </c>
      <c r="U30" s="676">
        <v>20000</v>
      </c>
      <c r="V30" s="676">
        <v>20000</v>
      </c>
      <c r="W30" s="676">
        <v>20000</v>
      </c>
    </row>
    <row r="31" spans="2:23" ht="16">
      <c r="B31" s="91"/>
      <c r="C31" s="174"/>
      <c r="D31" s="87"/>
      <c r="E31" s="88"/>
      <c r="I31" s="85"/>
      <c r="J31" s="85"/>
      <c r="K31" s="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</row>
    <row r="32" spans="2:23" ht="16">
      <c r="B32" s="171" t="s">
        <v>85</v>
      </c>
      <c r="C32" s="174"/>
      <c r="D32" s="87"/>
      <c r="E32" s="88"/>
      <c r="I32" s="85"/>
      <c r="J32" s="85"/>
      <c r="K32" s="85"/>
      <c r="L32" s="85"/>
      <c r="M32" s="85"/>
      <c r="N32" s="85"/>
      <c r="O32" s="85"/>
      <c r="P32" s="8"/>
      <c r="Q32" s="8"/>
      <c r="R32" s="8"/>
      <c r="S32" s="8"/>
      <c r="T32" s="8"/>
      <c r="U32" s="8"/>
      <c r="V32" s="8"/>
      <c r="W32" s="8"/>
    </row>
    <row r="33" spans="2:26" ht="16">
      <c r="B33" s="674" t="s">
        <v>436</v>
      </c>
      <c r="C33" s="173" t="s">
        <v>86</v>
      </c>
      <c r="D33" s="87"/>
      <c r="E33" s="88"/>
      <c r="I33" s="8"/>
      <c r="J33" s="85"/>
      <c r="K33" s="85"/>
      <c r="L33" s="182">
        <f>INDEX($L$35:$W$37,MATCH(Scenario,$B35:$B37,0),1)</f>
        <v>5</v>
      </c>
      <c r="M33" s="182">
        <f>INDEX($L$35:$W$37,MATCH(Scenario,$B35:$B37,0),2)</f>
        <v>10</v>
      </c>
      <c r="N33" s="182">
        <f>INDEX($L$35:$W$37,MATCH(Scenario,$B35:$B37,0),3)</f>
        <v>10</v>
      </c>
      <c r="O33" s="182">
        <f>INDEX($L$35:$W$37,MATCH(Scenario,$B35:$B37,0),4)</f>
        <v>15</v>
      </c>
      <c r="P33" s="182">
        <f>INDEX($L$35:$W$37,MATCH(Scenario,$B35:$B37,0),5)</f>
        <v>15</v>
      </c>
      <c r="Q33" s="182">
        <f>INDEX($L$35:$W$37,MATCH(Scenario,$B35:$B37,0),6)</f>
        <v>15</v>
      </c>
      <c r="R33" s="182">
        <f>INDEX($L$35:$W$37,MATCH(Scenario,$B35:$B37,0),7)</f>
        <v>15</v>
      </c>
      <c r="S33" s="182">
        <f>INDEX($L$35:$W$37,MATCH(Scenario,$B35:$B37,0),8)</f>
        <v>20</v>
      </c>
      <c r="T33" s="182">
        <f>INDEX($L$35:$W$37,MATCH(Scenario,$B35:$B37,0),9)</f>
        <v>20</v>
      </c>
      <c r="U33" s="182">
        <f>INDEX($L$35:$W$37,MATCH(Scenario,$B35:$B37,0),10)</f>
        <v>35</v>
      </c>
      <c r="V33" s="182">
        <f>INDEX($L$35:$W$37,MATCH(Scenario,$B35:$B37,0),11)</f>
        <v>35</v>
      </c>
      <c r="W33" s="182">
        <f>INDEX($L$35:$W$37,MATCH(Scenario,$B35:$B37,0),12)</f>
        <v>40</v>
      </c>
    </row>
    <row r="34" spans="2:26" ht="16">
      <c r="B34" s="171"/>
      <c r="C34" s="173"/>
      <c r="D34" s="87"/>
      <c r="E34" s="88"/>
      <c r="I34" s="8"/>
      <c r="J34" s="85"/>
      <c r="K34" s="85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</row>
    <row r="35" spans="2:26" ht="16">
      <c r="B35" s="92" t="s">
        <v>102</v>
      </c>
      <c r="C35" s="174" t="s">
        <v>86</v>
      </c>
      <c r="D35" s="87"/>
      <c r="E35" s="88"/>
      <c r="I35" s="8"/>
      <c r="J35" s="85"/>
      <c r="K35" s="85"/>
      <c r="L35" s="172">
        <v>5</v>
      </c>
      <c r="M35" s="172">
        <v>10</v>
      </c>
      <c r="N35" s="172">
        <v>15</v>
      </c>
      <c r="O35" s="172">
        <v>20</v>
      </c>
      <c r="P35" s="172">
        <v>20</v>
      </c>
      <c r="Q35" s="172">
        <v>25</v>
      </c>
      <c r="R35" s="172">
        <v>25</v>
      </c>
      <c r="S35" s="172">
        <v>35</v>
      </c>
      <c r="T35" s="172">
        <v>35</v>
      </c>
      <c r="U35" s="172">
        <v>40</v>
      </c>
      <c r="V35" s="172">
        <v>40</v>
      </c>
      <c r="W35" s="172">
        <v>40</v>
      </c>
    </row>
    <row r="36" spans="2:26" ht="16">
      <c r="B36" s="92" t="s">
        <v>100</v>
      </c>
      <c r="C36" s="174" t="s">
        <v>86</v>
      </c>
      <c r="D36" s="87"/>
      <c r="E36" s="88"/>
      <c r="I36" s="8"/>
      <c r="J36" s="85"/>
      <c r="K36" s="8"/>
      <c r="L36" s="172">
        <v>5</v>
      </c>
      <c r="M36" s="183">
        <v>10</v>
      </c>
      <c r="N36" s="172">
        <v>10</v>
      </c>
      <c r="O36" s="172">
        <v>15</v>
      </c>
      <c r="P36" s="172">
        <v>15</v>
      </c>
      <c r="Q36" s="172">
        <v>15</v>
      </c>
      <c r="R36" s="172">
        <v>15</v>
      </c>
      <c r="S36" s="172">
        <v>20</v>
      </c>
      <c r="T36" s="172">
        <v>20</v>
      </c>
      <c r="U36" s="172">
        <v>35</v>
      </c>
      <c r="V36" s="172">
        <v>35</v>
      </c>
      <c r="W36" s="183">
        <v>40</v>
      </c>
    </row>
    <row r="37" spans="2:26" ht="16">
      <c r="B37" s="92" t="s">
        <v>103</v>
      </c>
      <c r="C37" s="174" t="s">
        <v>86</v>
      </c>
      <c r="D37" s="87"/>
      <c r="E37" s="88"/>
      <c r="I37" s="8"/>
      <c r="J37" s="85"/>
      <c r="K37" s="85"/>
      <c r="L37" s="172">
        <v>5</v>
      </c>
      <c r="M37" s="172">
        <v>5</v>
      </c>
      <c r="N37" s="172">
        <v>5</v>
      </c>
      <c r="O37" s="172">
        <v>5</v>
      </c>
      <c r="P37" s="172">
        <v>10</v>
      </c>
      <c r="Q37" s="172">
        <v>10</v>
      </c>
      <c r="R37" s="172">
        <v>10</v>
      </c>
      <c r="S37" s="172">
        <v>10</v>
      </c>
      <c r="T37" s="172">
        <v>15</v>
      </c>
      <c r="U37" s="172">
        <v>15</v>
      </c>
      <c r="V37" s="172">
        <v>15</v>
      </c>
      <c r="W37" s="172">
        <v>15</v>
      </c>
    </row>
    <row r="38" spans="2:26" ht="16">
      <c r="B38" s="171"/>
      <c r="C38" s="173"/>
      <c r="D38" s="87"/>
      <c r="E38" s="88"/>
      <c r="I38" s="8"/>
      <c r="J38" s="85"/>
      <c r="K38" s="85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</row>
    <row r="39" spans="2:26" ht="16">
      <c r="B39" s="171" t="s">
        <v>435</v>
      </c>
      <c r="C39" s="174"/>
      <c r="D39" s="87"/>
      <c r="E39" s="88"/>
      <c r="I39" s="8"/>
      <c r="J39" s="85"/>
      <c r="K39" s="85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</row>
    <row r="40" spans="2:26" ht="16">
      <c r="B40" s="92" t="s">
        <v>102</v>
      </c>
      <c r="C40" s="173" t="s">
        <v>439</v>
      </c>
      <c r="D40" s="87"/>
      <c r="E40" s="88"/>
      <c r="I40" s="8"/>
      <c r="J40" s="85"/>
      <c r="K40" s="85"/>
      <c r="L40" s="678">
        <f t="shared" ref="L40:W40" si="9">(((H100Price*L41)+(H200Price*L42)+(BlackwellPrice*L43))*24*(365/4))/1000</f>
        <v>17520</v>
      </c>
      <c r="M40" s="678">
        <f t="shared" si="9"/>
        <v>37668</v>
      </c>
      <c r="N40" s="678">
        <f t="shared" si="9"/>
        <v>37668</v>
      </c>
      <c r="O40" s="678">
        <f t="shared" si="9"/>
        <v>72708</v>
      </c>
      <c r="P40" s="678">
        <f t="shared" si="9"/>
        <v>72708</v>
      </c>
      <c r="Q40" s="678">
        <f t="shared" si="9"/>
        <v>82782</v>
      </c>
      <c r="R40" s="678">
        <f t="shared" si="9"/>
        <v>92856</v>
      </c>
      <c r="S40" s="678">
        <f t="shared" si="9"/>
        <v>102930</v>
      </c>
      <c r="T40" s="678">
        <f t="shared" si="9"/>
        <v>113004</v>
      </c>
      <c r="U40" s="678">
        <f t="shared" si="9"/>
        <v>149358</v>
      </c>
      <c r="V40" s="678">
        <f t="shared" si="9"/>
        <v>176952</v>
      </c>
      <c r="W40" s="678">
        <f t="shared" si="9"/>
        <v>204546</v>
      </c>
    </row>
    <row r="41" spans="2:26" ht="16">
      <c r="B41" s="674" t="s">
        <v>433</v>
      </c>
      <c r="C41" s="173" t="s">
        <v>383</v>
      </c>
      <c r="D41" s="87"/>
      <c r="E41" s="88"/>
      <c r="I41" s="8"/>
      <c r="J41" s="85"/>
      <c r="K41" s="85"/>
      <c r="L41" s="676">
        <v>4000</v>
      </c>
      <c r="M41" s="676">
        <v>4000</v>
      </c>
      <c r="N41" s="676">
        <v>4000</v>
      </c>
      <c r="O41" s="676">
        <v>4000</v>
      </c>
      <c r="P41" s="676">
        <v>4000</v>
      </c>
      <c r="Q41" s="676">
        <v>4000</v>
      </c>
      <c r="R41" s="676">
        <v>4000</v>
      </c>
      <c r="S41" s="676">
        <v>4000</v>
      </c>
      <c r="T41" s="676">
        <v>4000</v>
      </c>
      <c r="U41" s="676">
        <v>6000</v>
      </c>
      <c r="V41" s="676">
        <v>6000</v>
      </c>
      <c r="W41" s="676">
        <v>6000</v>
      </c>
      <c r="X41" s="697"/>
      <c r="Y41" s="697"/>
      <c r="Z41" s="697"/>
    </row>
    <row r="42" spans="2:26" ht="16">
      <c r="B42" s="674" t="s">
        <v>432</v>
      </c>
      <c r="C42" s="173" t="s">
        <v>383</v>
      </c>
      <c r="D42" s="87"/>
      <c r="E42" s="88"/>
      <c r="I42" s="8"/>
      <c r="J42" s="85"/>
      <c r="K42" s="85"/>
      <c r="L42" s="676"/>
      <c r="M42" s="676">
        <v>4000</v>
      </c>
      <c r="N42" s="676">
        <v>4000</v>
      </c>
      <c r="O42" s="676">
        <v>4000</v>
      </c>
      <c r="P42" s="676">
        <v>4000</v>
      </c>
      <c r="Q42" s="676">
        <v>6000</v>
      </c>
      <c r="R42" s="676">
        <v>8000</v>
      </c>
      <c r="S42" s="676">
        <v>10000</v>
      </c>
      <c r="T42" s="676">
        <v>12000</v>
      </c>
      <c r="U42" s="676">
        <v>14000</v>
      </c>
      <c r="V42" s="676">
        <v>16000</v>
      </c>
      <c r="W42" s="676">
        <v>18000</v>
      </c>
    </row>
    <row r="43" spans="2:26" ht="16">
      <c r="B43" s="674" t="s">
        <v>452</v>
      </c>
      <c r="C43" s="173" t="s">
        <v>383</v>
      </c>
      <c r="D43" s="87"/>
      <c r="E43" s="88"/>
      <c r="I43" s="8"/>
      <c r="J43" s="85"/>
      <c r="K43" s="85"/>
      <c r="L43" s="676"/>
      <c r="M43" s="676"/>
      <c r="N43" s="676"/>
      <c r="O43" s="676">
        <v>4000</v>
      </c>
      <c r="P43" s="676">
        <v>4000</v>
      </c>
      <c r="Q43" s="676">
        <v>4000</v>
      </c>
      <c r="R43" s="676">
        <v>4000</v>
      </c>
      <c r="S43" s="676">
        <v>4000</v>
      </c>
      <c r="T43" s="676">
        <v>4000</v>
      </c>
      <c r="U43" s="676">
        <v>6000</v>
      </c>
      <c r="V43" s="676">
        <v>8000</v>
      </c>
      <c r="W43" s="676">
        <v>10000</v>
      </c>
    </row>
    <row r="44" spans="2:26" ht="16">
      <c r="B44" s="171"/>
      <c r="C44" s="173"/>
      <c r="D44" s="87"/>
      <c r="E44" s="88"/>
      <c r="I44" s="8"/>
      <c r="J44" s="85"/>
      <c r="K44" s="85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</row>
    <row r="45" spans="2:26" ht="16">
      <c r="B45" s="92" t="s">
        <v>100</v>
      </c>
      <c r="C45" s="173" t="s">
        <v>439</v>
      </c>
      <c r="D45" s="87"/>
      <c r="E45" s="88"/>
      <c r="I45" s="8"/>
      <c r="J45" s="85"/>
      <c r="K45" s="85"/>
      <c r="L45" s="678">
        <f t="shared" ref="L45:W45" si="10">(((H100Price*L46)+(H200Price*L47)+(BlackwellPrice*L48))*24*(365/4))/1000</f>
        <v>17520</v>
      </c>
      <c r="M45" s="678">
        <f t="shared" si="10"/>
        <v>37668</v>
      </c>
      <c r="N45" s="678">
        <f t="shared" si="10"/>
        <v>37668</v>
      </c>
      <c r="O45" s="678">
        <f t="shared" si="10"/>
        <v>72708</v>
      </c>
      <c r="P45" s="678">
        <f t="shared" si="10"/>
        <v>72708</v>
      </c>
      <c r="Q45" s="678">
        <f t="shared" si="10"/>
        <v>72708</v>
      </c>
      <c r="R45" s="678">
        <f t="shared" si="10"/>
        <v>72708</v>
      </c>
      <c r="S45" s="678">
        <f t="shared" si="10"/>
        <v>92856</v>
      </c>
      <c r="T45" s="678">
        <f t="shared" si="10"/>
        <v>102930</v>
      </c>
      <c r="U45" s="678">
        <f t="shared" si="10"/>
        <v>139284</v>
      </c>
      <c r="V45" s="678">
        <f t="shared" si="10"/>
        <v>169506</v>
      </c>
      <c r="W45" s="678">
        <f t="shared" si="10"/>
        <v>184617</v>
      </c>
    </row>
    <row r="46" spans="2:26" ht="16">
      <c r="B46" s="674" t="s">
        <v>433</v>
      </c>
      <c r="C46" s="173" t="s">
        <v>383</v>
      </c>
      <c r="D46" s="87"/>
      <c r="E46" s="88"/>
      <c r="I46" s="8"/>
      <c r="J46" s="85"/>
      <c r="K46" s="85"/>
      <c r="L46" s="676">
        <v>4000</v>
      </c>
      <c r="M46" s="676">
        <v>4000</v>
      </c>
      <c r="N46" s="676">
        <v>4000</v>
      </c>
      <c r="O46" s="676">
        <v>4000</v>
      </c>
      <c r="P46" s="676">
        <v>4000</v>
      </c>
      <c r="Q46" s="676">
        <v>4000</v>
      </c>
      <c r="R46" s="676">
        <v>4000</v>
      </c>
      <c r="S46" s="676">
        <v>4000</v>
      </c>
      <c r="T46" s="676">
        <v>4000</v>
      </c>
      <c r="U46" s="676">
        <v>10000</v>
      </c>
      <c r="V46" s="676">
        <v>10000</v>
      </c>
      <c r="W46" s="676">
        <v>10000</v>
      </c>
      <c r="X46" s="697"/>
      <c r="Y46" s="697"/>
      <c r="Z46" s="697"/>
    </row>
    <row r="47" spans="2:26" ht="16">
      <c r="B47" s="674" t="s">
        <v>432</v>
      </c>
      <c r="C47" s="173" t="s">
        <v>383</v>
      </c>
      <c r="D47" s="87"/>
      <c r="E47" s="88"/>
      <c r="I47" s="8"/>
      <c r="J47" s="85"/>
      <c r="K47" s="85"/>
      <c r="L47" s="676"/>
      <c r="M47" s="676">
        <v>4000</v>
      </c>
      <c r="N47" s="676">
        <v>4000</v>
      </c>
      <c r="O47" s="676">
        <v>4000</v>
      </c>
      <c r="P47" s="676">
        <v>4000</v>
      </c>
      <c r="Q47" s="676">
        <v>4000</v>
      </c>
      <c r="R47" s="676">
        <v>4000</v>
      </c>
      <c r="S47" s="676">
        <v>8000</v>
      </c>
      <c r="T47" s="676">
        <v>10000</v>
      </c>
      <c r="U47" s="676">
        <v>12000</v>
      </c>
      <c r="V47" s="676">
        <v>18000</v>
      </c>
      <c r="W47" s="676">
        <v>21000</v>
      </c>
    </row>
    <row r="48" spans="2:26" ht="16">
      <c r="B48" s="674" t="s">
        <v>452</v>
      </c>
      <c r="C48" s="173" t="s">
        <v>383</v>
      </c>
      <c r="D48" s="87"/>
      <c r="E48" s="88"/>
      <c r="I48" s="8"/>
      <c r="J48" s="85"/>
      <c r="K48" s="85"/>
      <c r="L48" s="676"/>
      <c r="M48" s="676"/>
      <c r="N48" s="676"/>
      <c r="O48" s="676">
        <v>4000</v>
      </c>
      <c r="P48" s="676">
        <v>4000</v>
      </c>
      <c r="Q48" s="676">
        <v>4000</v>
      </c>
      <c r="R48" s="676">
        <v>4000</v>
      </c>
      <c r="S48" s="676">
        <v>4000</v>
      </c>
      <c r="T48" s="676">
        <v>4000</v>
      </c>
      <c r="U48" s="676">
        <v>4000</v>
      </c>
      <c r="V48" s="676">
        <v>4000</v>
      </c>
      <c r="W48" s="676">
        <v>4000</v>
      </c>
    </row>
    <row r="49" spans="2:26" ht="16">
      <c r="D49" s="87"/>
      <c r="E49" s="88"/>
      <c r="I49" s="8"/>
      <c r="J49" s="85"/>
      <c r="K49" s="85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</row>
    <row r="50" spans="2:26" ht="16">
      <c r="D50" s="87"/>
      <c r="E50" s="88"/>
      <c r="I50" s="8"/>
      <c r="J50" s="85"/>
      <c r="K50" s="85"/>
    </row>
    <row r="51" spans="2:26" ht="16">
      <c r="B51" s="92" t="s">
        <v>103</v>
      </c>
      <c r="C51" s="173" t="s">
        <v>439</v>
      </c>
      <c r="D51" s="87"/>
      <c r="E51" s="88"/>
      <c r="I51" s="8"/>
      <c r="J51" s="85"/>
      <c r="K51" s="85"/>
      <c r="L51" s="678">
        <f t="shared" ref="L51:W51" si="11">(((H100Price*L52)+(H200Price*L53)+(BlackwellPrice*L54))*24*(365/4))/1000</f>
        <v>17520</v>
      </c>
      <c r="M51" s="678">
        <f t="shared" si="11"/>
        <v>37668</v>
      </c>
      <c r="N51" s="678">
        <f t="shared" si="11"/>
        <v>37668</v>
      </c>
      <c r="O51" s="678">
        <f t="shared" si="11"/>
        <v>55188</v>
      </c>
      <c r="P51" s="678">
        <f t="shared" si="11"/>
        <v>55188</v>
      </c>
      <c r="Q51" s="678">
        <f t="shared" si="11"/>
        <v>55188</v>
      </c>
      <c r="R51" s="678">
        <f t="shared" si="11"/>
        <v>55188</v>
      </c>
      <c r="S51" s="678">
        <f t="shared" si="11"/>
        <v>75336</v>
      </c>
      <c r="T51" s="678">
        <f t="shared" si="11"/>
        <v>85410</v>
      </c>
      <c r="U51" s="678">
        <f t="shared" si="11"/>
        <v>95484</v>
      </c>
      <c r="V51" s="678">
        <f t="shared" si="11"/>
        <v>104244</v>
      </c>
      <c r="W51" s="678">
        <f t="shared" si="11"/>
        <v>114318</v>
      </c>
    </row>
    <row r="52" spans="2:26" ht="16">
      <c r="B52" s="674" t="s">
        <v>433</v>
      </c>
      <c r="C52" s="173" t="s">
        <v>383</v>
      </c>
      <c r="D52" s="87"/>
      <c r="E52" s="88"/>
      <c r="I52" s="8"/>
      <c r="J52" s="85"/>
      <c r="K52" s="85"/>
      <c r="L52" s="676">
        <v>4000</v>
      </c>
      <c r="M52" s="676">
        <v>4000</v>
      </c>
      <c r="N52" s="676">
        <v>4000</v>
      </c>
      <c r="O52" s="676">
        <v>4000</v>
      </c>
      <c r="P52" s="676">
        <v>4000</v>
      </c>
      <c r="Q52" s="676">
        <v>4000</v>
      </c>
      <c r="R52" s="676">
        <v>4000</v>
      </c>
      <c r="S52" s="676">
        <v>4000</v>
      </c>
      <c r="T52" s="676">
        <v>4000</v>
      </c>
      <c r="U52" s="676">
        <v>4000</v>
      </c>
      <c r="V52" s="676">
        <v>6000</v>
      </c>
      <c r="W52" s="676">
        <v>6000</v>
      </c>
      <c r="X52" s="697"/>
      <c r="Y52" s="697"/>
      <c r="Z52" s="697"/>
    </row>
    <row r="53" spans="2:26" ht="16">
      <c r="B53" s="674" t="s">
        <v>432</v>
      </c>
      <c r="C53" s="173" t="s">
        <v>383</v>
      </c>
      <c r="D53" s="87"/>
      <c r="E53" s="88"/>
      <c r="I53" s="8"/>
      <c r="J53" s="85"/>
      <c r="K53" s="85"/>
      <c r="L53" s="676"/>
      <c r="M53" s="676">
        <v>4000</v>
      </c>
      <c r="N53" s="676">
        <v>4000</v>
      </c>
      <c r="O53" s="676">
        <v>4000</v>
      </c>
      <c r="P53" s="676">
        <v>4000</v>
      </c>
      <c r="Q53" s="676">
        <v>4000</v>
      </c>
      <c r="R53" s="676">
        <v>4000</v>
      </c>
      <c r="S53" s="676">
        <v>8000</v>
      </c>
      <c r="T53" s="676">
        <v>10000</v>
      </c>
      <c r="U53" s="676">
        <v>12000</v>
      </c>
      <c r="V53" s="676">
        <v>12000</v>
      </c>
      <c r="W53" s="676">
        <v>14000</v>
      </c>
    </row>
    <row r="54" spans="2:26" ht="16">
      <c r="B54" s="674" t="s">
        <v>452</v>
      </c>
      <c r="C54" s="173" t="s">
        <v>383</v>
      </c>
      <c r="D54" s="87"/>
      <c r="E54" s="88"/>
      <c r="I54" s="8"/>
      <c r="J54" s="85"/>
      <c r="K54" s="85"/>
      <c r="L54" s="676"/>
      <c r="M54" s="676"/>
      <c r="N54" s="676"/>
      <c r="O54" s="676">
        <v>2000</v>
      </c>
      <c r="P54" s="676">
        <v>2000</v>
      </c>
      <c r="Q54" s="676">
        <v>2000</v>
      </c>
      <c r="R54" s="676">
        <v>2000</v>
      </c>
      <c r="S54" s="676">
        <v>2000</v>
      </c>
      <c r="T54" s="676">
        <v>2000</v>
      </c>
      <c r="U54" s="676">
        <v>2000</v>
      </c>
      <c r="V54" s="676">
        <v>2000</v>
      </c>
      <c r="W54" s="676">
        <v>2000</v>
      </c>
    </row>
    <row r="56" spans="2:26" ht="16">
      <c r="L56" s="678">
        <f t="shared" ref="L56:W56" si="12">((H200Price*L58)*24*(365/4))/1000</f>
        <v>20148</v>
      </c>
      <c r="M56" s="678">
        <f t="shared" si="12"/>
        <v>20148</v>
      </c>
      <c r="N56" s="678">
        <f t="shared" si="12"/>
        <v>20148</v>
      </c>
      <c r="O56" s="678">
        <f t="shared" si="12"/>
        <v>20148</v>
      </c>
      <c r="P56" s="678">
        <f t="shared" si="12"/>
        <v>20148</v>
      </c>
      <c r="Q56" s="678">
        <f t="shared" si="12"/>
        <v>20148</v>
      </c>
      <c r="R56" s="678">
        <f t="shared" si="12"/>
        <v>20148</v>
      </c>
      <c r="S56" s="678">
        <f t="shared" si="12"/>
        <v>20148</v>
      </c>
      <c r="T56" s="678">
        <f t="shared" si="12"/>
        <v>20148</v>
      </c>
      <c r="U56" s="678">
        <f t="shared" si="12"/>
        <v>20148</v>
      </c>
      <c r="V56" s="678">
        <f t="shared" si="12"/>
        <v>20148</v>
      </c>
      <c r="W56" s="678">
        <f t="shared" si="12"/>
        <v>20148</v>
      </c>
    </row>
    <row r="57" spans="2:26" ht="16">
      <c r="B57" s="171" t="s">
        <v>87</v>
      </c>
      <c r="C57" s="174" t="s">
        <v>86</v>
      </c>
      <c r="D57" s="87"/>
      <c r="E57" s="88"/>
      <c r="I57" s="8"/>
      <c r="J57" s="85"/>
      <c r="K57" s="85">
        <v>5</v>
      </c>
      <c r="L57" s="85">
        <v>5</v>
      </c>
      <c r="M57" s="85">
        <v>5</v>
      </c>
      <c r="N57" s="85">
        <v>5</v>
      </c>
      <c r="O57" s="85">
        <v>5</v>
      </c>
      <c r="P57" s="85">
        <v>5</v>
      </c>
      <c r="Q57" s="85">
        <v>5</v>
      </c>
      <c r="R57" s="85">
        <v>5</v>
      </c>
      <c r="S57" s="85">
        <v>5</v>
      </c>
      <c r="T57" s="85">
        <v>5</v>
      </c>
      <c r="U57" s="85">
        <v>5</v>
      </c>
      <c r="V57" s="85">
        <v>5</v>
      </c>
      <c r="W57" s="85">
        <v>5</v>
      </c>
    </row>
    <row r="58" spans="2:26" ht="16">
      <c r="B58" s="674" t="s">
        <v>432</v>
      </c>
      <c r="C58" s="173" t="s">
        <v>383</v>
      </c>
      <c r="D58" s="87"/>
      <c r="E58" s="88"/>
      <c r="I58" s="8"/>
      <c r="J58" s="85"/>
      <c r="K58" s="85">
        <v>4000</v>
      </c>
      <c r="L58" s="85">
        <v>4000</v>
      </c>
      <c r="M58" s="85">
        <v>4000</v>
      </c>
      <c r="N58" s="85">
        <v>4000</v>
      </c>
      <c r="O58" s="85">
        <v>4000</v>
      </c>
      <c r="P58" s="85">
        <v>4000</v>
      </c>
      <c r="Q58" s="85">
        <v>4000</v>
      </c>
      <c r="R58" s="85">
        <v>4000</v>
      </c>
      <c r="S58" s="85">
        <v>4000</v>
      </c>
      <c r="T58" s="85">
        <v>4000</v>
      </c>
      <c r="U58" s="85">
        <v>4000</v>
      </c>
      <c r="V58" s="85">
        <v>4000</v>
      </c>
      <c r="W58" s="85">
        <v>4000</v>
      </c>
    </row>
    <row r="59" spans="2:26" ht="16">
      <c r="B59" s="674"/>
      <c r="C59" s="174"/>
      <c r="D59" s="87"/>
      <c r="E59" s="88"/>
      <c r="I59" s="196"/>
      <c r="J59" s="410"/>
      <c r="K59" s="410"/>
      <c r="L59" s="410"/>
      <c r="M59" s="410"/>
      <c r="N59" s="410"/>
      <c r="O59" s="410"/>
      <c r="P59" s="410"/>
      <c r="Q59" s="410"/>
      <c r="R59" s="410"/>
      <c r="S59" s="410"/>
      <c r="T59" s="410"/>
      <c r="U59" s="410"/>
      <c r="V59" s="410"/>
      <c r="W59" s="410"/>
    </row>
    <row r="60" spans="2:26" ht="16">
      <c r="B60" s="93" t="s">
        <v>101</v>
      </c>
      <c r="C60" s="173" t="s">
        <v>86</v>
      </c>
      <c r="D60" s="87"/>
      <c r="E60" s="88"/>
      <c r="I60" s="168">
        <f>SUM(I12,I36,I57)</f>
        <v>25</v>
      </c>
      <c r="J60" s="168">
        <f>SUM(J12,J36,J57)</f>
        <v>25</v>
      </c>
      <c r="K60" s="168">
        <f>SUM(K12,K36,K57)</f>
        <v>35</v>
      </c>
      <c r="L60" s="182">
        <f t="shared" ref="L60:W60" si="13">SUM(L8,L33,L57)</f>
        <v>40</v>
      </c>
      <c r="M60" s="182">
        <f t="shared" si="13"/>
        <v>50</v>
      </c>
      <c r="N60" s="182">
        <f t="shared" si="13"/>
        <v>60</v>
      </c>
      <c r="O60" s="182">
        <f t="shared" si="13"/>
        <v>80</v>
      </c>
      <c r="P60" s="182">
        <f t="shared" si="13"/>
        <v>80</v>
      </c>
      <c r="Q60" s="182">
        <f t="shared" si="13"/>
        <v>80</v>
      </c>
      <c r="R60" s="182">
        <f t="shared" si="13"/>
        <v>95</v>
      </c>
      <c r="S60" s="182">
        <f t="shared" si="13"/>
        <v>100</v>
      </c>
      <c r="T60" s="182">
        <f t="shared" si="13"/>
        <v>100</v>
      </c>
      <c r="U60" s="182">
        <f t="shared" si="13"/>
        <v>115</v>
      </c>
      <c r="V60" s="182">
        <f t="shared" si="13"/>
        <v>115</v>
      </c>
      <c r="W60" s="182">
        <f t="shared" si="13"/>
        <v>120</v>
      </c>
    </row>
    <row r="61" spans="2:26" ht="16">
      <c r="B61" s="89" t="s">
        <v>434</v>
      </c>
      <c r="C61" s="173"/>
      <c r="D61" s="87"/>
      <c r="E61" s="88"/>
      <c r="I61" s="168"/>
      <c r="J61" s="168"/>
      <c r="K61" s="8">
        <v>35</v>
      </c>
      <c r="L61" s="182"/>
      <c r="M61" s="182"/>
      <c r="N61" s="182"/>
      <c r="O61" s="183">
        <v>100</v>
      </c>
      <c r="P61" s="182"/>
      <c r="Q61" s="182"/>
      <c r="R61" s="182"/>
      <c r="S61" s="182"/>
      <c r="T61" s="182"/>
      <c r="U61" s="182"/>
      <c r="V61" s="182"/>
      <c r="W61" s="182"/>
    </row>
    <row r="62" spans="2:26" ht="16">
      <c r="B62" s="89"/>
      <c r="C62" s="173"/>
      <c r="D62" s="87"/>
      <c r="E62" s="88"/>
      <c r="I62" s="168"/>
      <c r="J62" s="168"/>
      <c r="K62" s="8"/>
      <c r="L62" s="168"/>
      <c r="M62" s="168"/>
      <c r="N62" s="168"/>
      <c r="O62" s="8"/>
      <c r="P62" s="168"/>
      <c r="Q62" s="168"/>
      <c r="R62" s="168"/>
      <c r="S62" s="168"/>
      <c r="T62" s="168"/>
      <c r="U62" s="168"/>
      <c r="V62" s="168"/>
      <c r="W62" s="168"/>
    </row>
    <row r="63" spans="2:26" ht="16">
      <c r="B63" s="93" t="s">
        <v>248</v>
      </c>
      <c r="C63" s="173"/>
      <c r="D63" s="87"/>
      <c r="E63" s="88"/>
      <c r="I63" s="168"/>
      <c r="J63" s="168"/>
      <c r="K63" s="8"/>
      <c r="L63" s="168"/>
      <c r="M63" s="168"/>
      <c r="N63" s="168"/>
      <c r="O63" s="8"/>
      <c r="P63" s="168"/>
      <c r="Q63" s="168"/>
      <c r="R63" s="168"/>
      <c r="S63" s="168"/>
      <c r="T63" s="168"/>
      <c r="U63" s="168"/>
      <c r="V63" s="168"/>
      <c r="W63" s="168"/>
    </row>
    <row r="64" spans="2:26" ht="16">
      <c r="B64" s="674" t="s">
        <v>433</v>
      </c>
      <c r="C64" s="173" t="s">
        <v>437</v>
      </c>
      <c r="D64" s="680">
        <v>2</v>
      </c>
      <c r="E64" s="88"/>
      <c r="I64" s="168"/>
      <c r="J64" s="168"/>
      <c r="K64" s="8"/>
      <c r="L64" s="168"/>
      <c r="M64" s="168"/>
      <c r="N64" s="168"/>
      <c r="O64" s="8"/>
      <c r="P64" s="168"/>
      <c r="Q64" s="168"/>
      <c r="R64" s="168"/>
      <c r="S64" s="168"/>
      <c r="T64" s="168"/>
      <c r="U64" s="168"/>
      <c r="V64" s="168"/>
      <c r="W64" s="168"/>
    </row>
    <row r="65" spans="2:23" ht="16">
      <c r="B65" s="674" t="s">
        <v>432</v>
      </c>
      <c r="C65" s="173" t="s">
        <v>437</v>
      </c>
      <c r="D65" s="680">
        <v>2.2999999999999998</v>
      </c>
      <c r="E65" s="88"/>
      <c r="I65" s="168"/>
      <c r="J65" s="168"/>
      <c r="K65" s="8"/>
      <c r="L65" s="168"/>
      <c r="M65" s="168"/>
      <c r="N65" s="168"/>
      <c r="O65" s="8"/>
      <c r="P65" s="168"/>
      <c r="Q65" s="168"/>
      <c r="R65" s="168"/>
      <c r="S65" s="168"/>
      <c r="T65" s="168"/>
      <c r="U65" s="168"/>
      <c r="V65" s="168"/>
      <c r="W65" s="168"/>
    </row>
    <row r="66" spans="2:23" ht="16">
      <c r="B66" s="674" t="s">
        <v>452</v>
      </c>
      <c r="C66" s="173" t="s">
        <v>437</v>
      </c>
      <c r="D66" s="680">
        <v>4</v>
      </c>
      <c r="E66" s="88"/>
      <c r="I66" s="168"/>
      <c r="J66" s="168"/>
      <c r="K66" s="8"/>
      <c r="L66" s="168"/>
      <c r="M66" s="168"/>
      <c r="N66" s="168"/>
      <c r="O66" s="8"/>
      <c r="P66" s="168"/>
      <c r="Q66" s="46"/>
      <c r="R66" s="168"/>
      <c r="S66" s="168"/>
      <c r="T66" s="168"/>
      <c r="U66" s="168"/>
      <c r="V66" s="168"/>
      <c r="W66" s="168"/>
    </row>
    <row r="67" spans="2:23" ht="16">
      <c r="B67" s="89"/>
      <c r="C67" s="173"/>
      <c r="D67" s="87"/>
      <c r="E67" s="88"/>
      <c r="I67" s="168"/>
      <c r="J67" s="168"/>
      <c r="K67" s="8"/>
      <c r="L67" s="168"/>
      <c r="M67" s="168"/>
      <c r="N67" s="168"/>
      <c r="O67" s="8"/>
      <c r="P67" s="168"/>
      <c r="Q67" s="168"/>
      <c r="R67" s="168"/>
      <c r="S67" s="168"/>
      <c r="T67" s="168"/>
      <c r="U67" s="168"/>
      <c r="V67" s="168"/>
      <c r="W67" s="168"/>
    </row>
    <row r="68" spans="2:23" ht="16">
      <c r="B68" s="93" t="s">
        <v>146</v>
      </c>
      <c r="C68" s="173"/>
      <c r="D68" s="87"/>
      <c r="E68" s="88"/>
      <c r="I68" s="168"/>
      <c r="J68" s="168"/>
      <c r="K68" s="8"/>
      <c r="L68" s="168"/>
      <c r="M68" s="168"/>
      <c r="N68" s="168"/>
      <c r="O68" s="8"/>
      <c r="P68" s="168"/>
      <c r="Q68" s="168"/>
      <c r="R68" s="168"/>
      <c r="S68" s="168"/>
      <c r="T68" s="168"/>
      <c r="U68" s="168"/>
      <c r="V68" s="168"/>
      <c r="W68" s="168"/>
    </row>
    <row r="69" spans="2:23" ht="16">
      <c r="B69" s="92" t="s">
        <v>102</v>
      </c>
      <c r="C69" s="173" t="s">
        <v>70</v>
      </c>
      <c r="D69" s="87"/>
      <c r="E69" s="88"/>
      <c r="I69" s="168"/>
      <c r="J69" s="168"/>
      <c r="K69" s="46"/>
      <c r="L69" s="679">
        <f t="shared" ref="L69:W69" si="14">SUM(L16,L40,L56)</f>
        <v>194472</v>
      </c>
      <c r="M69" s="679">
        <f t="shared" si="14"/>
        <v>277254</v>
      </c>
      <c r="N69" s="679">
        <f t="shared" si="14"/>
        <v>339888</v>
      </c>
      <c r="O69" s="679">
        <f t="shared" si="14"/>
        <v>430116</v>
      </c>
      <c r="P69" s="679">
        <f t="shared" si="14"/>
        <v>470412</v>
      </c>
      <c r="Q69" s="679">
        <f t="shared" si="14"/>
        <v>480486</v>
      </c>
      <c r="R69" s="679">
        <f t="shared" si="14"/>
        <v>490560</v>
      </c>
      <c r="S69" s="679">
        <f t="shared" si="14"/>
        <v>500634</v>
      </c>
      <c r="T69" s="679">
        <f t="shared" si="14"/>
        <v>510708</v>
      </c>
      <c r="U69" s="679">
        <f t="shared" si="14"/>
        <v>547062</v>
      </c>
      <c r="V69" s="679">
        <f t="shared" si="14"/>
        <v>574656</v>
      </c>
      <c r="W69" s="679">
        <f t="shared" si="14"/>
        <v>602250</v>
      </c>
    </row>
    <row r="70" spans="2:23" ht="16">
      <c r="B70" s="92" t="s">
        <v>100</v>
      </c>
      <c r="C70" s="173" t="s">
        <v>70</v>
      </c>
      <c r="D70" s="87"/>
      <c r="E70" s="88"/>
      <c r="I70" s="168"/>
      <c r="J70" s="168"/>
      <c r="K70" s="46"/>
      <c r="L70" s="679">
        <f t="shared" ref="L70:W70" si="15">SUM(L21,L45,L56)</f>
        <v>176952</v>
      </c>
      <c r="M70" s="679">
        <f t="shared" si="15"/>
        <v>242214</v>
      </c>
      <c r="N70" s="679">
        <f t="shared" si="15"/>
        <v>287328</v>
      </c>
      <c r="O70" s="679">
        <f t="shared" si="15"/>
        <v>367482</v>
      </c>
      <c r="P70" s="679">
        <f t="shared" si="15"/>
        <v>412596</v>
      </c>
      <c r="Q70" s="679">
        <f t="shared" si="15"/>
        <v>442818</v>
      </c>
      <c r="R70" s="679">
        <f t="shared" si="15"/>
        <v>462966</v>
      </c>
      <c r="S70" s="679">
        <f t="shared" si="15"/>
        <v>483114</v>
      </c>
      <c r="T70" s="679">
        <f t="shared" si="15"/>
        <v>493188</v>
      </c>
      <c r="U70" s="679">
        <f t="shared" si="15"/>
        <v>529542</v>
      </c>
      <c r="V70" s="679">
        <f t="shared" si="15"/>
        <v>559764</v>
      </c>
      <c r="W70" s="679">
        <f t="shared" si="15"/>
        <v>574875</v>
      </c>
    </row>
    <row r="71" spans="2:23" ht="16">
      <c r="B71" s="92" t="s">
        <v>103</v>
      </c>
      <c r="C71" s="173" t="s">
        <v>70</v>
      </c>
      <c r="D71" s="87"/>
      <c r="E71" s="88"/>
      <c r="I71" s="168"/>
      <c r="J71" s="168"/>
      <c r="K71" s="46"/>
      <c r="L71" s="679">
        <f t="shared" ref="L71:W71" si="16">SUM(L27,L51,L56)</f>
        <v>159432</v>
      </c>
      <c r="M71" s="679">
        <f t="shared" si="16"/>
        <v>207174</v>
      </c>
      <c r="N71" s="679">
        <f t="shared" si="16"/>
        <v>234768</v>
      </c>
      <c r="O71" s="679">
        <f t="shared" si="16"/>
        <v>279882</v>
      </c>
      <c r="P71" s="679">
        <f t="shared" si="16"/>
        <v>307476</v>
      </c>
      <c r="Q71" s="679">
        <f t="shared" si="16"/>
        <v>355218</v>
      </c>
      <c r="R71" s="679">
        <f t="shared" si="16"/>
        <v>392886</v>
      </c>
      <c r="S71" s="679">
        <f t="shared" si="16"/>
        <v>430554</v>
      </c>
      <c r="T71" s="679">
        <f t="shared" si="16"/>
        <v>475668</v>
      </c>
      <c r="U71" s="679">
        <f t="shared" si="16"/>
        <v>485742</v>
      </c>
      <c r="V71" s="679">
        <f t="shared" si="16"/>
        <v>494502</v>
      </c>
      <c r="W71" s="679">
        <f t="shared" si="16"/>
        <v>504576</v>
      </c>
    </row>
    <row r="72" spans="2:23" ht="16">
      <c r="B72" s="89" t="s">
        <v>438</v>
      </c>
      <c r="C72" s="173" t="s">
        <v>70</v>
      </c>
      <c r="D72" s="87"/>
      <c r="E72" s="88"/>
      <c r="I72" s="168"/>
      <c r="J72" s="168"/>
      <c r="K72" s="46">
        <f>K21</f>
        <v>94170</v>
      </c>
      <c r="L72" s="46">
        <f>INDEX($L$69:$W$71,MATCH(Scenario,$B$69:$B$71,0),1)</f>
        <v>176952</v>
      </c>
      <c r="M72" s="46">
        <f>INDEX($L$69:$W$71,MATCH(Scenario,$B$69:$B$71,0),2)</f>
        <v>242214</v>
      </c>
      <c r="N72" s="46">
        <f>INDEX($L$69:$W$71,MATCH(Scenario,$B$69:$B$71,0),3)</f>
        <v>287328</v>
      </c>
      <c r="O72" s="46">
        <f>INDEX($L$69:$W$71,MATCH(Scenario,$B$69:$B$71,0),4)</f>
        <v>367482</v>
      </c>
      <c r="P72" s="46">
        <f>INDEX($L$69:$W$71,MATCH(Scenario,$B$69:$B$71,0),5)</f>
        <v>412596</v>
      </c>
      <c r="Q72" s="46">
        <f>INDEX($L$69:$W$71,MATCH(Scenario,$B$69:$B$71,0),6)</f>
        <v>442818</v>
      </c>
      <c r="R72" s="46">
        <f>INDEX($L$69:$W$71,MATCH(Scenario,$B$69:$B$71,0),7)</f>
        <v>462966</v>
      </c>
      <c r="S72" s="46">
        <f>INDEX($L$69:$W$71,MATCH(Scenario,$B$69:$B$71,0),8)</f>
        <v>483114</v>
      </c>
      <c r="T72" s="46">
        <f>INDEX($L$69:$W$71,MATCH(Scenario,$B$69:$B$71,0),9)</f>
        <v>493188</v>
      </c>
      <c r="U72" s="46">
        <f>INDEX($L$69:$W$71,MATCH(Scenario,$B$69:$B$71,0),10)</f>
        <v>529542</v>
      </c>
      <c r="V72" s="46">
        <f>INDEX($L$69:$W$71,MATCH(Scenario,$B$69:$B$71,0),11)</f>
        <v>559764</v>
      </c>
      <c r="W72" s="46">
        <f>INDEX($L$69:$W$71,MATCH(Scenario,$B$69:$B$71,0),12)</f>
        <v>574875</v>
      </c>
    </row>
    <row r="73" spans="2:23" ht="16">
      <c r="B73" s="89"/>
      <c r="C73" s="173"/>
      <c r="D73" s="87"/>
      <c r="E73" s="88"/>
      <c r="I73" s="168"/>
      <c r="J73" s="168"/>
      <c r="K73" s="8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</row>
    <row r="74" spans="2:23" ht="16">
      <c r="B74" s="207" t="s">
        <v>443</v>
      </c>
      <c r="C74" s="682"/>
      <c r="D74" s="204"/>
      <c r="E74" s="205"/>
      <c r="F74" s="683"/>
      <c r="G74" s="683"/>
      <c r="H74" s="683"/>
      <c r="I74" s="684"/>
      <c r="J74" s="684"/>
      <c r="K74" s="188"/>
      <c r="L74" s="684"/>
      <c r="M74" s="684"/>
      <c r="N74" s="684"/>
      <c r="O74" s="188"/>
      <c r="P74" s="684"/>
      <c r="Q74" s="684"/>
      <c r="R74" s="684"/>
      <c r="S74" s="684"/>
      <c r="T74" s="684"/>
      <c r="U74" s="684"/>
      <c r="V74" s="684"/>
      <c r="W74" s="684"/>
    </row>
    <row r="75" spans="2:23" ht="16">
      <c r="B75" s="208"/>
      <c r="C75" s="173"/>
      <c r="D75" s="87"/>
      <c r="E75" s="88"/>
      <c r="I75" s="168"/>
      <c r="J75" s="168"/>
      <c r="K75" s="8"/>
      <c r="L75" s="168"/>
      <c r="M75" s="168"/>
      <c r="N75" s="168"/>
      <c r="O75" s="8"/>
      <c r="P75" s="168"/>
      <c r="Q75" s="168"/>
      <c r="R75" s="168"/>
      <c r="S75" s="168"/>
      <c r="T75" s="168"/>
      <c r="U75" s="168"/>
      <c r="V75" s="168"/>
      <c r="W75" s="168"/>
    </row>
    <row r="76" spans="2:23" ht="16">
      <c r="B76" s="93" t="s">
        <v>451</v>
      </c>
      <c r="C76" s="173"/>
      <c r="D76" s="87"/>
      <c r="E76" s="88"/>
      <c r="I76" s="168"/>
      <c r="J76" s="168"/>
      <c r="K76" s="8"/>
      <c r="L76" s="168"/>
      <c r="M76" s="168"/>
      <c r="N76" s="168"/>
      <c r="O76" s="8"/>
      <c r="P76" s="168"/>
      <c r="Q76" s="168"/>
      <c r="R76" s="168"/>
      <c r="S76" s="168"/>
      <c r="T76" s="168"/>
      <c r="U76" s="168"/>
      <c r="V76" s="168"/>
      <c r="W76" s="168"/>
    </row>
    <row r="77" spans="2:23" ht="16">
      <c r="B77" s="674" t="s">
        <v>433</v>
      </c>
      <c r="C77" s="174" t="s">
        <v>444</v>
      </c>
      <c r="D77" s="681">
        <v>31</v>
      </c>
      <c r="E77" s="88"/>
      <c r="I77" s="168"/>
      <c r="J77" s="168"/>
      <c r="K77" s="8"/>
      <c r="L77" s="168"/>
      <c r="M77" s="168"/>
      <c r="N77" s="168"/>
      <c r="O77" s="8"/>
      <c r="P77" s="168"/>
      <c r="Q77" s="168"/>
      <c r="R77" s="168"/>
      <c r="S77" s="168"/>
      <c r="T77" s="168"/>
      <c r="U77" s="168"/>
      <c r="V77" s="168"/>
      <c r="W77" s="168"/>
    </row>
    <row r="78" spans="2:23" ht="16">
      <c r="B78" s="674" t="s">
        <v>432</v>
      </c>
      <c r="C78" s="174" t="s">
        <v>444</v>
      </c>
      <c r="D78" s="681">
        <v>41</v>
      </c>
      <c r="E78" s="88"/>
      <c r="I78" s="168"/>
      <c r="J78" s="168"/>
      <c r="K78" s="8"/>
      <c r="L78" s="168"/>
      <c r="M78" s="168"/>
      <c r="N78" s="168"/>
      <c r="O78" s="8"/>
      <c r="P78" s="168"/>
      <c r="Q78" s="168"/>
      <c r="R78" s="168"/>
      <c r="S78" s="168"/>
      <c r="T78" s="168"/>
      <c r="U78" s="168"/>
      <c r="V78" s="168"/>
      <c r="W78" s="168"/>
    </row>
    <row r="79" spans="2:23" ht="16">
      <c r="B79" s="674" t="s">
        <v>452</v>
      </c>
      <c r="C79" s="174" t="s">
        <v>444</v>
      </c>
      <c r="D79" s="681">
        <v>51</v>
      </c>
      <c r="E79" s="88"/>
      <c r="I79" s="168"/>
      <c r="J79" s="168"/>
      <c r="K79" s="8"/>
      <c r="L79" s="168"/>
      <c r="M79" s="168"/>
      <c r="N79" s="168"/>
      <c r="O79" s="8"/>
      <c r="P79" s="168"/>
      <c r="Q79" s="168"/>
      <c r="R79" s="168"/>
      <c r="S79" s="168"/>
      <c r="T79" s="168"/>
      <c r="U79" s="168"/>
      <c r="V79" s="168"/>
      <c r="W79" s="168"/>
    </row>
    <row r="80" spans="2:23" ht="16">
      <c r="B80" s="674"/>
      <c r="C80" s="174"/>
      <c r="D80" s="685"/>
      <c r="E80" s="88"/>
      <c r="I80" s="168"/>
      <c r="J80" s="168"/>
      <c r="K80" s="8"/>
      <c r="L80" s="168"/>
      <c r="M80" s="168"/>
      <c r="N80" s="168"/>
      <c r="O80" s="8"/>
      <c r="P80" s="168"/>
      <c r="Q80" s="168"/>
      <c r="R80" s="168"/>
      <c r="S80" s="168"/>
      <c r="T80" s="168"/>
      <c r="U80" s="168"/>
      <c r="V80" s="168"/>
      <c r="W80" s="168"/>
    </row>
    <row r="81" spans="2:23" ht="16">
      <c r="B81" s="93" t="s">
        <v>440</v>
      </c>
      <c r="C81" s="173"/>
      <c r="D81" s="87"/>
      <c r="E81" s="88"/>
      <c r="I81" s="77"/>
      <c r="J81" s="77"/>
      <c r="K81" s="77"/>
      <c r="M81" s="168"/>
      <c r="N81" s="168"/>
      <c r="O81" s="168"/>
      <c r="Q81" s="168"/>
      <c r="R81" s="168"/>
      <c r="S81" s="168"/>
      <c r="T81" s="168"/>
      <c r="U81" s="168"/>
      <c r="V81" s="168"/>
      <c r="W81" s="168"/>
    </row>
    <row r="82" spans="2:23" ht="16">
      <c r="B82" s="674" t="s">
        <v>433</v>
      </c>
      <c r="C82" s="173"/>
      <c r="D82" s="87"/>
      <c r="E82" s="88"/>
      <c r="I82" s="77"/>
      <c r="J82" s="77"/>
      <c r="K82" s="77">
        <f>K22-J22</f>
        <v>0</v>
      </c>
      <c r="L82" s="676">
        <f>L17-K22+L41-K41</f>
        <v>4000</v>
      </c>
      <c r="M82" s="676">
        <f t="shared" ref="M82:W82" si="17">M17-L17+M41-L41</f>
        <v>0</v>
      </c>
      <c r="N82" s="676">
        <f t="shared" si="17"/>
        <v>0</v>
      </c>
      <c r="O82" s="676">
        <f t="shared" si="17"/>
        <v>0</v>
      </c>
      <c r="P82" s="676">
        <f t="shared" si="17"/>
        <v>0</v>
      </c>
      <c r="Q82" s="676">
        <f t="shared" si="17"/>
        <v>0</v>
      </c>
      <c r="R82" s="676">
        <f t="shared" si="17"/>
        <v>0</v>
      </c>
      <c r="S82" s="676">
        <f t="shared" si="17"/>
        <v>0</v>
      </c>
      <c r="T82" s="676">
        <f t="shared" si="17"/>
        <v>0</v>
      </c>
      <c r="U82" s="676">
        <f t="shared" si="17"/>
        <v>2000</v>
      </c>
      <c r="V82" s="676">
        <f t="shared" si="17"/>
        <v>0</v>
      </c>
      <c r="W82" s="676">
        <f t="shared" si="17"/>
        <v>0</v>
      </c>
    </row>
    <row r="83" spans="2:23" ht="16">
      <c r="B83" s="674" t="s">
        <v>432</v>
      </c>
      <c r="C83" s="173"/>
      <c r="D83" s="87"/>
      <c r="E83" s="88"/>
      <c r="I83" s="77"/>
      <c r="J83" s="77"/>
      <c r="K83" s="77">
        <f>K23-J23</f>
        <v>6000</v>
      </c>
      <c r="L83" s="676">
        <f>L18-K23+L42-K42+L58-K58</f>
        <v>2000</v>
      </c>
      <c r="M83" s="676">
        <f t="shared" ref="M83:W83" si="18">M18-L18+M42-L42+M58-L58</f>
        <v>6000</v>
      </c>
      <c r="N83" s="676">
        <f t="shared" si="18"/>
        <v>2000</v>
      </c>
      <c r="O83" s="676">
        <f t="shared" si="18"/>
        <v>4000</v>
      </c>
      <c r="P83" s="676">
        <f t="shared" si="18"/>
        <v>8000</v>
      </c>
      <c r="Q83" s="676">
        <f t="shared" si="18"/>
        <v>2000</v>
      </c>
      <c r="R83" s="676">
        <f t="shared" si="18"/>
        <v>2000</v>
      </c>
      <c r="S83" s="676">
        <f t="shared" si="18"/>
        <v>2000</v>
      </c>
      <c r="T83" s="676">
        <f t="shared" si="18"/>
        <v>2000</v>
      </c>
      <c r="U83" s="676">
        <f t="shared" si="18"/>
        <v>2000</v>
      </c>
      <c r="V83" s="676">
        <f t="shared" si="18"/>
        <v>2000</v>
      </c>
      <c r="W83" s="676">
        <f t="shared" si="18"/>
        <v>2000</v>
      </c>
    </row>
    <row r="84" spans="2:23" ht="16">
      <c r="B84" s="674" t="s">
        <v>452</v>
      </c>
      <c r="C84" s="173"/>
      <c r="D84" s="87"/>
      <c r="E84" s="88"/>
      <c r="I84" s="77"/>
      <c r="J84" s="77"/>
      <c r="K84" s="77"/>
      <c r="L84" s="676">
        <f t="shared" ref="L84:W84" si="19">L19-K19+L43-K43</f>
        <v>6000</v>
      </c>
      <c r="M84" s="676">
        <f t="shared" si="19"/>
        <v>6000</v>
      </c>
      <c r="N84" s="676">
        <f t="shared" si="19"/>
        <v>6000</v>
      </c>
      <c r="O84" s="676">
        <f t="shared" si="19"/>
        <v>8000</v>
      </c>
      <c r="P84" s="676">
        <f t="shared" si="19"/>
        <v>0</v>
      </c>
      <c r="Q84" s="676">
        <f t="shared" si="19"/>
        <v>0</v>
      </c>
      <c r="R84" s="676">
        <f t="shared" si="19"/>
        <v>0</v>
      </c>
      <c r="S84" s="676">
        <f t="shared" si="19"/>
        <v>0</v>
      </c>
      <c r="T84" s="676">
        <f t="shared" si="19"/>
        <v>0</v>
      </c>
      <c r="U84" s="676">
        <f t="shared" si="19"/>
        <v>2000</v>
      </c>
      <c r="V84" s="676">
        <f t="shared" si="19"/>
        <v>2000</v>
      </c>
      <c r="W84" s="676">
        <f t="shared" si="19"/>
        <v>2000</v>
      </c>
    </row>
    <row r="85" spans="2:23" ht="16">
      <c r="B85" s="89"/>
      <c r="C85" s="173"/>
      <c r="D85" s="87"/>
      <c r="E85" s="88"/>
      <c r="I85" s="77"/>
      <c r="J85" s="77"/>
      <c r="K85" s="77"/>
      <c r="L85" s="8"/>
      <c r="M85" s="8"/>
      <c r="N85" s="8"/>
      <c r="O85" s="8"/>
      <c r="Q85" s="8"/>
      <c r="R85" s="8"/>
      <c r="S85" s="8"/>
      <c r="T85" s="8"/>
      <c r="U85" s="8"/>
      <c r="V85" s="8"/>
      <c r="W85" s="8"/>
    </row>
    <row r="86" spans="2:23" ht="16">
      <c r="B86" s="93" t="s">
        <v>441</v>
      </c>
      <c r="C86" s="173"/>
      <c r="D86" s="87"/>
      <c r="E86" s="88"/>
      <c r="I86" s="77"/>
      <c r="J86" s="77"/>
      <c r="K86" s="77"/>
      <c r="M86" s="8"/>
      <c r="N86" s="8"/>
      <c r="O86" s="8"/>
      <c r="Q86" s="8"/>
      <c r="R86" s="8"/>
      <c r="S86" s="8"/>
      <c r="T86" s="8"/>
      <c r="U86" s="8"/>
      <c r="V86" s="8"/>
      <c r="W86" s="8"/>
    </row>
    <row r="87" spans="2:23" ht="16">
      <c r="B87" s="674" t="s">
        <v>433</v>
      </c>
      <c r="C87" s="173"/>
      <c r="D87" s="87"/>
      <c r="E87" s="88"/>
      <c r="I87" s="77"/>
      <c r="J87" s="77"/>
      <c r="K87" s="77">
        <f>K26-J26</f>
        <v>0</v>
      </c>
      <c r="L87" s="676">
        <f t="shared" ref="L87:W87" si="20">L22-K22+L46-K46</f>
        <v>4000</v>
      </c>
      <c r="M87" s="676">
        <f t="shared" si="20"/>
        <v>0</v>
      </c>
      <c r="N87" s="676">
        <f t="shared" si="20"/>
        <v>0</v>
      </c>
      <c r="O87" s="676">
        <f t="shared" si="20"/>
        <v>0</v>
      </c>
      <c r="P87" s="676">
        <f t="shared" si="20"/>
        <v>0</v>
      </c>
      <c r="Q87" s="676">
        <f t="shared" si="20"/>
        <v>0</v>
      </c>
      <c r="R87" s="676">
        <f t="shared" si="20"/>
        <v>0</v>
      </c>
      <c r="S87" s="676">
        <f t="shared" si="20"/>
        <v>0</v>
      </c>
      <c r="T87" s="676">
        <f t="shared" si="20"/>
        <v>0</v>
      </c>
      <c r="U87" s="676">
        <f t="shared" si="20"/>
        <v>6000</v>
      </c>
      <c r="V87" s="676">
        <f t="shared" si="20"/>
        <v>0</v>
      </c>
      <c r="W87" s="676">
        <f t="shared" si="20"/>
        <v>0</v>
      </c>
    </row>
    <row r="88" spans="2:23" ht="16">
      <c r="B88" s="674" t="s">
        <v>432</v>
      </c>
      <c r="C88" s="173"/>
      <c r="D88" s="87"/>
      <c r="E88" s="88"/>
      <c r="I88" s="77"/>
      <c r="J88" s="77"/>
      <c r="K88" s="77">
        <f>K27-J27</f>
        <v>0</v>
      </c>
      <c r="L88" s="676">
        <f t="shared" ref="L88:W88" si="21">L23-K23+L47-K47+L58-K58</f>
        <v>2000</v>
      </c>
      <c r="M88" s="676">
        <f t="shared" si="21"/>
        <v>6000</v>
      </c>
      <c r="N88" s="676">
        <f t="shared" si="21"/>
        <v>2000</v>
      </c>
      <c r="O88" s="676">
        <f t="shared" si="21"/>
        <v>2000</v>
      </c>
      <c r="P88" s="676">
        <f t="shared" si="21"/>
        <v>2000</v>
      </c>
      <c r="Q88" s="676">
        <f t="shared" si="21"/>
        <v>6000</v>
      </c>
      <c r="R88" s="676">
        <f t="shared" si="21"/>
        <v>4000</v>
      </c>
      <c r="S88" s="676">
        <f t="shared" si="21"/>
        <v>4000</v>
      </c>
      <c r="T88" s="676">
        <f t="shared" si="21"/>
        <v>2000</v>
      </c>
      <c r="U88" s="676">
        <f t="shared" si="21"/>
        <v>2000</v>
      </c>
      <c r="V88" s="676">
        <f t="shared" si="21"/>
        <v>6000</v>
      </c>
      <c r="W88" s="676">
        <f t="shared" si="21"/>
        <v>3000</v>
      </c>
    </row>
    <row r="89" spans="2:23" ht="16">
      <c r="B89" s="674" t="s">
        <v>452</v>
      </c>
      <c r="C89" s="173"/>
      <c r="D89" s="87"/>
      <c r="E89" s="88"/>
      <c r="I89" s="77"/>
      <c r="J89" s="77"/>
      <c r="K89" s="77"/>
      <c r="L89" s="676">
        <f t="shared" ref="L89:W89" si="22">L24-K24+L48-K48</f>
        <v>4000</v>
      </c>
      <c r="M89" s="676">
        <f t="shared" si="22"/>
        <v>4000</v>
      </c>
      <c r="N89" s="676">
        <f t="shared" si="22"/>
        <v>4000</v>
      </c>
      <c r="O89" s="676">
        <f t="shared" si="22"/>
        <v>8000</v>
      </c>
      <c r="P89" s="676">
        <f t="shared" si="22"/>
        <v>4000</v>
      </c>
      <c r="Q89" s="676">
        <f t="shared" si="22"/>
        <v>0</v>
      </c>
      <c r="R89" s="676">
        <f t="shared" si="22"/>
        <v>0</v>
      </c>
      <c r="S89" s="676">
        <f t="shared" si="22"/>
        <v>0</v>
      </c>
      <c r="T89" s="676">
        <f t="shared" si="22"/>
        <v>0</v>
      </c>
      <c r="U89" s="676">
        <f t="shared" si="22"/>
        <v>0</v>
      </c>
      <c r="V89" s="676">
        <f t="shared" si="22"/>
        <v>0</v>
      </c>
      <c r="W89" s="676">
        <f t="shared" si="22"/>
        <v>0</v>
      </c>
    </row>
    <row r="90" spans="2:23" ht="16">
      <c r="B90" s="89"/>
      <c r="C90" s="173"/>
      <c r="D90" s="87"/>
      <c r="E90" s="88"/>
      <c r="I90" s="77"/>
      <c r="J90" s="77"/>
      <c r="K90" s="77"/>
      <c r="L90" s="8"/>
      <c r="M90" s="8"/>
      <c r="N90" s="8"/>
      <c r="O90" s="8"/>
      <c r="Q90" s="8"/>
      <c r="R90" s="8"/>
      <c r="S90" s="8"/>
      <c r="T90" s="8"/>
      <c r="U90" s="8"/>
      <c r="V90" s="8"/>
      <c r="W90" s="8"/>
    </row>
    <row r="91" spans="2:23" ht="16">
      <c r="B91" s="93" t="s">
        <v>442</v>
      </c>
      <c r="C91" s="173"/>
      <c r="D91" s="87"/>
      <c r="E91" s="88"/>
      <c r="I91" s="77"/>
      <c r="J91" s="77"/>
      <c r="K91" s="77"/>
      <c r="M91" s="8"/>
      <c r="N91" s="8"/>
      <c r="O91" s="8"/>
      <c r="Q91" s="8"/>
      <c r="R91" s="8"/>
      <c r="S91" s="8"/>
      <c r="T91" s="8"/>
      <c r="U91" s="8"/>
      <c r="V91" s="8"/>
      <c r="W91" s="8"/>
    </row>
    <row r="92" spans="2:23" ht="16">
      <c r="B92" s="674" t="s">
        <v>433</v>
      </c>
      <c r="C92" s="173"/>
      <c r="D92" s="87"/>
      <c r="E92" s="88"/>
      <c r="I92" s="77"/>
      <c r="J92" s="77"/>
      <c r="K92" s="77">
        <f>K22-J22</f>
        <v>0</v>
      </c>
      <c r="L92" s="676">
        <f>L28-K22+L52-K52</f>
        <v>4000</v>
      </c>
      <c r="M92" s="676">
        <f t="shared" ref="M92:W92" si="23">M28-L28+M52-L52</f>
        <v>0</v>
      </c>
      <c r="N92" s="676">
        <f t="shared" si="23"/>
        <v>0</v>
      </c>
      <c r="O92" s="676">
        <f t="shared" si="23"/>
        <v>0</v>
      </c>
      <c r="P92" s="676">
        <f t="shared" si="23"/>
        <v>0</v>
      </c>
      <c r="Q92" s="676">
        <f t="shared" si="23"/>
        <v>0</v>
      </c>
      <c r="R92" s="676">
        <f t="shared" si="23"/>
        <v>0</v>
      </c>
      <c r="S92" s="676">
        <f t="shared" si="23"/>
        <v>0</v>
      </c>
      <c r="T92" s="676">
        <f t="shared" si="23"/>
        <v>0</v>
      </c>
      <c r="U92" s="676">
        <f t="shared" si="23"/>
        <v>0</v>
      </c>
      <c r="V92" s="676">
        <f t="shared" si="23"/>
        <v>2000</v>
      </c>
      <c r="W92" s="676">
        <f t="shared" si="23"/>
        <v>0</v>
      </c>
    </row>
    <row r="93" spans="2:23" ht="16">
      <c r="B93" s="674" t="s">
        <v>432</v>
      </c>
      <c r="C93" s="173"/>
      <c r="D93" s="87"/>
      <c r="E93" s="88"/>
      <c r="I93" s="77"/>
      <c r="J93" s="77"/>
      <c r="K93" s="77">
        <f>K31-J31</f>
        <v>0</v>
      </c>
      <c r="L93" s="676">
        <f>L29-K23+L53-K53+L58-K58</f>
        <v>2000</v>
      </c>
      <c r="M93" s="676">
        <f t="shared" ref="M93:W93" si="24">M29-L29+M53-L53+M58-L58</f>
        <v>6000</v>
      </c>
      <c r="N93" s="676">
        <f t="shared" si="24"/>
        <v>2000</v>
      </c>
      <c r="O93" s="676">
        <f t="shared" si="24"/>
        <v>2000</v>
      </c>
      <c r="P93" s="676">
        <f t="shared" si="24"/>
        <v>2000</v>
      </c>
      <c r="Q93" s="676">
        <f t="shared" si="24"/>
        <v>6000</v>
      </c>
      <c r="R93" s="676">
        <f t="shared" si="24"/>
        <v>4000</v>
      </c>
      <c r="S93" s="676">
        <f t="shared" si="24"/>
        <v>4000</v>
      </c>
      <c r="T93" s="676">
        <f t="shared" si="24"/>
        <v>2000</v>
      </c>
      <c r="U93" s="676">
        <f t="shared" si="24"/>
        <v>2000</v>
      </c>
      <c r="V93" s="676">
        <f t="shared" si="24"/>
        <v>0</v>
      </c>
      <c r="W93" s="676">
        <f t="shared" si="24"/>
        <v>2000</v>
      </c>
    </row>
    <row r="94" spans="2:23" ht="16">
      <c r="B94" s="674" t="s">
        <v>452</v>
      </c>
      <c r="C94" s="173"/>
      <c r="D94" s="87"/>
      <c r="E94" s="88"/>
      <c r="I94" s="77"/>
      <c r="J94" s="77"/>
      <c r="K94" s="77"/>
      <c r="L94" s="676">
        <f>L30-K24+L54-K54</f>
        <v>2000</v>
      </c>
      <c r="M94" s="676">
        <f t="shared" ref="M94:W94" si="25">M30-L30+M54-L54</f>
        <v>2000</v>
      </c>
      <c r="N94" s="676">
        <f t="shared" si="25"/>
        <v>2000</v>
      </c>
      <c r="O94" s="676">
        <f t="shared" si="25"/>
        <v>4000</v>
      </c>
      <c r="P94" s="676">
        <f t="shared" si="25"/>
        <v>2000</v>
      </c>
      <c r="Q94" s="676">
        <f t="shared" si="25"/>
        <v>2000</v>
      </c>
      <c r="R94" s="676">
        <f t="shared" si="25"/>
        <v>2000</v>
      </c>
      <c r="S94" s="676">
        <f t="shared" si="25"/>
        <v>2000</v>
      </c>
      <c r="T94" s="676">
        <f t="shared" si="25"/>
        <v>4000</v>
      </c>
      <c r="U94" s="676">
        <f t="shared" si="25"/>
        <v>0</v>
      </c>
      <c r="V94" s="676">
        <f t="shared" si="25"/>
        <v>0</v>
      </c>
      <c r="W94" s="676">
        <f t="shared" si="25"/>
        <v>0</v>
      </c>
    </row>
    <row r="95" spans="2:23" ht="16">
      <c r="B95" s="89"/>
      <c r="C95" s="173"/>
      <c r="D95" s="87"/>
      <c r="E95" s="88"/>
      <c r="I95" s="77"/>
      <c r="J95" s="77"/>
      <c r="K95" s="77"/>
      <c r="L95" s="168"/>
      <c r="M95" s="168"/>
      <c r="N95" s="168"/>
      <c r="O95" s="168"/>
      <c r="Q95" s="168"/>
      <c r="R95" s="168"/>
      <c r="S95" s="168"/>
      <c r="T95" s="168"/>
      <c r="U95" s="168"/>
      <c r="V95" s="168"/>
      <c r="W95" s="168"/>
    </row>
    <row r="96" spans="2:23" ht="16">
      <c r="E96" s="88"/>
      <c r="I96" s="77"/>
      <c r="J96" s="77"/>
      <c r="K96" s="77"/>
      <c r="L96" s="168"/>
      <c r="M96" s="168"/>
      <c r="N96" s="168"/>
      <c r="O96" s="168"/>
      <c r="Q96" s="168"/>
      <c r="R96" s="168"/>
      <c r="S96" s="168"/>
      <c r="T96" s="168"/>
      <c r="U96" s="168"/>
      <c r="V96" s="168"/>
      <c r="W96" s="168"/>
    </row>
    <row r="97" spans="2:23" ht="16">
      <c r="E97" s="88"/>
      <c r="I97" s="77"/>
      <c r="J97" s="77"/>
      <c r="K97" s="77"/>
      <c r="L97" s="168"/>
      <c r="M97" s="168"/>
      <c r="N97" s="168"/>
      <c r="O97" s="168"/>
      <c r="Q97" s="168"/>
      <c r="R97" s="168"/>
      <c r="S97" s="168"/>
      <c r="T97" s="168"/>
      <c r="U97" s="168"/>
      <c r="V97" s="168"/>
      <c r="W97" s="168"/>
    </row>
    <row r="98" spans="2:23" ht="16">
      <c r="E98" s="88"/>
      <c r="I98" s="77"/>
      <c r="J98" s="77"/>
      <c r="K98" s="77"/>
      <c r="L98" s="168"/>
      <c r="M98" s="168"/>
      <c r="N98" s="168"/>
      <c r="O98" s="168"/>
      <c r="Q98" s="168"/>
      <c r="R98" s="168"/>
      <c r="S98" s="168"/>
      <c r="T98" s="168"/>
      <c r="U98" s="168"/>
      <c r="V98" s="168"/>
      <c r="W98" s="168"/>
    </row>
    <row r="99" spans="2:23" ht="16">
      <c r="E99" s="88"/>
      <c r="I99" s="77"/>
      <c r="J99" s="77"/>
      <c r="K99" s="77"/>
      <c r="L99" s="168"/>
      <c r="M99" s="168"/>
      <c r="N99" s="168"/>
      <c r="O99" s="168"/>
      <c r="Q99" s="168"/>
      <c r="R99" s="168"/>
      <c r="S99" s="168"/>
      <c r="T99" s="168"/>
      <c r="U99" s="168"/>
      <c r="V99" s="168"/>
      <c r="W99" s="168"/>
    </row>
    <row r="100" spans="2:23" ht="16">
      <c r="B100" s="89"/>
      <c r="C100" s="173"/>
      <c r="D100" s="87"/>
      <c r="E100" s="88"/>
      <c r="I100" s="77"/>
      <c r="J100" s="77"/>
      <c r="K100" s="77"/>
      <c r="L100" s="168"/>
      <c r="M100" s="168"/>
      <c r="N100" s="168"/>
      <c r="O100" s="168"/>
      <c r="Q100" s="168"/>
      <c r="R100" s="168"/>
      <c r="S100" s="168"/>
      <c r="T100" s="168"/>
      <c r="U100" s="168"/>
      <c r="V100" s="168"/>
      <c r="W100" s="168"/>
    </row>
    <row r="101" spans="2:23" ht="16">
      <c r="B101" s="89" t="s">
        <v>69</v>
      </c>
      <c r="C101" s="173"/>
      <c r="D101" s="87"/>
      <c r="E101" s="88"/>
      <c r="I101" s="77"/>
      <c r="J101" s="77"/>
      <c r="K101" s="77"/>
      <c r="L101" s="168"/>
      <c r="M101" s="168"/>
      <c r="N101" s="168"/>
      <c r="O101" s="168"/>
      <c r="Q101" s="168"/>
      <c r="R101" s="168"/>
      <c r="S101" s="168"/>
      <c r="T101" s="168"/>
      <c r="U101" s="168"/>
      <c r="V101" s="168"/>
      <c r="W101" s="168"/>
    </row>
    <row r="102" spans="2:23" ht="16">
      <c r="B102" s="92" t="s">
        <v>102</v>
      </c>
      <c r="C102" s="173"/>
      <c r="D102" s="87"/>
      <c r="E102" s="88"/>
      <c r="I102" s="77"/>
      <c r="J102" s="77"/>
      <c r="K102" s="77"/>
      <c r="L102" s="679">
        <f t="shared" ref="L102:W102" si="26">(L82*H100CapEx)+(L83*H200Capex)+(L84*BlackwellCapex)</f>
        <v>512000</v>
      </c>
      <c r="M102" s="679">
        <f t="shared" si="26"/>
        <v>552000</v>
      </c>
      <c r="N102" s="679">
        <f t="shared" si="26"/>
        <v>388000</v>
      </c>
      <c r="O102" s="679">
        <f t="shared" si="26"/>
        <v>572000</v>
      </c>
      <c r="P102" s="679">
        <f t="shared" si="26"/>
        <v>328000</v>
      </c>
      <c r="Q102" s="679">
        <f t="shared" si="26"/>
        <v>82000</v>
      </c>
      <c r="R102" s="679">
        <f t="shared" si="26"/>
        <v>82000</v>
      </c>
      <c r="S102" s="679">
        <f t="shared" si="26"/>
        <v>82000</v>
      </c>
      <c r="T102" s="679">
        <f t="shared" si="26"/>
        <v>82000</v>
      </c>
      <c r="U102" s="679">
        <f t="shared" si="26"/>
        <v>246000</v>
      </c>
      <c r="V102" s="679">
        <f t="shared" si="26"/>
        <v>184000</v>
      </c>
      <c r="W102" s="679">
        <f t="shared" si="26"/>
        <v>184000</v>
      </c>
    </row>
    <row r="103" spans="2:23" ht="16">
      <c r="B103" s="92" t="s">
        <v>100</v>
      </c>
      <c r="C103" s="173"/>
      <c r="D103" s="87"/>
      <c r="E103" s="88"/>
      <c r="I103" s="77"/>
      <c r="J103" s="77"/>
      <c r="K103" s="77"/>
      <c r="L103" s="679">
        <f t="shared" ref="L103:W103" si="27">(L87*H100CapEx)+(L88*H200Capex)+(L89*BlackwellCapex)</f>
        <v>410000</v>
      </c>
      <c r="M103" s="679">
        <f t="shared" si="27"/>
        <v>450000</v>
      </c>
      <c r="N103" s="679">
        <f t="shared" si="27"/>
        <v>286000</v>
      </c>
      <c r="O103" s="679">
        <f t="shared" si="27"/>
        <v>490000</v>
      </c>
      <c r="P103" s="679">
        <f t="shared" si="27"/>
        <v>286000</v>
      </c>
      <c r="Q103" s="679">
        <f t="shared" si="27"/>
        <v>246000</v>
      </c>
      <c r="R103" s="679">
        <f t="shared" si="27"/>
        <v>164000</v>
      </c>
      <c r="S103" s="679">
        <f t="shared" si="27"/>
        <v>164000</v>
      </c>
      <c r="T103" s="679">
        <f t="shared" si="27"/>
        <v>82000</v>
      </c>
      <c r="U103" s="679">
        <f t="shared" si="27"/>
        <v>268000</v>
      </c>
      <c r="V103" s="679">
        <f t="shared" si="27"/>
        <v>246000</v>
      </c>
      <c r="W103" s="679">
        <f t="shared" si="27"/>
        <v>123000</v>
      </c>
    </row>
    <row r="104" spans="2:23" ht="16">
      <c r="B104" s="92" t="s">
        <v>103</v>
      </c>
      <c r="C104" s="173"/>
      <c r="D104" s="87"/>
      <c r="E104" s="88"/>
      <c r="I104" s="77"/>
      <c r="J104" s="77"/>
      <c r="K104" s="77"/>
      <c r="L104" s="679">
        <f t="shared" ref="L104:W104" si="28">(L92*H100CapEx)+(L93*H200Capex)+(L94*BlackwellCapex)</f>
        <v>308000</v>
      </c>
      <c r="M104" s="679">
        <f t="shared" si="28"/>
        <v>348000</v>
      </c>
      <c r="N104" s="679">
        <f t="shared" si="28"/>
        <v>184000</v>
      </c>
      <c r="O104" s="679">
        <f t="shared" si="28"/>
        <v>286000</v>
      </c>
      <c r="P104" s="679">
        <f t="shared" si="28"/>
        <v>184000</v>
      </c>
      <c r="Q104" s="679">
        <f t="shared" si="28"/>
        <v>348000</v>
      </c>
      <c r="R104" s="679">
        <f t="shared" si="28"/>
        <v>266000</v>
      </c>
      <c r="S104" s="679">
        <f t="shared" si="28"/>
        <v>266000</v>
      </c>
      <c r="T104" s="679">
        <f t="shared" si="28"/>
        <v>286000</v>
      </c>
      <c r="U104" s="679">
        <f t="shared" si="28"/>
        <v>82000</v>
      </c>
      <c r="V104" s="679">
        <f t="shared" si="28"/>
        <v>62000</v>
      </c>
      <c r="W104" s="679">
        <f t="shared" si="28"/>
        <v>82000</v>
      </c>
    </row>
    <row r="105" spans="2:23" ht="16">
      <c r="B105" s="89" t="s">
        <v>438</v>
      </c>
      <c r="C105" s="173"/>
      <c r="D105" s="87"/>
      <c r="E105" s="88"/>
      <c r="I105" s="77"/>
      <c r="J105" s="77"/>
      <c r="K105" s="77"/>
      <c r="L105" s="46">
        <f>INDEX($L$102:$W$104,MATCH(Scenario,$B$102:$B$104,0),1)</f>
        <v>410000</v>
      </c>
      <c r="M105" s="46">
        <f>INDEX($L$102:$W$104,MATCH(Scenario,$B$102:$B$104,0),2)</f>
        <v>450000</v>
      </c>
      <c r="N105" s="46">
        <f>INDEX($L$102:$W$104,MATCH(Scenario,$B$102:$B$104,0),3)</f>
        <v>286000</v>
      </c>
      <c r="O105" s="46">
        <f>INDEX($L$102:$W$104,MATCH(Scenario,$B$102:$B$104,0),4)</f>
        <v>490000</v>
      </c>
      <c r="P105" s="46">
        <f>INDEX($L$102:$W$104,MATCH(Scenario,$B$102:$B$104,0),5)</f>
        <v>286000</v>
      </c>
      <c r="Q105" s="46">
        <f>INDEX($L$102:$W$104,MATCH(Scenario,$B$102:$B$104,0),6)</f>
        <v>246000</v>
      </c>
      <c r="R105" s="46">
        <f>INDEX($L$102:$W$104,MATCH(Scenario,$B$102:$B$104,0),7)</f>
        <v>164000</v>
      </c>
      <c r="S105" s="46">
        <f>INDEX($L$102:$W$104,MATCH(Scenario,$B$102:$B$104,0),8)</f>
        <v>164000</v>
      </c>
      <c r="T105" s="46">
        <f>INDEX($L$102:$W$104,MATCH(Scenario,$B$102:$B$104,0),9)</f>
        <v>82000</v>
      </c>
      <c r="U105" s="46">
        <f>INDEX($L$102:$W$104,MATCH(Scenario,$B$102:$B$104,0),10)</f>
        <v>268000</v>
      </c>
      <c r="V105" s="46">
        <f>INDEX($L$102:$W$104,MATCH(Scenario,$B$102:$B$104,0),11)</f>
        <v>246000</v>
      </c>
      <c r="W105" s="46">
        <f>INDEX($L$102:$W$104,MATCH(Scenario,$B$102:$B$104,0),12)</f>
        <v>123000</v>
      </c>
    </row>
    <row r="106" spans="2:23" ht="16">
      <c r="B106" s="89"/>
      <c r="C106" s="173"/>
      <c r="D106" s="87"/>
      <c r="E106" s="88"/>
      <c r="I106" s="77"/>
      <c r="J106" s="77"/>
      <c r="K106" s="77"/>
      <c r="L106" s="168"/>
      <c r="M106" s="168"/>
      <c r="N106" s="168"/>
      <c r="O106" s="168"/>
      <c r="Q106" s="168"/>
      <c r="R106" s="168"/>
      <c r="S106" s="168"/>
      <c r="T106" s="168"/>
      <c r="U106" s="168"/>
      <c r="V106" s="168"/>
      <c r="W106" s="168"/>
    </row>
    <row r="107" spans="2:23" ht="16">
      <c r="B107" s="666"/>
      <c r="C107" s="666"/>
      <c r="D107" s="666"/>
      <c r="E107" s="666"/>
      <c r="F107" s="666"/>
      <c r="G107" s="666"/>
      <c r="H107" s="667"/>
      <c r="I107" s="667"/>
      <c r="J107" s="668"/>
      <c r="K107" s="669"/>
      <c r="L107" s="667"/>
      <c r="M107" s="667"/>
      <c r="N107" s="667"/>
      <c r="O107" s="667"/>
      <c r="P107" s="667"/>
      <c r="Q107" s="667"/>
      <c r="R107" s="667"/>
      <c r="S107" s="667"/>
      <c r="T107" s="667"/>
      <c r="U107" s="667"/>
      <c r="V107" s="667"/>
      <c r="W107" s="667"/>
    </row>
    <row r="108" spans="2:23" ht="16">
      <c r="B108" s="670" t="s">
        <v>446</v>
      </c>
      <c r="C108" s="671" t="s">
        <v>21</v>
      </c>
      <c r="D108" s="666"/>
      <c r="E108" s="672"/>
      <c r="F108" s="672"/>
      <c r="G108" s="672"/>
      <c r="H108" s="672" t="str">
        <f>Model!F86</f>
        <v>Q1</v>
      </c>
      <c r="I108" s="672" t="str">
        <f>Model!G86</f>
        <v>Q2</v>
      </c>
      <c r="J108" s="672" t="str">
        <f>Model!H86</f>
        <v>Q3</v>
      </c>
      <c r="K108" s="673" t="str">
        <f>Model!I19</f>
        <v>Q4</v>
      </c>
      <c r="L108" s="672" t="str">
        <f>Model!J19</f>
        <v>Q1-25</v>
      </c>
      <c r="M108" s="672" t="str">
        <f>Model!K19</f>
        <v>Q2-25</v>
      </c>
      <c r="N108" s="672" t="str">
        <f>Model!L19</f>
        <v>Q3-25</v>
      </c>
      <c r="O108" s="672" t="str">
        <f>Model!M19</f>
        <v>Q4-25</v>
      </c>
      <c r="P108" s="672" t="str">
        <f>Model!N19</f>
        <v>Q1-26</v>
      </c>
      <c r="Q108" s="672" t="str">
        <f>Model!O19</f>
        <v>Q2-26</v>
      </c>
      <c r="R108" s="672" t="str">
        <f>Model!P19</f>
        <v>Q3-26</v>
      </c>
      <c r="S108" s="672" t="str">
        <f>Model!Q19</f>
        <v>Q4-26</v>
      </c>
      <c r="T108" s="672" t="str">
        <f>Model!R19</f>
        <v>Q1-27</v>
      </c>
      <c r="U108" s="672" t="str">
        <f>Model!S19</f>
        <v>Q2-27</v>
      </c>
      <c r="V108" s="672" t="str">
        <f>Model!T19</f>
        <v>Q3-27</v>
      </c>
      <c r="W108" s="672" t="str">
        <f>Model!U19</f>
        <v>Q4-27</v>
      </c>
    </row>
    <row r="109" spans="2:23" ht="16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2:23" ht="16">
      <c r="B110" s="60" t="s">
        <v>69</v>
      </c>
      <c r="C110" s="61" t="s">
        <v>158</v>
      </c>
      <c r="D110" s="8"/>
      <c r="E110" s="62"/>
      <c r="F110" s="62"/>
      <c r="G110" s="62"/>
      <c r="H110" s="62"/>
      <c r="I110" s="62">
        <v>155505.19</v>
      </c>
      <c r="J110" s="62">
        <v>192300</v>
      </c>
      <c r="K110" s="63">
        <v>387000</v>
      </c>
      <c r="L110" s="63">
        <f t="shared" ref="L110:W110" si="29">L105</f>
        <v>410000</v>
      </c>
      <c r="M110" s="63">
        <f t="shared" si="29"/>
        <v>450000</v>
      </c>
      <c r="N110" s="63">
        <f t="shared" si="29"/>
        <v>286000</v>
      </c>
      <c r="O110" s="63">
        <f t="shared" si="29"/>
        <v>490000</v>
      </c>
      <c r="P110" s="63">
        <f t="shared" si="29"/>
        <v>286000</v>
      </c>
      <c r="Q110" s="63">
        <f t="shared" si="29"/>
        <v>246000</v>
      </c>
      <c r="R110" s="63">
        <f t="shared" si="29"/>
        <v>164000</v>
      </c>
      <c r="S110" s="63">
        <f t="shared" si="29"/>
        <v>164000</v>
      </c>
      <c r="T110" s="63">
        <f t="shared" si="29"/>
        <v>82000</v>
      </c>
      <c r="U110" s="63">
        <f t="shared" si="29"/>
        <v>268000</v>
      </c>
      <c r="V110" s="63">
        <f t="shared" si="29"/>
        <v>246000</v>
      </c>
      <c r="W110" s="63">
        <f t="shared" si="29"/>
        <v>123000</v>
      </c>
    </row>
    <row r="111" spans="2:23" ht="16">
      <c r="B111" s="65"/>
      <c r="C111" s="61"/>
      <c r="D111" s="8"/>
      <c r="E111" s="64"/>
      <c r="F111" s="67"/>
      <c r="G111" s="67"/>
      <c r="H111" s="67"/>
      <c r="I111" s="67"/>
      <c r="J111" s="67"/>
      <c r="K111" s="66"/>
      <c r="L111" s="68"/>
      <c r="M111" s="66"/>
      <c r="N111" s="66"/>
      <c r="O111" s="66"/>
      <c r="P111" s="8"/>
      <c r="Q111" s="170"/>
      <c r="R111" s="8"/>
      <c r="S111" s="8"/>
      <c r="T111" s="8"/>
    </row>
    <row r="112" spans="2:23" ht="16">
      <c r="B112" s="65" t="s">
        <v>72</v>
      </c>
      <c r="C112" s="61" t="s">
        <v>158</v>
      </c>
      <c r="D112" s="69"/>
      <c r="E112" s="70"/>
      <c r="F112" s="70"/>
      <c r="G112" s="70"/>
      <c r="H112" s="70">
        <v>194194.81</v>
      </c>
      <c r="I112" s="70">
        <v>338200</v>
      </c>
      <c r="J112" s="70">
        <v>507000</v>
      </c>
      <c r="K112" s="63">
        <f>J112+K110-K132</f>
        <v>874348.15533167031</v>
      </c>
      <c r="L112" s="63">
        <f t="shared" ref="L112:W112" si="30">K112+L110-L132</f>
        <v>1253363.8106633406</v>
      </c>
      <c r="M112" s="63">
        <f t="shared" si="30"/>
        <v>1660871.9659950109</v>
      </c>
      <c r="N112" s="63">
        <f t="shared" si="30"/>
        <v>1898917.6213266812</v>
      </c>
      <c r="O112" s="63">
        <f t="shared" si="30"/>
        <v>2330095.7766583515</v>
      </c>
      <c r="P112" s="63">
        <f t="shared" si="30"/>
        <v>2552783.9319900218</v>
      </c>
      <c r="Q112" s="63">
        <f t="shared" si="30"/>
        <v>2731872.0873216921</v>
      </c>
      <c r="R112" s="63">
        <f t="shared" si="30"/>
        <v>2827310.2426533625</v>
      </c>
      <c r="S112" s="63">
        <f t="shared" si="30"/>
        <v>2920793.3979850328</v>
      </c>
      <c r="T112" s="63">
        <f t="shared" si="30"/>
        <v>2931966.5533167031</v>
      </c>
      <c r="U112" s="63">
        <f t="shared" si="30"/>
        <v>3122739.7086483734</v>
      </c>
      <c r="V112" s="63">
        <f t="shared" si="30"/>
        <v>3285827.8639800437</v>
      </c>
      <c r="W112" s="63">
        <f t="shared" si="30"/>
        <v>3324126.019311714</v>
      </c>
    </row>
    <row r="113" spans="2:23" ht="16">
      <c r="B113" s="71"/>
      <c r="C113" s="61"/>
      <c r="D113" s="8"/>
      <c r="E113" s="67"/>
      <c r="F113" s="67"/>
      <c r="G113" s="67"/>
      <c r="H113" s="67"/>
      <c r="I113" s="67"/>
      <c r="J113" s="72"/>
      <c r="K113" s="72"/>
      <c r="L113" s="72"/>
      <c r="M113" s="72"/>
      <c r="N113" s="72"/>
      <c r="O113" s="72"/>
      <c r="P113" s="8"/>
      <c r="Q113" s="8"/>
      <c r="R113" s="8"/>
      <c r="S113" s="8"/>
      <c r="T113" s="8"/>
    </row>
    <row r="114" spans="2:23" ht="16">
      <c r="B114" s="73" t="s">
        <v>73</v>
      </c>
      <c r="C114" s="61" t="s">
        <v>71</v>
      </c>
      <c r="D114" s="8"/>
      <c r="E114" s="74"/>
      <c r="F114" s="74"/>
      <c r="G114" s="74"/>
      <c r="H114" s="74">
        <f>H117/H112</f>
        <v>4.5103162128792215E-2</v>
      </c>
      <c r="I114" s="74">
        <f>I117/I112</f>
        <v>3.4003548196333527E-2</v>
      </c>
      <c r="J114" s="74">
        <f>J117/J112</f>
        <v>4.6351084812623275E-2</v>
      </c>
      <c r="K114" s="75">
        <f>AVERAGE(H114:J114)</f>
        <v>4.1819265045916341E-2</v>
      </c>
      <c r="L114" s="75">
        <v>4.1819265045916341E-2</v>
      </c>
      <c r="M114" s="75">
        <v>4.1819265045916341E-2</v>
      </c>
      <c r="N114" s="75">
        <v>4.1819265045916341E-2</v>
      </c>
      <c r="O114" s="75">
        <v>4.1819265045916341E-2</v>
      </c>
      <c r="P114" s="75">
        <v>4.1819265045916341E-2</v>
      </c>
      <c r="Q114" s="75">
        <v>4.1819265045916341E-2</v>
      </c>
      <c r="R114" s="75">
        <v>4.1819265045916341E-2</v>
      </c>
      <c r="S114" s="75">
        <v>4.1819265045916341E-2</v>
      </c>
      <c r="T114" s="75">
        <v>4.1819265045916341E-2</v>
      </c>
      <c r="U114" s="75">
        <v>4.1819265045916341E-2</v>
      </c>
      <c r="V114" s="75">
        <v>4.1819265045916341E-2</v>
      </c>
      <c r="W114" s="75">
        <v>4.1819265045916341E-2</v>
      </c>
    </row>
    <row r="115" spans="2:23" ht="16">
      <c r="B115" s="73" t="s">
        <v>74</v>
      </c>
      <c r="C115" s="61" t="s">
        <v>71</v>
      </c>
      <c r="D115" s="8"/>
      <c r="E115" s="66"/>
      <c r="F115" s="66"/>
      <c r="G115" s="66"/>
      <c r="H115" s="66"/>
      <c r="I115" s="66"/>
      <c r="J115" s="66"/>
      <c r="K115" s="677">
        <v>0.03</v>
      </c>
      <c r="L115" s="677">
        <f>K115-0.25%</f>
        <v>2.75E-2</v>
      </c>
      <c r="M115" s="677">
        <f t="shared" ref="M115:O115" si="31">L115-0.25%</f>
        <v>2.5000000000000001E-2</v>
      </c>
      <c r="N115" s="677">
        <f t="shared" si="31"/>
        <v>2.2500000000000003E-2</v>
      </c>
      <c r="O115" s="677">
        <f t="shared" si="31"/>
        <v>2.0000000000000004E-2</v>
      </c>
      <c r="P115" s="677">
        <v>2.0000000000000004E-2</v>
      </c>
      <c r="Q115" s="677">
        <v>2.0000000000000004E-2</v>
      </c>
      <c r="R115" s="677">
        <v>2.0000000000000004E-2</v>
      </c>
      <c r="S115" s="677">
        <v>2.0000000000000004E-2</v>
      </c>
      <c r="T115" s="677">
        <v>2.0000000000000004E-2</v>
      </c>
      <c r="U115" s="677">
        <v>2.0000000000000004E-2</v>
      </c>
      <c r="V115" s="677">
        <v>2.0000000000000004E-2</v>
      </c>
      <c r="W115" s="677">
        <v>2.0000000000000004E-2</v>
      </c>
    </row>
    <row r="116" spans="2:23" ht="16">
      <c r="B116" s="73"/>
      <c r="C116" s="61"/>
      <c r="D116" s="8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8"/>
      <c r="Q116" s="8"/>
      <c r="R116" s="8"/>
      <c r="S116" s="8"/>
      <c r="T116" s="8"/>
    </row>
    <row r="117" spans="2:23" ht="16">
      <c r="B117" s="73" t="s">
        <v>75</v>
      </c>
      <c r="C117" s="61" t="s">
        <v>158</v>
      </c>
      <c r="D117" s="8"/>
      <c r="E117" s="76"/>
      <c r="F117" s="76"/>
      <c r="G117" s="76"/>
      <c r="H117" s="76">
        <v>8758.7999999999993</v>
      </c>
      <c r="I117" s="76">
        <v>11500</v>
      </c>
      <c r="J117" s="76">
        <v>23500</v>
      </c>
      <c r="K117" s="77">
        <f t="shared" ref="K117:W117" si="32">$J$110*K114</f>
        <v>8041.8446683297125</v>
      </c>
      <c r="L117" s="77">
        <f t="shared" si="32"/>
        <v>8041.8446683297125</v>
      </c>
      <c r="M117" s="77">
        <f t="shared" si="32"/>
        <v>8041.8446683297125</v>
      </c>
      <c r="N117" s="77">
        <f t="shared" si="32"/>
        <v>8041.8446683297125</v>
      </c>
      <c r="O117" s="77">
        <f t="shared" si="32"/>
        <v>8041.8446683297125</v>
      </c>
      <c r="P117" s="77">
        <f t="shared" si="32"/>
        <v>8041.8446683297125</v>
      </c>
      <c r="Q117" s="77">
        <f t="shared" si="32"/>
        <v>8041.8446683297125</v>
      </c>
      <c r="R117" s="77">
        <f t="shared" si="32"/>
        <v>8041.8446683297125</v>
      </c>
      <c r="S117" s="77">
        <f t="shared" si="32"/>
        <v>8041.8446683297125</v>
      </c>
      <c r="T117" s="77">
        <f t="shared" si="32"/>
        <v>8041.8446683297125</v>
      </c>
      <c r="U117" s="77">
        <f t="shared" si="32"/>
        <v>8041.8446683297125</v>
      </c>
      <c r="V117" s="77">
        <f t="shared" si="32"/>
        <v>8041.8446683297125</v>
      </c>
      <c r="W117" s="77">
        <f t="shared" si="32"/>
        <v>8041.8446683297125</v>
      </c>
    </row>
    <row r="118" spans="2:23" ht="16">
      <c r="B118" s="73" t="s">
        <v>159</v>
      </c>
      <c r="C118" s="61" t="s">
        <v>158</v>
      </c>
      <c r="D118" s="8"/>
      <c r="E118" s="8"/>
      <c r="F118" s="77"/>
      <c r="G118" s="77"/>
      <c r="H118" s="77"/>
      <c r="I118" s="77"/>
      <c r="J118" s="77"/>
      <c r="K118" s="77">
        <f t="shared" ref="K118:W118" si="33">$K$110*K115</f>
        <v>11610</v>
      </c>
      <c r="L118" s="77">
        <f t="shared" si="33"/>
        <v>10642.5</v>
      </c>
      <c r="M118" s="77">
        <f t="shared" si="33"/>
        <v>9675</v>
      </c>
      <c r="N118" s="77">
        <f t="shared" si="33"/>
        <v>8707.5000000000018</v>
      </c>
      <c r="O118" s="77">
        <f t="shared" si="33"/>
        <v>7740.0000000000018</v>
      </c>
      <c r="P118" s="77">
        <f t="shared" si="33"/>
        <v>7740.0000000000018</v>
      </c>
      <c r="Q118" s="77">
        <f t="shared" si="33"/>
        <v>7740.0000000000018</v>
      </c>
      <c r="R118" s="77">
        <f t="shared" si="33"/>
        <v>7740.0000000000018</v>
      </c>
      <c r="S118" s="77">
        <f t="shared" si="33"/>
        <v>7740.0000000000018</v>
      </c>
      <c r="T118" s="77">
        <f t="shared" si="33"/>
        <v>7740.0000000000018</v>
      </c>
      <c r="U118" s="77">
        <f t="shared" si="33"/>
        <v>7740.0000000000018</v>
      </c>
      <c r="V118" s="77">
        <f t="shared" si="33"/>
        <v>7740.0000000000018</v>
      </c>
      <c r="W118" s="77">
        <f t="shared" si="33"/>
        <v>7740.0000000000018</v>
      </c>
    </row>
    <row r="119" spans="2:23" ht="16">
      <c r="B119" s="73" t="s">
        <v>160</v>
      </c>
      <c r="C119" s="61" t="s">
        <v>158</v>
      </c>
      <c r="D119" s="8"/>
      <c r="E119" s="8"/>
      <c r="F119" s="8"/>
      <c r="G119" s="8"/>
      <c r="H119" s="8"/>
      <c r="I119" s="8"/>
      <c r="J119" s="77"/>
      <c r="K119" s="77"/>
      <c r="L119" s="77">
        <f t="shared" ref="L119:W119" si="34">$L$110*K115</f>
        <v>12300</v>
      </c>
      <c r="M119" s="77">
        <f t="shared" si="34"/>
        <v>11275</v>
      </c>
      <c r="N119" s="77">
        <f t="shared" si="34"/>
        <v>10250</v>
      </c>
      <c r="O119" s="77">
        <f t="shared" si="34"/>
        <v>9225.0000000000018</v>
      </c>
      <c r="P119" s="77">
        <f t="shared" si="34"/>
        <v>8200.0000000000018</v>
      </c>
      <c r="Q119" s="77">
        <f t="shared" si="34"/>
        <v>8200.0000000000018</v>
      </c>
      <c r="R119" s="77">
        <f t="shared" si="34"/>
        <v>8200.0000000000018</v>
      </c>
      <c r="S119" s="77">
        <f t="shared" si="34"/>
        <v>8200.0000000000018</v>
      </c>
      <c r="T119" s="77">
        <f t="shared" si="34"/>
        <v>8200.0000000000018</v>
      </c>
      <c r="U119" s="77">
        <f t="shared" si="34"/>
        <v>8200.0000000000018</v>
      </c>
      <c r="V119" s="77">
        <f t="shared" si="34"/>
        <v>8200.0000000000018</v>
      </c>
      <c r="W119" s="77">
        <f t="shared" si="34"/>
        <v>8200.0000000000018</v>
      </c>
    </row>
    <row r="120" spans="2:23" ht="16">
      <c r="B120" s="73" t="s">
        <v>161</v>
      </c>
      <c r="C120" s="61" t="s">
        <v>158</v>
      </c>
      <c r="D120" s="8"/>
      <c r="E120" s="8"/>
      <c r="F120" s="8"/>
      <c r="G120" s="8"/>
      <c r="H120" s="8"/>
      <c r="I120" s="8"/>
      <c r="J120" s="77"/>
      <c r="K120" s="77"/>
      <c r="L120" s="77"/>
      <c r="M120" s="77">
        <f t="shared" ref="M120:W120" si="35">$M$110*K115</f>
        <v>13500</v>
      </c>
      <c r="N120" s="77">
        <f t="shared" si="35"/>
        <v>12375</v>
      </c>
      <c r="O120" s="77">
        <f t="shared" si="35"/>
        <v>11250</v>
      </c>
      <c r="P120" s="77">
        <f t="shared" si="35"/>
        <v>10125.000000000002</v>
      </c>
      <c r="Q120" s="77">
        <f t="shared" si="35"/>
        <v>9000.0000000000018</v>
      </c>
      <c r="R120" s="77">
        <f t="shared" si="35"/>
        <v>9000.0000000000018</v>
      </c>
      <c r="S120" s="77">
        <f t="shared" si="35"/>
        <v>9000.0000000000018</v>
      </c>
      <c r="T120" s="77">
        <f t="shared" si="35"/>
        <v>9000.0000000000018</v>
      </c>
      <c r="U120" s="77">
        <f t="shared" si="35"/>
        <v>9000.0000000000018</v>
      </c>
      <c r="V120" s="77">
        <f t="shared" si="35"/>
        <v>9000.0000000000018</v>
      </c>
      <c r="W120" s="77">
        <f t="shared" si="35"/>
        <v>9000.0000000000018</v>
      </c>
    </row>
    <row r="121" spans="2:23" ht="16">
      <c r="B121" s="73" t="s">
        <v>162</v>
      </c>
      <c r="C121" s="61" t="s">
        <v>158</v>
      </c>
      <c r="D121" s="8"/>
      <c r="E121" s="8"/>
      <c r="F121" s="8"/>
      <c r="G121" s="8"/>
      <c r="H121" s="8"/>
      <c r="I121" s="8"/>
      <c r="J121" s="77"/>
      <c r="K121" s="77"/>
      <c r="L121" s="77"/>
      <c r="M121" s="77"/>
      <c r="N121" s="77">
        <f t="shared" ref="N121:W121" si="36">$N$110*K115</f>
        <v>8580</v>
      </c>
      <c r="O121" s="77">
        <f t="shared" si="36"/>
        <v>7865</v>
      </c>
      <c r="P121" s="77">
        <f t="shared" si="36"/>
        <v>7150</v>
      </c>
      <c r="Q121" s="77">
        <f t="shared" si="36"/>
        <v>6435.0000000000009</v>
      </c>
      <c r="R121" s="77">
        <f t="shared" si="36"/>
        <v>5720.0000000000009</v>
      </c>
      <c r="S121" s="77">
        <f t="shared" si="36"/>
        <v>5720.0000000000009</v>
      </c>
      <c r="T121" s="77">
        <f t="shared" si="36"/>
        <v>5720.0000000000009</v>
      </c>
      <c r="U121" s="77">
        <f t="shared" si="36"/>
        <v>5720.0000000000009</v>
      </c>
      <c r="V121" s="77">
        <f t="shared" si="36"/>
        <v>5720.0000000000009</v>
      </c>
      <c r="W121" s="77">
        <f t="shared" si="36"/>
        <v>5720.0000000000009</v>
      </c>
    </row>
    <row r="122" spans="2:23" ht="16">
      <c r="B122" s="73" t="s">
        <v>159</v>
      </c>
      <c r="C122" s="61" t="s">
        <v>158</v>
      </c>
      <c r="D122" s="8"/>
      <c r="E122" s="8"/>
      <c r="F122" s="8"/>
      <c r="G122" s="8"/>
      <c r="H122" s="8"/>
      <c r="I122" s="8"/>
      <c r="J122" s="77"/>
      <c r="K122" s="77"/>
      <c r="L122" s="77"/>
      <c r="M122" s="77"/>
      <c r="N122" s="77"/>
      <c r="O122" s="77">
        <f t="shared" ref="O122:W122" si="37">$O$110*K115</f>
        <v>14700</v>
      </c>
      <c r="P122" s="77">
        <f t="shared" si="37"/>
        <v>13475</v>
      </c>
      <c r="Q122" s="77">
        <f t="shared" si="37"/>
        <v>12250</v>
      </c>
      <c r="R122" s="77">
        <f t="shared" si="37"/>
        <v>11025.000000000002</v>
      </c>
      <c r="S122" s="77">
        <f t="shared" si="37"/>
        <v>9800.0000000000018</v>
      </c>
      <c r="T122" s="77">
        <f t="shared" si="37"/>
        <v>9800.0000000000018</v>
      </c>
      <c r="U122" s="77">
        <f t="shared" si="37"/>
        <v>9800.0000000000018</v>
      </c>
      <c r="V122" s="77">
        <f t="shared" si="37"/>
        <v>9800.0000000000018</v>
      </c>
      <c r="W122" s="77">
        <f t="shared" si="37"/>
        <v>9800.0000000000018</v>
      </c>
    </row>
    <row r="123" spans="2:23" ht="16">
      <c r="B123" s="73" t="s">
        <v>160</v>
      </c>
      <c r="C123" s="61" t="s">
        <v>158</v>
      </c>
      <c r="D123" s="8"/>
      <c r="E123" s="8"/>
      <c r="F123" s="8"/>
      <c r="G123" s="8"/>
      <c r="H123" s="8"/>
      <c r="I123" s="8"/>
      <c r="J123" s="77"/>
      <c r="K123" s="77"/>
      <c r="L123" s="77"/>
      <c r="M123" s="77"/>
      <c r="N123" s="77"/>
      <c r="O123" s="77"/>
      <c r="P123" s="77">
        <f t="shared" ref="P123:W123" si="38">$P$110*K115</f>
        <v>8580</v>
      </c>
      <c r="Q123" s="77">
        <f t="shared" si="38"/>
        <v>7865</v>
      </c>
      <c r="R123" s="77">
        <f t="shared" si="38"/>
        <v>7150</v>
      </c>
      <c r="S123" s="77">
        <f t="shared" si="38"/>
        <v>6435.0000000000009</v>
      </c>
      <c r="T123" s="77">
        <f t="shared" si="38"/>
        <v>5720.0000000000009</v>
      </c>
      <c r="U123" s="77">
        <f t="shared" si="38"/>
        <v>5720.0000000000009</v>
      </c>
      <c r="V123" s="77">
        <f t="shared" si="38"/>
        <v>5720.0000000000009</v>
      </c>
      <c r="W123" s="77">
        <f t="shared" si="38"/>
        <v>5720.0000000000009</v>
      </c>
    </row>
    <row r="124" spans="2:23" ht="16">
      <c r="B124" s="73" t="s">
        <v>161</v>
      </c>
      <c r="C124" s="61" t="s">
        <v>158</v>
      </c>
      <c r="D124" s="8"/>
      <c r="E124" s="8"/>
      <c r="F124" s="8"/>
      <c r="G124" s="8"/>
      <c r="H124" s="8"/>
      <c r="I124" s="8"/>
      <c r="J124" s="77"/>
      <c r="K124" s="77"/>
      <c r="L124" s="77"/>
      <c r="M124" s="77"/>
      <c r="N124" s="77"/>
      <c r="O124" s="77"/>
      <c r="P124" s="8"/>
      <c r="Q124" s="77">
        <f t="shared" ref="Q124:W124" si="39">$Q$110*K115</f>
        <v>7380</v>
      </c>
      <c r="R124" s="77">
        <f t="shared" si="39"/>
        <v>6765</v>
      </c>
      <c r="S124" s="77">
        <f t="shared" si="39"/>
        <v>6150</v>
      </c>
      <c r="T124" s="77">
        <f t="shared" si="39"/>
        <v>5535.0000000000009</v>
      </c>
      <c r="U124" s="77">
        <f t="shared" si="39"/>
        <v>4920.0000000000009</v>
      </c>
      <c r="V124" s="77">
        <f t="shared" si="39"/>
        <v>4920.0000000000009</v>
      </c>
      <c r="W124" s="77">
        <f t="shared" si="39"/>
        <v>4920.0000000000009</v>
      </c>
    </row>
    <row r="125" spans="2:23" ht="16">
      <c r="B125" s="73" t="s">
        <v>162</v>
      </c>
      <c r="C125" s="61" t="s">
        <v>158</v>
      </c>
      <c r="D125" s="8"/>
      <c r="E125" s="8"/>
      <c r="F125" s="8"/>
      <c r="G125" s="8"/>
      <c r="H125" s="8"/>
      <c r="I125" s="8"/>
      <c r="J125" s="77"/>
      <c r="K125" s="77"/>
      <c r="L125" s="77"/>
      <c r="M125" s="77"/>
      <c r="N125" s="77"/>
      <c r="O125" s="77"/>
      <c r="P125" s="8"/>
      <c r="Q125" s="8"/>
      <c r="R125" s="77">
        <f t="shared" ref="R125:W125" si="40">$R$110*K115</f>
        <v>4920</v>
      </c>
      <c r="S125" s="77">
        <f t="shared" si="40"/>
        <v>4510</v>
      </c>
      <c r="T125" s="77">
        <f t="shared" si="40"/>
        <v>4100</v>
      </c>
      <c r="U125" s="77">
        <f t="shared" si="40"/>
        <v>3690.0000000000005</v>
      </c>
      <c r="V125" s="77">
        <f t="shared" si="40"/>
        <v>3280.0000000000005</v>
      </c>
      <c r="W125" s="77">
        <f t="shared" si="40"/>
        <v>3280.0000000000005</v>
      </c>
    </row>
    <row r="126" spans="2:23" ht="16">
      <c r="B126" s="73" t="s">
        <v>159</v>
      </c>
      <c r="C126" s="61" t="s">
        <v>158</v>
      </c>
      <c r="D126" s="8"/>
      <c r="E126" s="8"/>
      <c r="F126" s="8"/>
      <c r="G126" s="8"/>
      <c r="H126" s="8"/>
      <c r="I126" s="8"/>
      <c r="J126" s="77"/>
      <c r="K126" s="77"/>
      <c r="L126" s="77"/>
      <c r="M126" s="77"/>
      <c r="N126" s="77"/>
      <c r="O126" s="77"/>
      <c r="P126" s="8"/>
      <c r="Q126" s="8"/>
      <c r="R126" s="8"/>
      <c r="S126" s="77">
        <f>$S$110*K115</f>
        <v>4920</v>
      </c>
      <c r="T126" s="77">
        <f>$S$110*L115</f>
        <v>4510</v>
      </c>
      <c r="U126" s="77">
        <f>$S$110*M115</f>
        <v>4100</v>
      </c>
      <c r="V126" s="77">
        <f>$S$110*N115</f>
        <v>3690.0000000000005</v>
      </c>
      <c r="W126" s="77">
        <f>$S$110*O115</f>
        <v>3280.0000000000005</v>
      </c>
    </row>
    <row r="127" spans="2:23" ht="16">
      <c r="B127" s="73" t="s">
        <v>160</v>
      </c>
      <c r="C127" s="61" t="s">
        <v>158</v>
      </c>
      <c r="D127" s="8"/>
      <c r="E127" s="8"/>
      <c r="F127" s="8"/>
      <c r="G127" s="8"/>
      <c r="H127" s="8"/>
      <c r="I127" s="8"/>
      <c r="J127" s="77"/>
      <c r="K127" s="77"/>
      <c r="L127" s="77"/>
      <c r="N127" s="77"/>
      <c r="O127" s="77"/>
      <c r="P127" s="8"/>
      <c r="Q127" s="8"/>
      <c r="R127" s="8"/>
      <c r="S127" s="8"/>
      <c r="T127" s="77">
        <f>$T$110*K115</f>
        <v>2460</v>
      </c>
      <c r="U127" s="77">
        <f>$T$110*L115</f>
        <v>2255</v>
      </c>
      <c r="V127" s="77">
        <f>$T$110*M115</f>
        <v>2050</v>
      </c>
      <c r="W127" s="77">
        <f>$T$110*N115</f>
        <v>1845.0000000000002</v>
      </c>
    </row>
    <row r="128" spans="2:23" ht="16">
      <c r="B128" s="73" t="s">
        <v>161</v>
      </c>
      <c r="C128" s="61" t="s">
        <v>158</v>
      </c>
      <c r="D128" s="8"/>
      <c r="E128" s="8"/>
      <c r="F128" s="8"/>
      <c r="G128" s="8"/>
      <c r="H128" s="8"/>
      <c r="I128" s="8"/>
      <c r="J128" s="77"/>
      <c r="K128" s="77"/>
      <c r="L128" s="77"/>
      <c r="M128" s="77"/>
      <c r="N128" s="77"/>
      <c r="O128" s="77"/>
      <c r="P128" s="8"/>
      <c r="Q128" s="8"/>
      <c r="R128" s="8"/>
      <c r="S128" s="8"/>
      <c r="T128" s="77"/>
      <c r="U128" s="77">
        <f>$U$110*K115</f>
        <v>8040</v>
      </c>
      <c r="V128" s="77">
        <f>$U$110*L115</f>
        <v>7370</v>
      </c>
      <c r="W128" s="77">
        <f>$U$110*M115</f>
        <v>6700</v>
      </c>
    </row>
    <row r="129" spans="2:23" ht="16">
      <c r="B129" s="73" t="s">
        <v>162</v>
      </c>
      <c r="C129" s="61" t="s">
        <v>158</v>
      </c>
      <c r="D129" s="8"/>
      <c r="E129" s="8"/>
      <c r="F129" s="8"/>
      <c r="G129" s="8"/>
      <c r="H129" s="8"/>
      <c r="I129" s="8"/>
      <c r="J129" s="77"/>
      <c r="K129" s="77"/>
      <c r="L129" s="77"/>
      <c r="M129" s="77"/>
      <c r="N129" s="77"/>
      <c r="O129" s="77"/>
      <c r="P129" s="8"/>
      <c r="Q129" s="8"/>
      <c r="R129" s="8"/>
      <c r="S129" s="8"/>
      <c r="T129" s="77"/>
      <c r="U129" s="77"/>
      <c r="V129" s="77">
        <f>$V$110*K115</f>
        <v>7380</v>
      </c>
      <c r="W129" s="77">
        <f>$V$110*L115</f>
        <v>6765</v>
      </c>
    </row>
    <row r="130" spans="2:23" ht="16">
      <c r="B130" s="73" t="s">
        <v>159</v>
      </c>
      <c r="C130" s="61" t="s">
        <v>158</v>
      </c>
      <c r="D130" s="8"/>
      <c r="E130" s="8"/>
      <c r="F130" s="8"/>
      <c r="G130" s="8"/>
      <c r="H130" s="8"/>
      <c r="I130" s="8"/>
      <c r="J130" s="77"/>
      <c r="K130" s="77"/>
      <c r="L130" s="77"/>
      <c r="M130" s="77"/>
      <c r="N130" s="77"/>
      <c r="O130" s="77"/>
      <c r="P130" s="8"/>
      <c r="Q130" s="8"/>
      <c r="R130" s="8"/>
      <c r="S130" s="8"/>
      <c r="T130" s="77"/>
      <c r="U130" s="77"/>
      <c r="V130" s="77"/>
      <c r="W130" s="77">
        <f>$W$110*K115</f>
        <v>3690</v>
      </c>
    </row>
    <row r="131" spans="2:23" ht="16">
      <c r="B131" s="73"/>
      <c r="C131" s="61"/>
      <c r="D131" s="8"/>
      <c r="E131" s="8"/>
      <c r="F131" s="8"/>
      <c r="G131" s="8"/>
      <c r="H131" s="8"/>
      <c r="I131" s="8"/>
      <c r="J131" s="77"/>
      <c r="K131" s="77"/>
      <c r="L131" s="77"/>
      <c r="M131" s="77"/>
      <c r="N131" s="77"/>
      <c r="O131" s="77"/>
      <c r="P131" s="8"/>
      <c r="Q131" s="8"/>
      <c r="R131" s="8"/>
      <c r="S131" s="8"/>
      <c r="T131" s="77"/>
    </row>
    <row r="132" spans="2:23" ht="16">
      <c r="B132" s="78" t="s">
        <v>76</v>
      </c>
      <c r="C132" s="61" t="s">
        <v>158</v>
      </c>
      <c r="D132" s="8"/>
      <c r="E132" s="79"/>
      <c r="F132" s="79"/>
      <c r="G132" s="79"/>
      <c r="H132" s="79">
        <f>SUM(H117:H131)</f>
        <v>8758.7999999999993</v>
      </c>
      <c r="I132" s="79">
        <f t="shared" ref="I132:W132" si="41">SUM(I117:I131)</f>
        <v>11500</v>
      </c>
      <c r="J132" s="79">
        <f t="shared" si="41"/>
        <v>23500</v>
      </c>
      <c r="K132" s="79">
        <f t="shared" si="41"/>
        <v>19651.844668329712</v>
      </c>
      <c r="L132" s="79">
        <f t="shared" si="41"/>
        <v>30984.344668329712</v>
      </c>
      <c r="M132" s="79">
        <f t="shared" si="41"/>
        <v>42491.844668329708</v>
      </c>
      <c r="N132" s="79">
        <f t="shared" si="41"/>
        <v>47954.344668329715</v>
      </c>
      <c r="O132" s="79">
        <f t="shared" si="41"/>
        <v>58821.844668329715</v>
      </c>
      <c r="P132" s="79">
        <f t="shared" si="41"/>
        <v>63311.844668329715</v>
      </c>
      <c r="Q132" s="79">
        <f t="shared" si="41"/>
        <v>66911.844668329722</v>
      </c>
      <c r="R132" s="79">
        <f t="shared" si="41"/>
        <v>68561.844668329722</v>
      </c>
      <c r="S132" s="79">
        <f t="shared" si="41"/>
        <v>70516.844668329722</v>
      </c>
      <c r="T132" s="79">
        <f t="shared" si="41"/>
        <v>70826.844668329722</v>
      </c>
      <c r="U132" s="79">
        <f t="shared" si="41"/>
        <v>77226.844668329722</v>
      </c>
      <c r="V132" s="79">
        <f t="shared" si="41"/>
        <v>82911.844668329722</v>
      </c>
      <c r="W132" s="79">
        <f t="shared" si="41"/>
        <v>84701.844668329722</v>
      </c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D24B2-CC99-4FAD-81A1-051DD5180741}">
  <dimension ref="A1:W125"/>
  <sheetViews>
    <sheetView showGridLines="0" topLeftCell="A12" zoomScale="58" workbookViewId="0">
      <selection activeCell="D13" sqref="D13"/>
    </sheetView>
  </sheetViews>
  <sheetFormatPr defaultColWidth="8.81640625" defaultRowHeight="16" outlineLevelRow="1" outlineLevelCol="1"/>
  <cols>
    <col min="1" max="2" width="2.7265625" style="8" customWidth="1"/>
    <col min="3" max="3" width="47.7265625" style="8" bestFit="1" customWidth="1"/>
    <col min="4" max="4" width="12.7265625" style="9" customWidth="1"/>
    <col min="5" max="5" width="15.26953125" style="9" bestFit="1" customWidth="1" outlineLevel="1"/>
    <col min="6" max="6" width="12.81640625" style="9" bestFit="1" customWidth="1" outlineLevel="1"/>
    <col min="7" max="7" width="13.54296875" style="8" bestFit="1" customWidth="1" outlineLevel="1"/>
    <col min="8" max="8" width="12.1796875" style="8" bestFit="1" customWidth="1" outlineLevel="1"/>
    <col min="9" max="9" width="13.54296875" style="8" bestFit="1" customWidth="1"/>
    <col min="10" max="10" width="13.7265625" style="8" bestFit="1" customWidth="1"/>
    <col min="11" max="11" width="13.26953125" style="8" bestFit="1" customWidth="1"/>
    <col min="12" max="13" width="11.7265625" style="8" bestFit="1" customWidth="1"/>
    <col min="14" max="14" width="17.6328125" style="8" customWidth="1"/>
    <col min="15" max="20" width="12.54296875" style="8" bestFit="1" customWidth="1"/>
    <col min="21" max="21" width="2.7265625" style="8" customWidth="1"/>
    <col min="22" max="16384" width="8.81640625" style="8"/>
  </cols>
  <sheetData>
    <row r="1" spans="2:18" ht="15.75" customHeight="1"/>
    <row r="2" spans="2:18" ht="15.75" customHeight="1">
      <c r="B2" s="7" t="str">
        <f>Company_Name&amp;" - Discounted Cash Flow Analysis - "&amp;Scenario&amp;" Case"</f>
        <v>Nebius, N.V. - Discounted Cash Flow Analysis - Base Case</v>
      </c>
    </row>
    <row r="3" spans="2:18" ht="15.75" customHeight="1">
      <c r="B3" s="8" t="s">
        <v>9</v>
      </c>
    </row>
    <row r="4" spans="2:18" ht="15.75" customHeight="1"/>
    <row r="5" spans="2:18" ht="15.75" customHeight="1">
      <c r="B5" s="54"/>
      <c r="C5" s="54"/>
      <c r="D5" s="462"/>
      <c r="E5" s="462"/>
      <c r="F5" s="462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</row>
    <row r="6" spans="2:18" ht="15.75" customHeight="1">
      <c r="B6" s="463" t="s">
        <v>104</v>
      </c>
      <c r="C6" s="464"/>
      <c r="D6" s="464"/>
      <c r="E6" s="464"/>
      <c r="F6" s="464"/>
      <c r="G6" s="464"/>
      <c r="H6" s="464"/>
      <c r="I6" s="464"/>
      <c r="J6" s="464"/>
      <c r="K6" s="464"/>
      <c r="L6" s="464"/>
      <c r="M6" s="464"/>
      <c r="N6" s="464"/>
      <c r="O6" s="464"/>
      <c r="P6" s="464"/>
      <c r="Q6" s="464"/>
      <c r="R6" s="464"/>
    </row>
    <row r="7" spans="2:18" ht="15.75" customHeight="1" outlineLevel="1">
      <c r="D7" s="94"/>
      <c r="E7" s="94"/>
    </row>
    <row r="8" spans="2:18" ht="15.75" customHeight="1" outlineLevel="1">
      <c r="C8" s="95" t="s">
        <v>105</v>
      </c>
      <c r="D8" s="460">
        <f>WACC!L42</f>
        <v>0.16212727598916246</v>
      </c>
      <c r="E8" s="94"/>
      <c r="F8" s="96" t="s">
        <v>106</v>
      </c>
      <c r="G8" s="97"/>
      <c r="H8" s="97"/>
      <c r="I8" s="97"/>
      <c r="J8" s="98"/>
      <c r="K8" s="96" t="s">
        <v>107</v>
      </c>
      <c r="L8" s="97"/>
      <c r="M8" s="97"/>
      <c r="N8" s="97"/>
    </row>
    <row r="9" spans="2:18" ht="15.75" customHeight="1" outlineLevel="1">
      <c r="C9" s="18" t="s">
        <v>108</v>
      </c>
      <c r="D9" s="473" t="s">
        <v>100</v>
      </c>
      <c r="E9" s="94"/>
      <c r="F9" s="98"/>
      <c r="G9" s="98"/>
      <c r="H9" s="98"/>
      <c r="I9" s="98"/>
      <c r="J9" s="98"/>
      <c r="K9" s="98"/>
      <c r="L9" s="98"/>
      <c r="M9" s="98"/>
      <c r="N9" s="98"/>
    </row>
    <row r="10" spans="2:18" ht="15.75" customHeight="1" outlineLevel="1">
      <c r="C10" s="25"/>
      <c r="D10" s="99"/>
      <c r="E10" s="98"/>
      <c r="F10" s="95" t="s">
        <v>109</v>
      </c>
      <c r="G10" s="100"/>
      <c r="H10" s="100"/>
      <c r="I10" s="471">
        <f>PubComps!S37</f>
        <v>15.046732001347673</v>
      </c>
      <c r="J10" s="98"/>
      <c r="K10" s="95" t="s">
        <v>110</v>
      </c>
      <c r="L10" s="98"/>
      <c r="M10" s="98"/>
      <c r="N10" s="470">
        <v>5.0000000000000001E-3</v>
      </c>
    </row>
    <row r="11" spans="2:18" ht="15.75" customHeight="1" outlineLevel="1">
      <c r="C11" s="18"/>
      <c r="D11" s="496"/>
      <c r="E11" s="98"/>
      <c r="F11" s="100"/>
      <c r="G11" s="100"/>
      <c r="H11" s="100"/>
      <c r="I11" s="100"/>
      <c r="J11" s="98"/>
      <c r="K11" s="98"/>
      <c r="L11" s="98"/>
      <c r="M11" s="98"/>
      <c r="N11" s="98"/>
    </row>
    <row r="12" spans="2:18" ht="15.75" customHeight="1" outlineLevel="1">
      <c r="C12" s="25"/>
      <c r="D12" s="99"/>
      <c r="E12" s="8"/>
      <c r="F12" s="95" t="s">
        <v>111</v>
      </c>
      <c r="G12" s="100"/>
      <c r="H12" s="101"/>
      <c r="I12" s="472">
        <f>INDEX(I13:I15,MATCH(Scenario,F13:F15,0))</f>
        <v>15</v>
      </c>
      <c r="J12" s="98"/>
      <c r="K12" s="95" t="s">
        <v>112</v>
      </c>
      <c r="L12" s="98"/>
      <c r="M12" s="102"/>
      <c r="N12" s="469">
        <f>INDEX(N13:N15,MATCH(Scenario,K13:K15,0))</f>
        <v>1.4999999999999999E-2</v>
      </c>
    </row>
    <row r="13" spans="2:18" ht="15.75" customHeight="1" outlineLevel="1">
      <c r="C13" s="103" t="s">
        <v>113</v>
      </c>
      <c r="D13" s="104">
        <f>+I37*_xlfn.SINGLE(Share_Price)</f>
        <v>5389.2767000000003</v>
      </c>
      <c r="E13" s="8"/>
      <c r="F13" s="105" t="str">
        <f>[2]WMT_Model!$C$29</f>
        <v>Upside</v>
      </c>
      <c r="G13" s="100"/>
      <c r="H13" s="101"/>
      <c r="I13" s="471">
        <v>17</v>
      </c>
      <c r="J13" s="98"/>
      <c r="K13" s="105" t="str">
        <f>[2]WMT_Model!$C$29</f>
        <v>Upside</v>
      </c>
      <c r="L13" s="98"/>
      <c r="M13" s="102"/>
      <c r="N13" s="470">
        <v>1.7500000000000002E-2</v>
      </c>
    </row>
    <row r="14" spans="2:18" ht="15.75" customHeight="1" outlineLevel="1">
      <c r="C14" s="105" t="s">
        <v>114</v>
      </c>
      <c r="D14" s="106">
        <f>PubCompsData!AL19</f>
        <v>-2288</v>
      </c>
      <c r="E14" s="8"/>
      <c r="F14" s="105" t="str">
        <f>[2]WMT_Model!$C$30</f>
        <v>Base</v>
      </c>
      <c r="G14" s="100"/>
      <c r="H14" s="101"/>
      <c r="I14" s="471">
        <v>15</v>
      </c>
      <c r="J14" s="98"/>
      <c r="K14" s="105" t="str">
        <f>[2]WMT_Model!$C$30</f>
        <v>Base</v>
      </c>
      <c r="L14" s="98"/>
      <c r="M14" s="102"/>
      <c r="N14" s="470">
        <v>1.4999999999999999E-2</v>
      </c>
    </row>
    <row r="15" spans="2:18" ht="15.75" customHeight="1" outlineLevel="1">
      <c r="C15" s="107" t="s">
        <v>115</v>
      </c>
      <c r="D15" s="106">
        <f>PubCompsData!AL20</f>
        <v>-97</v>
      </c>
      <c r="E15" s="8"/>
      <c r="F15" s="105" t="str">
        <f>[2]WMT_Model!$C$31</f>
        <v>Downside</v>
      </c>
      <c r="G15" s="100"/>
      <c r="H15" s="101"/>
      <c r="I15" s="471">
        <v>13</v>
      </c>
      <c r="J15" s="98"/>
      <c r="K15" s="105" t="str">
        <f>[2]WMT_Model!$C$31</f>
        <v>Downside</v>
      </c>
      <c r="L15" s="98"/>
      <c r="M15" s="102"/>
      <c r="N15" s="470">
        <v>1.2500000000000001E-2</v>
      </c>
    </row>
    <row r="16" spans="2:18" ht="15.75" customHeight="1" outlineLevel="1">
      <c r="C16" s="107" t="s">
        <v>116</v>
      </c>
      <c r="D16" s="106">
        <f>PubCompsData!AL21</f>
        <v>0</v>
      </c>
      <c r="E16" s="8"/>
      <c r="F16" s="100"/>
      <c r="G16" s="100"/>
      <c r="H16" s="101"/>
      <c r="I16" s="108"/>
      <c r="J16" s="98"/>
      <c r="K16" s="98"/>
      <c r="L16" s="98"/>
      <c r="M16" s="102"/>
      <c r="N16" s="109"/>
    </row>
    <row r="17" spans="3:14" ht="15.75" customHeight="1" outlineLevel="1">
      <c r="C17" s="107" t="s">
        <v>117</v>
      </c>
      <c r="D17" s="106">
        <f>PubCompsData!AL22</f>
        <v>0</v>
      </c>
      <c r="E17" s="8"/>
      <c r="F17" s="95" t="s">
        <v>118</v>
      </c>
      <c r="G17" s="100"/>
      <c r="H17" s="100"/>
      <c r="I17" s="110">
        <f>T63*I12/1000</f>
        <v>12147.804743048486</v>
      </c>
      <c r="J17" s="98"/>
      <c r="K17" s="95" t="s">
        <v>118</v>
      </c>
      <c r="L17" s="98"/>
      <c r="M17" s="98"/>
      <c r="N17" s="111">
        <f>+T61*(1+Terminal_Growth_Rate)/(Discount_Rate-N12)*(1+Discount_Rate)^0.5/1000</f>
        <v>9103.4431505115645</v>
      </c>
    </row>
    <row r="18" spans="3:14" ht="15.75" customHeight="1" outlineLevel="1">
      <c r="C18" s="107" t="s">
        <v>119</v>
      </c>
      <c r="D18" s="106">
        <f>PubCompsData!AL23</f>
        <v>0</v>
      </c>
      <c r="E18" s="8"/>
      <c r="F18" s="95" t="s">
        <v>120</v>
      </c>
      <c r="G18" s="100"/>
      <c r="H18" s="101"/>
      <c r="I18" s="112">
        <f>-T61*(1+Terminal_Growth_Rate)*(1+Discount_Rate)^0.5/I17+Discount_Rate</f>
        <v>-110.09357909955246</v>
      </c>
      <c r="J18" s="176"/>
      <c r="K18" s="95" t="s">
        <v>121</v>
      </c>
      <c r="L18" s="98"/>
      <c r="M18" s="98"/>
      <c r="N18" s="113">
        <f>N17/(T63/1000)</f>
        <v>11.240849696387688</v>
      </c>
    </row>
    <row r="19" spans="3:14" ht="15.75" customHeight="1" outlineLevel="1">
      <c r="C19" s="107" t="s">
        <v>122</v>
      </c>
      <c r="D19" s="106">
        <f>PubCompsData!AL24</f>
        <v>0</v>
      </c>
      <c r="E19" s="8"/>
      <c r="F19" s="100"/>
      <c r="G19" s="100"/>
      <c r="H19" s="100"/>
      <c r="I19" s="100"/>
      <c r="J19" s="98"/>
      <c r="K19" s="98"/>
      <c r="L19" s="98"/>
      <c r="M19" s="98"/>
      <c r="N19" s="98"/>
    </row>
    <row r="20" spans="3:14" ht="15.75" customHeight="1" outlineLevel="1">
      <c r="C20" s="107" t="s">
        <v>123</v>
      </c>
      <c r="D20" s="106">
        <f>PubCompsData!AL25</f>
        <v>0</v>
      </c>
      <c r="E20" s="8"/>
      <c r="F20" s="105" t="s">
        <v>124</v>
      </c>
      <c r="G20" s="100"/>
      <c r="H20" s="100"/>
      <c r="I20" s="114">
        <f>I17/((1+Discount_Rate)^3.25)</f>
        <v>7454.581986038118</v>
      </c>
      <c r="J20" s="98"/>
      <c r="K20" s="105" t="str">
        <f>+F20</f>
        <v>(+) PV of Terminal Value:</v>
      </c>
      <c r="L20" s="98"/>
      <c r="M20" s="98"/>
      <c r="N20" s="114">
        <f>+N17/((1+Discount_Rate)^3.25)</f>
        <v>5586.3890436302463</v>
      </c>
    </row>
    <row r="21" spans="3:14" ht="15.75" customHeight="1" outlineLevel="1">
      <c r="C21" s="107" t="s">
        <v>125</v>
      </c>
      <c r="D21" s="106">
        <f>PubCompsData!AL26</f>
        <v>0</v>
      </c>
      <c r="E21" s="8"/>
      <c r="F21" s="115" t="s">
        <v>126</v>
      </c>
      <c r="G21" s="116"/>
      <c r="H21" s="116"/>
      <c r="I21" s="117">
        <f>NPV(Discount_Rate,J61:T61)/1000</f>
        <v>1648.4758596966133</v>
      </c>
      <c r="J21" s="98"/>
      <c r="K21" s="115" t="str">
        <f t="shared" ref="K21:K22" si="0">+F21</f>
        <v>(+) Sum of PV of Free Cash Flows:</v>
      </c>
      <c r="L21" s="118"/>
      <c r="M21" s="118"/>
      <c r="N21" s="117">
        <f>NPV(Discount_Rate,J61:T61)/1000</f>
        <v>1648.4758596966133</v>
      </c>
    </row>
    <row r="22" spans="3:14" ht="15.75" customHeight="1" outlineLevel="1">
      <c r="C22" s="107" t="s">
        <v>127</v>
      </c>
      <c r="D22" s="119">
        <f>PubCompsData!AL27</f>
        <v>0</v>
      </c>
      <c r="E22" s="8"/>
      <c r="F22" s="120" t="s">
        <v>128</v>
      </c>
      <c r="G22" s="121"/>
      <c r="H22" s="121"/>
      <c r="I22" s="122">
        <f>SUM(I20:I21)</f>
        <v>9103.057845734731</v>
      </c>
      <c r="J22" s="98"/>
      <c r="K22" s="120" t="str">
        <f t="shared" si="0"/>
        <v>Implied Enterprise Value:</v>
      </c>
      <c r="L22" s="123"/>
      <c r="M22" s="123"/>
      <c r="N22" s="122">
        <f>SUM(N20:N21)</f>
        <v>7234.8649033268593</v>
      </c>
    </row>
    <row r="23" spans="3:14" ht="15.75" customHeight="1" outlineLevel="1">
      <c r="C23" s="124" t="s">
        <v>129</v>
      </c>
      <c r="D23" s="125">
        <f>SUM(D13:D22)</f>
        <v>3004.2767000000003</v>
      </c>
      <c r="E23" s="8"/>
      <c r="F23" s="100"/>
      <c r="G23" s="100"/>
      <c r="H23" s="100"/>
      <c r="I23" s="100"/>
      <c r="J23" s="98"/>
      <c r="K23" s="98"/>
      <c r="L23" s="98"/>
      <c r="M23" s="98"/>
      <c r="N23" s="98"/>
    </row>
    <row r="24" spans="3:14" ht="15.75" customHeight="1" outlineLevel="1">
      <c r="E24" s="8"/>
      <c r="F24" s="126" t="s">
        <v>130</v>
      </c>
      <c r="G24" s="100"/>
      <c r="H24" s="100"/>
      <c r="I24" s="127">
        <f>+I20/I22</f>
        <v>0.81890965787183123</v>
      </c>
      <c r="J24" s="98"/>
      <c r="K24" s="128" t="str">
        <f>+F24</f>
        <v>% of Implied EV from Terminal Value:</v>
      </c>
      <c r="L24" s="98"/>
      <c r="M24" s="98"/>
      <c r="N24" s="129">
        <f>+N20/N22</f>
        <v>0.77214835636549584</v>
      </c>
    </row>
    <row r="25" spans="3:14" ht="15.75" customHeight="1" outlineLevel="1">
      <c r="E25" s="98"/>
      <c r="F25" s="100"/>
      <c r="G25" s="100"/>
      <c r="H25" s="100"/>
      <c r="I25" s="100"/>
      <c r="J25" s="98"/>
      <c r="K25" s="98"/>
      <c r="L25" s="98"/>
      <c r="M25" s="98"/>
      <c r="N25" s="98"/>
    </row>
    <row r="26" spans="3:14" ht="15.75" customHeight="1" outlineLevel="1">
      <c r="D26" s="8"/>
      <c r="E26" s="94"/>
      <c r="F26" s="105" t="s">
        <v>131</v>
      </c>
      <c r="G26" s="100"/>
      <c r="H26" s="100"/>
      <c r="I26" s="130">
        <f t="shared" ref="I26:I34" si="1">-D14</f>
        <v>2288</v>
      </c>
      <c r="J26" s="98"/>
      <c r="K26" s="131" t="s">
        <v>131</v>
      </c>
      <c r="L26" s="98"/>
      <c r="M26" s="98"/>
      <c r="N26" s="132">
        <f>+I26</f>
        <v>2288</v>
      </c>
    </row>
    <row r="27" spans="3:14" ht="15.75" customHeight="1" outlineLevel="1">
      <c r="C27" s="8" t="s">
        <v>335</v>
      </c>
      <c r="D27" s="497">
        <v>0.9</v>
      </c>
      <c r="E27" s="94"/>
      <c r="F27" s="107" t="s">
        <v>132</v>
      </c>
      <c r="G27" s="133"/>
      <c r="H27" s="133"/>
      <c r="I27" s="114">
        <f t="shared" si="1"/>
        <v>97</v>
      </c>
      <c r="J27" s="98"/>
      <c r="K27" s="73" t="s">
        <v>132</v>
      </c>
      <c r="N27" s="132">
        <f t="shared" ref="N27:N34" si="2">+I27</f>
        <v>97</v>
      </c>
    </row>
    <row r="28" spans="3:14" ht="15.75" customHeight="1" outlineLevel="1">
      <c r="C28" s="8" t="s">
        <v>336</v>
      </c>
      <c r="D28" s="498">
        <v>2734.375</v>
      </c>
      <c r="E28" s="94"/>
      <c r="F28" s="107" t="s">
        <v>133</v>
      </c>
      <c r="G28" s="133"/>
      <c r="H28" s="133"/>
      <c r="I28" s="114">
        <f t="shared" si="1"/>
        <v>0</v>
      </c>
      <c r="J28" s="98"/>
      <c r="K28" s="73" t="s">
        <v>133</v>
      </c>
      <c r="N28" s="132">
        <f t="shared" si="2"/>
        <v>0</v>
      </c>
    </row>
    <row r="29" spans="3:14" ht="15.75" customHeight="1" outlineLevel="1">
      <c r="D29" s="8"/>
      <c r="E29" s="94"/>
      <c r="F29" s="107" t="s">
        <v>134</v>
      </c>
      <c r="G29" s="133"/>
      <c r="H29" s="133"/>
      <c r="I29" s="114">
        <f t="shared" si="1"/>
        <v>0</v>
      </c>
      <c r="J29" s="98"/>
      <c r="K29" s="73" t="s">
        <v>134</v>
      </c>
      <c r="N29" s="132">
        <f t="shared" si="2"/>
        <v>0</v>
      </c>
    </row>
    <row r="30" spans="3:14" ht="15.75" customHeight="1" outlineLevel="1">
      <c r="D30" s="8"/>
      <c r="E30" s="94"/>
      <c r="F30" s="107" t="s">
        <v>135</v>
      </c>
      <c r="G30" s="133"/>
      <c r="H30" s="133"/>
      <c r="I30" s="114">
        <f t="shared" si="1"/>
        <v>0</v>
      </c>
      <c r="J30" s="98"/>
      <c r="K30" s="73" t="s">
        <v>136</v>
      </c>
      <c r="N30" s="132">
        <f t="shared" si="2"/>
        <v>0</v>
      </c>
    </row>
    <row r="31" spans="3:14" ht="15.75" customHeight="1" outlineLevel="1">
      <c r="D31" s="8"/>
      <c r="E31" s="94"/>
      <c r="F31" s="107" t="s">
        <v>137</v>
      </c>
      <c r="G31" s="133"/>
      <c r="H31" s="133"/>
      <c r="I31" s="114">
        <f t="shared" si="1"/>
        <v>0</v>
      </c>
      <c r="J31" s="98"/>
      <c r="K31" s="73" t="s">
        <v>137</v>
      </c>
      <c r="N31" s="132">
        <f t="shared" si="2"/>
        <v>0</v>
      </c>
    </row>
    <row r="32" spans="3:14" ht="15.75" customHeight="1" outlineLevel="1">
      <c r="D32" s="8"/>
      <c r="E32" s="94"/>
      <c r="F32" s="107" t="s">
        <v>138</v>
      </c>
      <c r="G32" s="133"/>
      <c r="H32" s="133"/>
      <c r="I32" s="114">
        <f t="shared" si="1"/>
        <v>0</v>
      </c>
      <c r="J32" s="98"/>
      <c r="K32" s="73" t="s">
        <v>138</v>
      </c>
      <c r="N32" s="132">
        <f t="shared" si="2"/>
        <v>0</v>
      </c>
    </row>
    <row r="33" spans="1:23" ht="15.75" customHeight="1" outlineLevel="1">
      <c r="D33" s="8"/>
      <c r="E33" s="94"/>
      <c r="F33" s="107" t="s">
        <v>139</v>
      </c>
      <c r="G33" s="133"/>
      <c r="H33" s="133"/>
      <c r="I33" s="114">
        <f t="shared" si="1"/>
        <v>0</v>
      </c>
      <c r="J33" s="98"/>
      <c r="K33" s="73" t="s">
        <v>139</v>
      </c>
      <c r="N33" s="132">
        <f t="shared" si="2"/>
        <v>0</v>
      </c>
    </row>
    <row r="34" spans="1:23" ht="15.75" customHeight="1" outlineLevel="1">
      <c r="C34" s="98"/>
      <c r="D34" s="134"/>
      <c r="E34" s="94"/>
      <c r="F34" s="107" t="s">
        <v>140</v>
      </c>
      <c r="G34" s="133"/>
      <c r="H34" s="133"/>
      <c r="I34" s="117">
        <f t="shared" si="1"/>
        <v>0</v>
      </c>
      <c r="J34" s="98"/>
      <c r="K34" s="73" t="s">
        <v>140</v>
      </c>
      <c r="N34" s="135">
        <f t="shared" si="2"/>
        <v>0</v>
      </c>
    </row>
    <row r="35" spans="1:23" ht="15.75" customHeight="1" outlineLevel="1">
      <c r="D35" s="94"/>
      <c r="E35" s="94"/>
      <c r="F35" s="124" t="s">
        <v>141</v>
      </c>
      <c r="G35" s="136"/>
      <c r="H35" s="136"/>
      <c r="I35" s="137">
        <f>+I22+SUM(I26:I34)</f>
        <v>11488.057845734731</v>
      </c>
      <c r="J35" s="98"/>
      <c r="K35" s="124" t="s">
        <v>141</v>
      </c>
      <c r="L35" s="138"/>
      <c r="M35" s="138"/>
      <c r="N35" s="139">
        <f>+N22+SUM(N26:N34)</f>
        <v>9619.8649033268593</v>
      </c>
    </row>
    <row r="36" spans="1:23" ht="15.75" customHeight="1" outlineLevel="1">
      <c r="D36" s="94"/>
      <c r="E36" s="94"/>
      <c r="F36" s="100"/>
      <c r="G36" s="100"/>
      <c r="H36" s="100"/>
      <c r="I36" s="100"/>
      <c r="J36" s="98"/>
      <c r="K36" s="98"/>
      <c r="L36" s="98"/>
      <c r="M36" s="98"/>
      <c r="N36" s="98"/>
    </row>
    <row r="37" spans="1:23" ht="15.75" customHeight="1" outlineLevel="1">
      <c r="D37" s="94"/>
      <c r="E37" s="94"/>
      <c r="F37" s="95" t="s">
        <v>142</v>
      </c>
      <c r="G37" s="100"/>
      <c r="H37" s="100"/>
      <c r="I37" s="140">
        <f>Diluted_Shares</f>
        <v>201.77</v>
      </c>
      <c r="J37" s="98"/>
      <c r="K37" s="98" t="s">
        <v>142</v>
      </c>
      <c r="L37" s="98"/>
      <c r="M37" s="98"/>
      <c r="N37" s="141">
        <f>+I37</f>
        <v>201.77</v>
      </c>
    </row>
    <row r="38" spans="1:23" ht="15.75" customHeight="1" outlineLevel="1">
      <c r="D38" s="94"/>
      <c r="E38" s="94"/>
      <c r="F38" s="100"/>
      <c r="G38" s="100"/>
      <c r="H38" s="142"/>
      <c r="I38" s="142"/>
      <c r="J38" s="98"/>
      <c r="K38" s="98"/>
      <c r="L38" s="98"/>
      <c r="M38" s="98"/>
      <c r="N38" s="98"/>
    </row>
    <row r="39" spans="1:23" ht="15.75" customHeight="1" outlineLevel="1">
      <c r="D39" s="94"/>
      <c r="E39" s="94"/>
      <c r="F39" s="143" t="s">
        <v>143</v>
      </c>
      <c r="G39" s="144"/>
      <c r="H39" s="144"/>
      <c r="I39" s="145">
        <f>+I35/I37</f>
        <v>56.936402070351043</v>
      </c>
      <c r="J39" s="98"/>
      <c r="K39" s="143" t="s">
        <v>143</v>
      </c>
      <c r="L39" s="146"/>
      <c r="M39" s="146"/>
      <c r="N39" s="147">
        <f>+N35/N37</f>
        <v>47.67737970623412</v>
      </c>
    </row>
    <row r="40" spans="1:23" ht="15.75" customHeight="1" outlineLevel="1">
      <c r="D40" s="94"/>
      <c r="E40" s="94"/>
      <c r="F40" s="148" t="s">
        <v>144</v>
      </c>
      <c r="G40" s="149"/>
      <c r="H40" s="149"/>
      <c r="I40" s="150">
        <f>+I39/_xlfn.SINGLE(Share_Price)-1</f>
        <v>1.1316511445283055</v>
      </c>
      <c r="J40" s="98"/>
      <c r="K40" s="148" t="s">
        <v>144</v>
      </c>
      <c r="L40" s="151"/>
      <c r="M40" s="151"/>
      <c r="N40" s="152">
        <f>+N39/_xlfn.SINGLE(Share_Price)-1</f>
        <v>0.7850011121764926</v>
      </c>
    </row>
    <row r="41" spans="1:23" ht="15.75" customHeight="1">
      <c r="D41" s="94"/>
      <c r="E41" s="94"/>
    </row>
    <row r="42" spans="1:23" ht="15.75" customHeight="1">
      <c r="B42" s="54"/>
      <c r="C42" s="54"/>
      <c r="D42" s="54"/>
      <c r="E42" s="58" t="str">
        <f>[2]WMT_Model!$E$19</f>
        <v>Historical:</v>
      </c>
      <c r="F42" s="54"/>
      <c r="G42" s="54"/>
      <c r="H42" s="55"/>
      <c r="I42" s="55"/>
      <c r="J42" s="56"/>
      <c r="K42" s="57"/>
      <c r="L42" s="55"/>
      <c r="M42" s="55"/>
      <c r="N42" s="56" t="str">
        <f>[2]WMT_Model!$I$19</f>
        <v>Projected:</v>
      </c>
      <c r="O42" s="55"/>
      <c r="P42" s="55"/>
      <c r="Q42" s="55"/>
      <c r="R42" s="55"/>
      <c r="S42" s="55"/>
      <c r="T42" s="55"/>
    </row>
    <row r="43" spans="1:23" ht="15.75" customHeight="1">
      <c r="A43" s="153"/>
      <c r="B43" s="58" t="s">
        <v>145</v>
      </c>
      <c r="C43" s="80"/>
      <c r="D43" s="80" t="str">
        <f>[2]WMT_Model!$D$20</f>
        <v>Units:</v>
      </c>
      <c r="E43" s="59" t="str">
        <f>Model!F19</f>
        <v>Q1</v>
      </c>
      <c r="F43" s="59" t="str">
        <f>Model!G19</f>
        <v>Q2</v>
      </c>
      <c r="G43" s="59" t="str">
        <f>Model!H19</f>
        <v>Q3</v>
      </c>
      <c r="H43" s="59" t="str">
        <f>Model!I19</f>
        <v>Q4</v>
      </c>
      <c r="I43" s="59" t="str">
        <f>Model!J19</f>
        <v>Q1-25</v>
      </c>
      <c r="J43" s="59" t="str">
        <f>Model!K19</f>
        <v>Q2-25</v>
      </c>
      <c r="K43" s="83" t="str">
        <f>Model!L19</f>
        <v>Q3-25</v>
      </c>
      <c r="L43" s="59" t="str">
        <f>Model!M19</f>
        <v>Q4-25</v>
      </c>
      <c r="M43" s="59" t="str">
        <f>Model!N19</f>
        <v>Q1-26</v>
      </c>
      <c r="N43" s="59" t="str">
        <f>Model!O19</f>
        <v>Q2-26</v>
      </c>
      <c r="O43" s="59" t="str">
        <f>Model!P19</f>
        <v>Q3-26</v>
      </c>
      <c r="P43" s="59" t="str">
        <f>Model!Q19</f>
        <v>Q4-26</v>
      </c>
      <c r="Q43" s="59" t="str">
        <f>Model!R19</f>
        <v>Q1-27</v>
      </c>
      <c r="R43" s="59" t="str">
        <f>Model!S19</f>
        <v>Q2-27</v>
      </c>
      <c r="S43" s="59" t="str">
        <f>Model!T19</f>
        <v>Q3-27</v>
      </c>
      <c r="T43" s="59" t="str">
        <f>Model!U19</f>
        <v>Q4-27</v>
      </c>
      <c r="U43" s="81"/>
      <c r="V43" s="81"/>
      <c r="W43" s="81"/>
    </row>
    <row r="44" spans="1:23" ht="15.75" customHeight="1" outlineLevel="1">
      <c r="A44" s="153"/>
      <c r="B44" s="154"/>
      <c r="C44" s="154"/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</row>
    <row r="45" spans="1:23" ht="15.75" customHeight="1" outlineLevel="1">
      <c r="A45" s="153"/>
      <c r="C45" s="157" t="s">
        <v>146</v>
      </c>
      <c r="D45" s="158" t="s">
        <v>158</v>
      </c>
      <c r="E45" s="461">
        <f>Model!F55</f>
        <v>11286</v>
      </c>
      <c r="F45" s="461">
        <f>Model!G55</f>
        <v>24900</v>
      </c>
      <c r="G45" s="461">
        <f>Model!H55</f>
        <v>37981.740762124711</v>
      </c>
      <c r="H45" s="461">
        <f>Model!I55</f>
        <v>114887.4</v>
      </c>
      <c r="I45" s="461">
        <f>Model!J55</f>
        <v>190897.92000000001</v>
      </c>
      <c r="J45" s="461">
        <f>Model!K55</f>
        <v>251215.77600000001</v>
      </c>
      <c r="K45" s="461">
        <f>Model!L55</f>
        <v>293479.53480000002</v>
      </c>
      <c r="L45" s="461">
        <f>Model!M55</f>
        <v>367362.35154</v>
      </c>
      <c r="M45" s="461">
        <f>Model!N55</f>
        <v>409796.37911700003</v>
      </c>
      <c r="N45" s="461">
        <f>Model!O55</f>
        <v>438919.17807285005</v>
      </c>
      <c r="O45" s="461">
        <f>Model!P55</f>
        <v>459071.52697649255</v>
      </c>
      <c r="P45" s="461">
        <f>Model!Q55</f>
        <v>479324.83332531719</v>
      </c>
      <c r="Q45" s="461">
        <f>Model!R55</f>
        <v>490617.54499158304</v>
      </c>
      <c r="R45" s="461">
        <f>Model!S55</f>
        <v>525673.56224116217</v>
      </c>
      <c r="S45" s="461">
        <f>Model!T55</f>
        <v>555327.65035322029</v>
      </c>
      <c r="T45" s="461">
        <f>Model!U55</f>
        <v>571504.55287088128</v>
      </c>
    </row>
    <row r="46" spans="1:23" ht="15.75" customHeight="1" outlineLevel="1">
      <c r="A46" s="153"/>
      <c r="C46" s="107" t="s">
        <v>147</v>
      </c>
      <c r="D46" s="158" t="s">
        <v>71</v>
      </c>
      <c r="E46" s="159" t="str">
        <f t="shared" ref="E46:F46" si="3">IFERROR(E45/D45-1,"N/A")</f>
        <v>N/A</v>
      </c>
      <c r="F46" s="159">
        <f t="shared" si="3"/>
        <v>1.2062732589048379</v>
      </c>
      <c r="G46" s="159">
        <f t="shared" ref="G46" si="4">IFERROR(G45/F45-1,"N/A")</f>
        <v>0.52537111494476751</v>
      </c>
      <c r="H46" s="159">
        <f t="shared" ref="H46" si="5">IFERROR(H45/G45-1,"N/A")</f>
        <v>2.0248060698304116</v>
      </c>
      <c r="I46" s="159">
        <f t="shared" ref="I46" si="6">IFERROR(I45/H45-1,"N/A")</f>
        <v>0.66160884483415949</v>
      </c>
      <c r="J46" s="159">
        <f t="shared" ref="J46" si="7">IFERROR(J45/I45-1,"N/A")</f>
        <v>0.31596916299559474</v>
      </c>
      <c r="K46" s="159">
        <f t="shared" ref="K46" si="8">IFERROR(K45/J45-1,"N/A")</f>
        <v>0.16823688174742668</v>
      </c>
      <c r="L46" s="159">
        <f t="shared" ref="L46" si="9">IFERROR(L45/K45-1,"N/A")</f>
        <v>0.25174776425330481</v>
      </c>
      <c r="M46" s="159">
        <f t="shared" ref="M46" si="10">IFERROR(M45/L45-1,"N/A")</f>
        <v>0.11551000639862696</v>
      </c>
      <c r="N46" s="159">
        <f t="shared" ref="N46" si="11">IFERROR(N45/M45-1,"N/A")</f>
        <v>7.106651117465157E-2</v>
      </c>
      <c r="O46" s="159">
        <f t="shared" ref="O46" si="12">IFERROR(O45/N45-1,"N/A")</f>
        <v>4.5913575688637742E-2</v>
      </c>
      <c r="P46" s="159">
        <f t="shared" ref="P46" si="13">IFERROR(P45/O45-1,"N/A")</f>
        <v>4.4117975432315992E-2</v>
      </c>
      <c r="Q46" s="159">
        <f t="shared" ref="Q46" si="14">IFERROR(Q45/P45-1,"N/A")</f>
        <v>2.355962153665736E-2</v>
      </c>
      <c r="R46" s="159">
        <f t="shared" ref="R46" si="15">IFERROR(R45/Q45-1,"N/A")</f>
        <v>7.1452840623913216E-2</v>
      </c>
      <c r="S46" s="159">
        <f t="shared" ref="S46" si="16">IFERROR(S45/R45-1,"N/A")</f>
        <v>5.6411602641058378E-2</v>
      </c>
      <c r="T46" s="159">
        <f t="shared" ref="T46" si="17">IFERROR(T45/S45-1,"N/A")</f>
        <v>2.9130374666868297E-2</v>
      </c>
    </row>
    <row r="47" spans="1:23" ht="15.75" customHeight="1" outlineLevel="1">
      <c r="A47" s="153"/>
      <c r="C47" s="160"/>
      <c r="D47" s="61"/>
      <c r="E47" s="61"/>
      <c r="F47" s="161"/>
      <c r="G47" s="161"/>
      <c r="H47" s="161"/>
      <c r="I47" s="162"/>
      <c r="J47" s="162"/>
      <c r="K47" s="162"/>
      <c r="L47" s="162"/>
      <c r="M47" s="162"/>
    </row>
    <row r="48" spans="1:23" ht="15.75" customHeight="1" outlineLevel="1">
      <c r="C48" s="168" t="s">
        <v>148</v>
      </c>
      <c r="D48" s="158" t="s">
        <v>158</v>
      </c>
      <c r="E48" s="163">
        <f>Model!F67</f>
        <v>-69476.400000000009</v>
      </c>
      <c r="F48" s="163">
        <f>Model!G67</f>
        <v>-97498.793726741103</v>
      </c>
      <c r="G48" s="163">
        <f>Model!H67</f>
        <v>-54335.993104635636</v>
      </c>
      <c r="H48" s="163">
        <f>Model!I67</f>
        <v>54403.906804406768</v>
      </c>
      <c r="I48" s="163">
        <f>Model!J67</f>
        <v>141125.11427384845</v>
      </c>
      <c r="J48" s="163">
        <f>Model!K67</f>
        <v>209181.1532474999</v>
      </c>
      <c r="K48" s="163">
        <f>Model!L67</f>
        <v>261203.54029468543</v>
      </c>
      <c r="L48" s="163">
        <f>Model!M67</f>
        <v>433028.15881382697</v>
      </c>
      <c r="M48" s="163">
        <f>Model!N67</f>
        <v>494547.12400783703</v>
      </c>
      <c r="N48" s="163">
        <f>Model!O67</f>
        <v>536228.52977132192</v>
      </c>
      <c r="O48" s="163">
        <f>Model!P67</f>
        <v>565903.47663789964</v>
      </c>
      <c r="P48" s="163">
        <f>Model!Q67</f>
        <v>595465.44922039611</v>
      </c>
      <c r="Q48" s="163">
        <f>Model!R67</f>
        <v>612735.43832277285</v>
      </c>
      <c r="R48" s="163">
        <f>Model!S67</f>
        <v>661012.24838746258</v>
      </c>
      <c r="S48" s="163">
        <f>Model!T67</f>
        <v>701621.19862376386</v>
      </c>
      <c r="T48" s="163">
        <f>Model!U67</f>
        <v>725151.80486823595</v>
      </c>
    </row>
    <row r="49" spans="3:21" outlineLevel="1">
      <c r="D49" s="8"/>
      <c r="E49" s="61"/>
      <c r="F49" s="8"/>
    </row>
    <row r="50" spans="3:21" outlineLevel="1">
      <c r="C50" s="98" t="s">
        <v>149</v>
      </c>
      <c r="D50" s="158" t="s">
        <v>158</v>
      </c>
      <c r="E50" s="465">
        <f>Model!F74</f>
        <v>-3898.8</v>
      </c>
      <c r="F50" s="465">
        <f>Model!G74</f>
        <v>-3600</v>
      </c>
      <c r="G50" s="465">
        <f>Model!H74</f>
        <v>-600</v>
      </c>
      <c r="H50" s="465">
        <f>Model!I74</f>
        <v>-19371.161564458962</v>
      </c>
      <c r="I50" s="465">
        <f>Model!J74</f>
        <v>-32187.293390216528</v>
      </c>
      <c r="J50" s="465">
        <f>Model!K74</f>
        <v>-42357.485541816881</v>
      </c>
      <c r="K50" s="465">
        <f>Model!L74</f>
        <v>-49483.57682803386</v>
      </c>
      <c r="L50" s="465">
        <f>Model!M74</f>
        <v>-61940.956661748023</v>
      </c>
      <c r="M50" s="465">
        <f>Model!N74</f>
        <v>-69095.756962083615</v>
      </c>
      <c r="N50" s="465">
        <f>Model!O74</f>
        <v>-74006.151346350525</v>
      </c>
      <c r="O50" s="465">
        <f>Model!P74</f>
        <v>-77404.038377615987</v>
      </c>
      <c r="P50" s="465">
        <f>Model!Q74</f>
        <v>-80818.947841121684</v>
      </c>
      <c r="Q50" s="465">
        <f>Model!R74</f>
        <v>-82723.01166524936</v>
      </c>
      <c r="R50" s="465">
        <f>Model!S74</f>
        <v>-88633.805833696533</v>
      </c>
      <c r="S50" s="465">
        <f>Model!T74</f>
        <v>-93633.780868951741</v>
      </c>
      <c r="T50" s="465">
        <f>Model!U74</f>
        <v>-96361.367987139762</v>
      </c>
    </row>
    <row r="51" spans="3:21" outlineLevel="1">
      <c r="D51" s="8"/>
      <c r="E51" s="61"/>
      <c r="F51" s="8"/>
    </row>
    <row r="52" spans="3:21" outlineLevel="1">
      <c r="C52" s="222" t="s">
        <v>330</v>
      </c>
      <c r="D52" s="466" t="s">
        <v>158</v>
      </c>
      <c r="E52" s="467">
        <f>SUM(E48:E50)</f>
        <v>-73375.200000000012</v>
      </c>
      <c r="F52" s="467">
        <f t="shared" ref="F52:T52" si="18">SUM(F48:F50)</f>
        <v>-101098.7937267411</v>
      </c>
      <c r="G52" s="467">
        <f t="shared" si="18"/>
        <v>-54935.993104635636</v>
      </c>
      <c r="H52" s="467">
        <f t="shared" si="18"/>
        <v>35032.745239947806</v>
      </c>
      <c r="I52" s="467">
        <f t="shared" si="18"/>
        <v>108937.82088363192</v>
      </c>
      <c r="J52" s="467">
        <f t="shared" si="18"/>
        <v>166823.66770568301</v>
      </c>
      <c r="K52" s="467">
        <f t="shared" si="18"/>
        <v>211719.96346665156</v>
      </c>
      <c r="L52" s="467">
        <f t="shared" si="18"/>
        <v>371087.20215207897</v>
      </c>
      <c r="M52" s="467">
        <f t="shared" si="18"/>
        <v>425451.3670457534</v>
      </c>
      <c r="N52" s="467">
        <f t="shared" si="18"/>
        <v>462222.37842497136</v>
      </c>
      <c r="O52" s="467">
        <f t="shared" si="18"/>
        <v>488499.43826028367</v>
      </c>
      <c r="P52" s="467">
        <f t="shared" si="18"/>
        <v>514646.50137927441</v>
      </c>
      <c r="Q52" s="467">
        <f t="shared" si="18"/>
        <v>530012.42665752349</v>
      </c>
      <c r="R52" s="467">
        <f t="shared" si="18"/>
        <v>572378.44255376607</v>
      </c>
      <c r="S52" s="467">
        <f t="shared" si="18"/>
        <v>607987.41775481217</v>
      </c>
      <c r="T52" s="467">
        <f t="shared" si="18"/>
        <v>628790.43688109622</v>
      </c>
    </row>
    <row r="53" spans="3:21" outlineLevel="1">
      <c r="D53" s="8"/>
      <c r="E53" s="61"/>
      <c r="F53" s="8"/>
    </row>
    <row r="54" spans="3:21" outlineLevel="1">
      <c r="C54" s="222" t="s">
        <v>150</v>
      </c>
      <c r="D54" s="8"/>
      <c r="E54" s="61"/>
      <c r="F54" s="8"/>
    </row>
    <row r="55" spans="3:21" outlineLevel="1">
      <c r="C55" s="65" t="s">
        <v>331</v>
      </c>
      <c r="D55" s="158" t="s">
        <v>158</v>
      </c>
      <c r="E55" s="465">
        <f>Model!F130</f>
        <v>8758.7999999999993</v>
      </c>
      <c r="F55" s="465">
        <f>Model!G130</f>
        <v>11500</v>
      </c>
      <c r="G55" s="465">
        <f>Model!H130</f>
        <v>23500</v>
      </c>
      <c r="H55" s="465">
        <f>Model!I130</f>
        <v>19651.844668329712</v>
      </c>
      <c r="I55" s="465">
        <f>Model!J130</f>
        <v>30984.344668329712</v>
      </c>
      <c r="J55" s="465">
        <f>Model!K130</f>
        <v>42491.844668329708</v>
      </c>
      <c r="K55" s="465">
        <f>Model!L130</f>
        <v>47954.344668329715</v>
      </c>
      <c r="L55" s="465">
        <f>Model!M130</f>
        <v>58821.844668329715</v>
      </c>
      <c r="M55" s="465">
        <f>Model!N130</f>
        <v>63311.844668329715</v>
      </c>
      <c r="N55" s="465">
        <f>Model!O130</f>
        <v>66911.844668329722</v>
      </c>
      <c r="O55" s="465">
        <f>Model!P130</f>
        <v>68561.844668329722</v>
      </c>
      <c r="P55" s="465">
        <f>Model!Q130</f>
        <v>70516.844668329722</v>
      </c>
      <c r="Q55" s="465">
        <f>Model!R130</f>
        <v>70826.844668329722</v>
      </c>
      <c r="R55" s="465">
        <f>Model!S130</f>
        <v>77226.844668329722</v>
      </c>
      <c r="S55" s="465">
        <f>Model!T130</f>
        <v>82911.844668329722</v>
      </c>
      <c r="T55" s="465">
        <f>Model!U130</f>
        <v>84701.844668329722</v>
      </c>
      <c r="U55" s="465"/>
    </row>
    <row r="56" spans="3:21" outlineLevel="1">
      <c r="D56" s="8"/>
      <c r="E56" s="61"/>
      <c r="F56" s="8"/>
    </row>
    <row r="57" spans="3:21" outlineLevel="1">
      <c r="C57" s="60" t="s">
        <v>332</v>
      </c>
      <c r="D57" s="158" t="s">
        <v>158</v>
      </c>
      <c r="E57" s="61"/>
      <c r="F57" s="185">
        <f>(Model!G94-Model!G107)-(Model!F94-Model!F107)</f>
        <v>4411458.82</v>
      </c>
      <c r="G57" s="185">
        <f>(Model!H94-Model!H107)-(Model!G94-Model!G107)</f>
        <v>-1580800</v>
      </c>
      <c r="H57" s="185">
        <f>(Model!I94-Model!I107)-(Model!H94-Model!H107)</f>
        <v>-313037.38602423365</v>
      </c>
      <c r="I57" s="185">
        <f>(Model!J94-Model!J107)-(Model!I94-Model!I107)</f>
        <v>-255082.75150670065</v>
      </c>
      <c r="J57" s="185">
        <f>(Model!K94-Model!K107)-(Model!J94-Model!J107)</f>
        <v>-224133.77305117366</v>
      </c>
      <c r="K57" s="185">
        <f>(Model!L94-Model!L107)-(Model!K94-Model!K107)</f>
        <v>-10466.221390777966</v>
      </c>
      <c r="L57" s="185">
        <f>(Model!M94-Model!M107)-(Model!L94-Model!L107)</f>
        <v>-11604.120339581976</v>
      </c>
      <c r="M57" s="185">
        <f>(Model!N94-Model!N107)-(Model!M94-Model!M107)</f>
        <v>218418.00105366716</v>
      </c>
      <c r="N57" s="185">
        <f>(Model!O94-Model!O107)-(Model!N94-Model!N107)</f>
        <v>306198.7911353372</v>
      </c>
      <c r="O57" s="185">
        <f>(Model!P94-Model!P107)-(Model!O94-Model!O107)</f>
        <v>419069.8656299701</v>
      </c>
      <c r="P57" s="185">
        <f>(Model!Q94-Model!Q107)-(Model!P94-Model!P107)</f>
        <v>450412.88010572689</v>
      </c>
      <c r="Q57" s="185">
        <f>(Model!R94-Model!R107)-(Model!Q94-Model!Q107)</f>
        <v>575694.25742180599</v>
      </c>
      <c r="R57" s="185">
        <f>(Model!S94-Model!S107)-(Model!R94-Model!R107)</f>
        <v>422119.51840927452</v>
      </c>
      <c r="S57" s="185">
        <f>(Model!T94-Model!T107)-(Model!S94-Model!S107)</f>
        <v>484956.72728743032</v>
      </c>
      <c r="T57" s="185">
        <f>(Model!U94-Model!U107)-(Model!T94-Model!T107)</f>
        <v>633576.97148437519</v>
      </c>
    </row>
    <row r="58" spans="3:21" outlineLevel="1">
      <c r="C58" s="60"/>
      <c r="D58" s="8"/>
      <c r="E58" s="61"/>
      <c r="F58" s="8"/>
    </row>
    <row r="59" spans="3:21" outlineLevel="1">
      <c r="C59" s="60" t="s">
        <v>333</v>
      </c>
      <c r="D59" s="158" t="s">
        <v>158</v>
      </c>
      <c r="E59" s="465">
        <f>Model!F146</f>
        <v>-64494.81</v>
      </c>
      <c r="F59" s="465">
        <f>Model!G146</f>
        <v>-155505.19</v>
      </c>
      <c r="G59" s="465">
        <f>Model!H146</f>
        <v>-167000</v>
      </c>
      <c r="H59" s="465">
        <f>Model!I146</f>
        <v>-387000</v>
      </c>
      <c r="I59" s="465">
        <f>Model!J146</f>
        <v>-410000</v>
      </c>
      <c r="J59" s="465">
        <f>Model!K146</f>
        <v>-450000</v>
      </c>
      <c r="K59" s="465">
        <f>Model!L146</f>
        <v>-286000</v>
      </c>
      <c r="L59" s="465">
        <f>Model!M146</f>
        <v>-490000</v>
      </c>
      <c r="M59" s="465">
        <f>Model!N146</f>
        <v>-286000</v>
      </c>
      <c r="N59" s="465">
        <f>Model!O146</f>
        <v>-246000</v>
      </c>
      <c r="O59" s="465">
        <f>Model!P146</f>
        <v>-164000</v>
      </c>
      <c r="P59" s="465">
        <f>Model!Q146</f>
        <v>-164000</v>
      </c>
      <c r="Q59" s="465">
        <f>Model!R146</f>
        <v>-82000</v>
      </c>
      <c r="R59" s="465">
        <f>Model!S146</f>
        <v>-268000</v>
      </c>
      <c r="S59" s="465">
        <f>Model!T146</f>
        <v>-246000</v>
      </c>
      <c r="T59" s="465">
        <f>Model!U146</f>
        <v>-123000</v>
      </c>
    </row>
    <row r="60" spans="3:21" outlineLevel="1">
      <c r="D60" s="8"/>
      <c r="E60" s="61"/>
      <c r="F60" s="8"/>
    </row>
    <row r="61" spans="3:21" outlineLevel="1">
      <c r="C61" s="168" t="s">
        <v>334</v>
      </c>
      <c r="D61" s="466" t="s">
        <v>158</v>
      </c>
      <c r="E61" s="46">
        <f>SUM(E52:E59)</f>
        <v>-129111.21</v>
      </c>
      <c r="F61" s="46">
        <f t="shared" ref="F61:T61" si="19">SUM(F52:F59)</f>
        <v>4166354.836273259</v>
      </c>
      <c r="G61" s="46">
        <f t="shared" si="19"/>
        <v>-1779235.9931046357</v>
      </c>
      <c r="H61" s="46">
        <f t="shared" si="19"/>
        <v>-645352.79611595615</v>
      </c>
      <c r="I61" s="46">
        <f t="shared" si="19"/>
        <v>-525160.58595473901</v>
      </c>
      <c r="J61" s="46">
        <f t="shared" si="19"/>
        <v>-464818.26067716093</v>
      </c>
      <c r="K61" s="46">
        <f t="shared" si="19"/>
        <v>-36791.91325579668</v>
      </c>
      <c r="L61" s="46">
        <f t="shared" si="19"/>
        <v>-71695.073519173311</v>
      </c>
      <c r="M61" s="46">
        <f t="shared" si="19"/>
        <v>421181.21276775026</v>
      </c>
      <c r="N61" s="46">
        <f t="shared" si="19"/>
        <v>589333.01422863826</v>
      </c>
      <c r="O61" s="46">
        <f t="shared" si="19"/>
        <v>812131.14855858346</v>
      </c>
      <c r="P61" s="46">
        <f t="shared" si="19"/>
        <v>871576.22615333099</v>
      </c>
      <c r="Q61" s="46">
        <f t="shared" si="19"/>
        <v>1094533.5287476592</v>
      </c>
      <c r="R61" s="46">
        <f t="shared" si="19"/>
        <v>803724.80563137028</v>
      </c>
      <c r="S61" s="46">
        <f t="shared" si="19"/>
        <v>929855.98971057218</v>
      </c>
      <c r="T61" s="46">
        <f t="shared" si="19"/>
        <v>1224069.253033801</v>
      </c>
    </row>
    <row r="62" spans="3:21" outlineLevel="1">
      <c r="D62" s="8"/>
      <c r="E62" s="61"/>
      <c r="F62" s="8"/>
    </row>
    <row r="63" spans="3:21" outlineLevel="1">
      <c r="C63" s="168" t="s">
        <v>151</v>
      </c>
      <c r="D63" s="466" t="s">
        <v>158</v>
      </c>
      <c r="E63" s="468">
        <f>Model!F79</f>
        <v>-60717.600000000006</v>
      </c>
      <c r="F63" s="468">
        <f>Model!G79</f>
        <v>-85998.793726741103</v>
      </c>
      <c r="G63" s="468">
        <f>Model!H79</f>
        <v>-30835.993104635636</v>
      </c>
      <c r="H63" s="468">
        <f>Model!I79</f>
        <v>74055.751472736476</v>
      </c>
      <c r="I63" s="468">
        <f>Model!J79</f>
        <v>172109.45894217817</v>
      </c>
      <c r="J63" s="468">
        <f>Model!K79</f>
        <v>251672.99791582959</v>
      </c>
      <c r="K63" s="468">
        <f>Model!L79</f>
        <v>309157.88496301515</v>
      </c>
      <c r="L63" s="468">
        <f>Model!M79</f>
        <v>491850.00348215667</v>
      </c>
      <c r="M63" s="468">
        <f>Model!N79</f>
        <v>557858.96867616673</v>
      </c>
      <c r="N63" s="468">
        <f>Model!O79</f>
        <v>603140.37443965161</v>
      </c>
      <c r="O63" s="468">
        <f>Model!P79</f>
        <v>634465.32130622934</v>
      </c>
      <c r="P63" s="468">
        <f>Model!Q79</f>
        <v>665982.29388872581</v>
      </c>
      <c r="Q63" s="468">
        <f>Model!R79</f>
        <v>683562.28299110255</v>
      </c>
      <c r="R63" s="468">
        <f>Model!S79</f>
        <v>738239.09305579227</v>
      </c>
      <c r="S63" s="468">
        <f>Model!T79</f>
        <v>784533.04329209356</v>
      </c>
      <c r="T63" s="468">
        <f>Model!U79</f>
        <v>809853.64953656564</v>
      </c>
    </row>
    <row r="64" spans="3:21" outlineLevel="1">
      <c r="C64" s="73" t="s">
        <v>301</v>
      </c>
      <c r="D64" s="61" t="s">
        <v>71</v>
      </c>
      <c r="E64" s="610">
        <f>E63/E45</f>
        <v>-5.3799043062200962</v>
      </c>
      <c r="F64" s="610">
        <f t="shared" ref="F64:T64" si="20">F63/F45</f>
        <v>-3.4537668163349839</v>
      </c>
      <c r="G64" s="610">
        <f t="shared" si="20"/>
        <v>-0.81186360829952287</v>
      </c>
      <c r="H64" s="610">
        <f t="shared" si="20"/>
        <v>0.64459419808209151</v>
      </c>
      <c r="I64" s="610">
        <f t="shared" si="20"/>
        <v>0.90157849253767752</v>
      </c>
      <c r="J64" s="610">
        <f t="shared" si="20"/>
        <v>1.0018200366358743</v>
      </c>
      <c r="K64" s="610">
        <f t="shared" si="20"/>
        <v>1.0534222945858887</v>
      </c>
      <c r="L64" s="610">
        <f t="shared" si="20"/>
        <v>1.3388688345996771</v>
      </c>
      <c r="M64" s="610">
        <f t="shared" si="20"/>
        <v>1.3613077057396197</v>
      </c>
      <c r="N64" s="610">
        <f t="shared" si="20"/>
        <v>1.3741490565252648</v>
      </c>
      <c r="O64" s="610">
        <f t="shared" si="20"/>
        <v>1.3820620187117771</v>
      </c>
      <c r="P64" s="610">
        <f t="shared" si="20"/>
        <v>1.389417463035395</v>
      </c>
      <c r="Q64" s="610">
        <f t="shared" si="20"/>
        <v>1.3932691359474918</v>
      </c>
      <c r="R64" s="610">
        <f t="shared" si="20"/>
        <v>1.404367931132728</v>
      </c>
      <c r="S64" s="610">
        <f t="shared" si="20"/>
        <v>1.4127390249577623</v>
      </c>
      <c r="T64" s="610">
        <f t="shared" si="20"/>
        <v>1.4170554643324671</v>
      </c>
    </row>
    <row r="65" spans="2:20" outlineLevel="1">
      <c r="C65" s="166"/>
      <c r="D65" s="167"/>
      <c r="E65" s="129"/>
      <c r="F65" s="129"/>
      <c r="G65" s="129"/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</row>
    <row r="66" spans="2:20" outlineLevel="1"/>
    <row r="67" spans="2:20" outlineLevel="1">
      <c r="B67" s="611"/>
      <c r="C67" s="611"/>
      <c r="D67" s="612"/>
      <c r="E67" s="613"/>
      <c r="F67" s="613"/>
      <c r="G67" s="614"/>
      <c r="H67" s="614"/>
      <c r="I67" s="614"/>
      <c r="J67" s="614"/>
      <c r="K67" s="614"/>
      <c r="L67" s="614"/>
      <c r="M67" s="614"/>
      <c r="N67" s="614"/>
      <c r="O67" s="614"/>
      <c r="P67" s="614"/>
      <c r="Q67" s="614"/>
      <c r="R67" s="614"/>
      <c r="S67" s="54"/>
      <c r="T67" s="54"/>
    </row>
    <row r="68" spans="2:20" outlineLevel="1"/>
    <row r="69" spans="2:20" outlineLevel="1">
      <c r="C69" s="168" t="s">
        <v>152</v>
      </c>
      <c r="F69" s="8"/>
    </row>
    <row r="70" spans="2:20" outlineLevel="1">
      <c r="C70" s="9"/>
      <c r="F70" s="8"/>
    </row>
    <row r="71" spans="2:20" outlineLevel="1">
      <c r="D71" s="8"/>
      <c r="E71" s="475"/>
      <c r="F71" s="476"/>
      <c r="G71" s="476"/>
      <c r="H71" s="476"/>
      <c r="I71" s="476"/>
      <c r="J71" s="477" t="s">
        <v>394</v>
      </c>
      <c r="K71" s="478"/>
      <c r="L71" s="476"/>
      <c r="M71" s="476"/>
      <c r="N71" s="476"/>
      <c r="O71" s="476"/>
      <c r="P71" s="479"/>
    </row>
    <row r="72" spans="2:20" outlineLevel="1">
      <c r="D72" s="8"/>
      <c r="E72" s="480">
        <f>N39</f>
        <v>47.67737970623412</v>
      </c>
      <c r="F72" s="490">
        <v>0.2</v>
      </c>
      <c r="G72" s="491">
        <f>F72-0.5%</f>
        <v>0.19500000000000001</v>
      </c>
      <c r="H72" s="491">
        <f t="shared" ref="H72:P72" si="21">G72-0.5%</f>
        <v>0.19</v>
      </c>
      <c r="I72" s="491">
        <f t="shared" si="21"/>
        <v>0.185</v>
      </c>
      <c r="J72" s="491">
        <f t="shared" si="21"/>
        <v>0.18</v>
      </c>
      <c r="K72" s="491">
        <f t="shared" si="21"/>
        <v>0.17499999999999999</v>
      </c>
      <c r="L72" s="491">
        <f t="shared" si="21"/>
        <v>0.16999999999999998</v>
      </c>
      <c r="M72" s="491">
        <f t="shared" si="21"/>
        <v>0.16499999999999998</v>
      </c>
      <c r="N72" s="491">
        <f t="shared" si="21"/>
        <v>0.15999999999999998</v>
      </c>
      <c r="O72" s="491">
        <f t="shared" si="21"/>
        <v>0.15499999999999997</v>
      </c>
      <c r="P72" s="491">
        <f t="shared" si="21"/>
        <v>0.14999999999999997</v>
      </c>
    </row>
    <row r="73" spans="2:20" outlineLevel="1">
      <c r="D73" s="8"/>
      <c r="E73" s="492">
        <v>1.7500000000000002E-2</v>
      </c>
      <c r="F73" s="615">
        <f t="dataTable" ref="F73:P81" dt2D="1" dtr="1" r1="D8" r2="N12"/>
        <v>38.383496070204437</v>
      </c>
      <c r="G73" s="615">
        <v>39.446349618060388</v>
      </c>
      <c r="H73" s="615">
        <v>40.570193105446187</v>
      </c>
      <c r="I73" s="615">
        <v>41.760147028029763</v>
      </c>
      <c r="J73" s="615">
        <v>43.021933495255546</v>
      </c>
      <c r="K73" s="616">
        <v>44.361969578701242</v>
      </c>
      <c r="L73" s="615">
        <v>45.787478860863381</v>
      </c>
      <c r="M73" s="615">
        <v>47.306625490156279</v>
      </c>
      <c r="N73" s="615">
        <v>48.928676255467899</v>
      </c>
      <c r="O73" s="615">
        <v>50.66419779627617</v>
      </c>
      <c r="P73" s="617">
        <v>52.52529821118496</v>
      </c>
      <c r="Q73" s="169"/>
    </row>
    <row r="74" spans="2:20" outlineLevel="1">
      <c r="D74" s="8"/>
      <c r="E74" s="493">
        <f>E73-0.001</f>
        <v>1.6500000000000001E-2</v>
      </c>
      <c r="F74" s="615">
        <v>38.251827149023605</v>
      </c>
      <c r="G74" s="615">
        <v>39.306158989454204</v>
      </c>
      <c r="H74" s="615">
        <v>40.420688822549153</v>
      </c>
      <c r="I74" s="615">
        <v>41.600438699125483</v>
      </c>
      <c r="J74" s="615">
        <v>42.851016692512133</v>
      </c>
      <c r="K74" s="616">
        <v>44.178707206481931</v>
      </c>
      <c r="L74" s="615">
        <v>45.590578771323351</v>
      </c>
      <c r="M74" s="615">
        <v>47.09461343699676</v>
      </c>
      <c r="N74" s="615">
        <v>48.699863016599195</v>
      </c>
      <c r="O74" s="615">
        <v>50.416638949327222</v>
      </c>
      <c r="P74" s="617">
        <v>52.256744578991878</v>
      </c>
    </row>
    <row r="75" spans="2:20" outlineLevel="1">
      <c r="D75" s="8"/>
      <c r="E75" s="493">
        <f t="shared" ref="E75:E81" si="22">E74-0.001</f>
        <v>1.55E-2</v>
      </c>
      <c r="F75" s="615">
        <v>38.121585533221435</v>
      </c>
      <c r="G75" s="615">
        <v>39.167530373423027</v>
      </c>
      <c r="H75" s="615">
        <v>40.272898055788481</v>
      </c>
      <c r="I75" s="615">
        <v>41.442614834279084</v>
      </c>
      <c r="J75" s="615">
        <v>42.682177905607539</v>
      </c>
      <c r="K75" s="616">
        <v>43.997742795042804</v>
      </c>
      <c r="L75" s="615">
        <v>45.396227550256306</v>
      </c>
      <c r="M75" s="615">
        <v>46.885437665484865</v>
      </c>
      <c r="N75" s="615">
        <v>48.47421674297437</v>
      </c>
      <c r="O75" s="615">
        <v>50.172629333158916</v>
      </c>
      <c r="P75" s="617">
        <v>51.992184309359295</v>
      </c>
    </row>
    <row r="76" spans="2:20" outlineLevel="1">
      <c r="C76" s="619" t="s">
        <v>153</v>
      </c>
      <c r="D76" s="8"/>
      <c r="E76" s="493">
        <f t="shared" si="22"/>
        <v>1.4499999999999999E-2</v>
      </c>
      <c r="F76" s="615">
        <v>37.992748139692054</v>
      </c>
      <c r="G76" s="615">
        <v>39.030437808539006</v>
      </c>
      <c r="H76" s="615">
        <v>40.126791514290034</v>
      </c>
      <c r="I76" s="615">
        <v>41.286642275765182</v>
      </c>
      <c r="J76" s="615">
        <v>42.515379466580931</v>
      </c>
      <c r="K76" s="616">
        <v>43.819033391845906</v>
      </c>
      <c r="L76" s="615">
        <v>45.204376023350918</v>
      </c>
      <c r="M76" s="615">
        <v>46.679041638444886</v>
      </c>
      <c r="N76" s="615">
        <v>48.251672136340922</v>
      </c>
      <c r="O76" s="615">
        <v>49.93209316348409</v>
      </c>
      <c r="P76" s="617">
        <v>51.731528988355976</v>
      </c>
    </row>
    <row r="77" spans="2:20" ht="18.5" outlineLevel="1">
      <c r="C77" s="7"/>
      <c r="D77" s="8"/>
      <c r="E77" s="493">
        <f t="shared" si="22"/>
        <v>1.3499999999999998E-2</v>
      </c>
      <c r="F77" s="615">
        <v>37.865292380409642</v>
      </c>
      <c r="G77" s="615">
        <v>38.894855905526988</v>
      </c>
      <c r="H77" s="615">
        <v>39.982340570995547</v>
      </c>
      <c r="I77" s="615">
        <v>41.132488639216461</v>
      </c>
      <c r="J77" s="615">
        <v>42.350584612407516</v>
      </c>
      <c r="K77" s="616">
        <v>43.642537108193245</v>
      </c>
      <c r="L77" s="615">
        <v>45.014976273147205</v>
      </c>
      <c r="M77" s="615">
        <v>46.475370311431845</v>
      </c>
      <c r="N77" s="615">
        <v>48.032165681333893</v>
      </c>
      <c r="O77" s="615">
        <v>49.694956798327645</v>
      </c>
      <c r="P77" s="617">
        <v>51.474692792935123</v>
      </c>
    </row>
    <row r="78" spans="2:20" outlineLevel="1">
      <c r="D78" s="8"/>
      <c r="E78" s="493">
        <f t="shared" si="22"/>
        <v>1.2499999999999997E-2</v>
      </c>
      <c r="F78" s="616">
        <v>37.739196149226238</v>
      </c>
      <c r="G78" s="616">
        <v>38.76075983158907</v>
      </c>
      <c r="H78" s="616">
        <v>39.83951724396352</v>
      </c>
      <c r="I78" s="616">
        <v>40.980122291207429</v>
      </c>
      <c r="J78" s="616">
        <v>42.187757457985413</v>
      </c>
      <c r="K78" s="616">
        <v>43.468213086493222</v>
      </c>
      <c r="L78" s="616">
        <v>44.827981599136528</v>
      </c>
      <c r="M78" s="616">
        <v>46.274370083789471</v>
      </c>
      <c r="N78" s="616">
        <v>47.815635585038827</v>
      </c>
      <c r="O78" s="616">
        <v>49.461148662857603</v>
      </c>
      <c r="P78" s="618">
        <v>51.221592396720396</v>
      </c>
    </row>
    <row r="79" spans="2:20" outlineLevel="1">
      <c r="D79" s="8"/>
      <c r="E79" s="493">
        <f t="shared" si="22"/>
        <v>1.1499999999999996E-2</v>
      </c>
      <c r="F79" s="615">
        <v>37.614437809089878</v>
      </c>
      <c r="G79" s="615">
        <v>38.628125295241766</v>
      </c>
      <c r="H79" s="615">
        <v>39.698294178298809</v>
      </c>
      <c r="I79" s="615">
        <v>40.8295123276135</v>
      </c>
      <c r="J79" s="615">
        <v>42.026862970084657</v>
      </c>
      <c r="K79" s="616">
        <v>43.296021468728384</v>
      </c>
      <c r="L79" s="615">
        <v>44.643346479372056</v>
      </c>
      <c r="M79" s="615">
        <v>46.07598875162126</v>
      </c>
      <c r="N79" s="615">
        <v>47.60202171899688</v>
      </c>
      <c r="O79" s="615">
        <v>49.230599177359274</v>
      </c>
      <c r="P79" s="617">
        <v>50.972146879873399</v>
      </c>
    </row>
    <row r="80" spans="2:20" outlineLevel="1">
      <c r="D80" s="8"/>
      <c r="E80" s="493">
        <f t="shared" si="22"/>
        <v>1.0499999999999995E-2</v>
      </c>
      <c r="F80" s="615">
        <v>37.490996179667349</v>
      </c>
      <c r="G80" s="615">
        <v>38.496928531646184</v>
      </c>
      <c r="H80" s="615">
        <v>39.558644628686061</v>
      </c>
      <c r="I80" s="615">
        <v>40.680628552714055</v>
      </c>
      <c r="J80" s="615">
        <v>41.867866942218122</v>
      </c>
      <c r="K80" s="616">
        <v>43.125923366073138</v>
      </c>
      <c r="L80" s="615">
        <v>44.461026533523132</v>
      </c>
      <c r="M80" s="615">
        <v>45.8801754625879</v>
      </c>
      <c r="N80" s="615">
        <v>47.391265563537445</v>
      </c>
      <c r="O80" s="615">
        <v>49.00324068820003</v>
      </c>
      <c r="P80" s="617">
        <v>50.726277642837822</v>
      </c>
    </row>
    <row r="81" spans="2:16">
      <c r="D81" s="8"/>
      <c r="E81" s="493">
        <f t="shared" si="22"/>
        <v>9.4999999999999946E-3</v>
      </c>
      <c r="F81" s="615">
        <v>37.368850525356883</v>
      </c>
      <c r="G81" s="615">
        <v>38.367146288412826</v>
      </c>
      <c r="H81" s="615">
        <v>39.420542442503937</v>
      </c>
      <c r="I81" s="615">
        <v>40.533441459010042</v>
      </c>
      <c r="J81" s="615">
        <v>41.710735970396932</v>
      </c>
      <c r="K81" s="616">
        <v>42.957880829613131</v>
      </c>
      <c r="L81" s="615">
        <v>44.280978487310946</v>
      </c>
      <c r="M81" s="615">
        <v>45.686880672448872</v>
      </c>
      <c r="N81" s="615">
        <v>47.183310154329959</v>
      </c>
      <c r="O81" s="615">
        <v>48.779007401640911</v>
      </c>
      <c r="P81" s="617">
        <v>50.483908323767153</v>
      </c>
    </row>
    <row r="82" spans="2:16">
      <c r="B82" s="154"/>
      <c r="D82" s="8"/>
      <c r="E82" s="489"/>
      <c r="F82" s="484"/>
      <c r="G82" s="484"/>
      <c r="H82" s="484"/>
      <c r="I82" s="484"/>
      <c r="J82" s="484"/>
      <c r="K82" s="485"/>
      <c r="L82" s="484"/>
      <c r="M82" s="484"/>
      <c r="N82" s="484"/>
      <c r="O82" s="484"/>
      <c r="P82" s="486"/>
    </row>
    <row r="83" spans="2:16" outlineLevel="1">
      <c r="C83" s="8" t="s">
        <v>154</v>
      </c>
      <c r="D83" s="8"/>
      <c r="E83" s="487"/>
      <c r="F83" s="170"/>
      <c r="G83" s="170"/>
      <c r="H83" s="170"/>
      <c r="I83" s="170"/>
      <c r="J83" s="170"/>
      <c r="K83" s="488"/>
      <c r="L83" s="170"/>
      <c r="M83" s="170"/>
      <c r="N83" s="170"/>
      <c r="O83" s="170"/>
      <c r="P83" s="170"/>
    </row>
    <row r="84" spans="2:16" outlineLevel="1">
      <c r="C84" s="9"/>
      <c r="F84" s="8"/>
    </row>
    <row r="85" spans="2:16" outlineLevel="1">
      <c r="D85" s="8"/>
      <c r="E85" s="475"/>
      <c r="F85" s="476"/>
      <c r="G85" s="476"/>
      <c r="H85" s="476"/>
      <c r="I85" s="476"/>
      <c r="J85" s="477" t="s">
        <v>394</v>
      </c>
      <c r="K85" s="478"/>
      <c r="L85" s="476"/>
      <c r="M85" s="476"/>
      <c r="N85" s="476"/>
      <c r="O85" s="476"/>
      <c r="P85" s="479"/>
    </row>
    <row r="86" spans="2:16" outlineLevel="1">
      <c r="D86" s="8"/>
      <c r="E86" s="480">
        <f>I39</f>
        <v>56.936402070351043</v>
      </c>
      <c r="F86" s="490">
        <v>0.2</v>
      </c>
      <c r="G86" s="491">
        <f>F86-0.5%</f>
        <v>0.19500000000000001</v>
      </c>
      <c r="H86" s="491">
        <f t="shared" ref="H86:P86" si="23">G86-0.5%</f>
        <v>0.19</v>
      </c>
      <c r="I86" s="491">
        <f t="shared" si="23"/>
        <v>0.185</v>
      </c>
      <c r="J86" s="491">
        <f t="shared" si="23"/>
        <v>0.18</v>
      </c>
      <c r="K86" s="491">
        <f t="shared" si="23"/>
        <v>0.17499999999999999</v>
      </c>
      <c r="L86" s="491">
        <f t="shared" si="23"/>
        <v>0.16999999999999998</v>
      </c>
      <c r="M86" s="491">
        <f t="shared" si="23"/>
        <v>0.16499999999999998</v>
      </c>
      <c r="N86" s="491">
        <f t="shared" si="23"/>
        <v>0.15999999999999998</v>
      </c>
      <c r="O86" s="491">
        <f t="shared" si="23"/>
        <v>0.15499999999999997</v>
      </c>
      <c r="P86" s="491">
        <f t="shared" si="23"/>
        <v>0.14999999999999997</v>
      </c>
    </row>
    <row r="87" spans="2:16" outlineLevel="1">
      <c r="D87" s="8"/>
      <c r="E87" s="494">
        <v>17</v>
      </c>
      <c r="F87" s="170">
        <f t="dataTable" ref="F87:P95" dt2D="1" dtr="1" r1="D8" r2="I12" ca="1"/>
        <v>55.624427831330813</v>
      </c>
      <c r="G87" s="170">
        <v>56.382388330693203</v>
      </c>
      <c r="H87" s="170">
        <v>57.159072197005976</v>
      </c>
      <c r="I87" s="170">
        <v>57.955110505862578</v>
      </c>
      <c r="J87" s="170">
        <v>58.771161479123563</v>
      </c>
      <c r="K87" s="481">
        <v>59.60791188686796</v>
      </c>
      <c r="L87" s="170">
        <v>60.466078532459711</v>
      </c>
      <c r="M87" s="170">
        <v>61.346409826220821</v>
      </c>
      <c r="N87" s="170">
        <v>62.249687453601048</v>
      </c>
      <c r="O87" s="170">
        <v>63.176728144161025</v>
      </c>
      <c r="P87" s="482">
        <v>64.128385548148614</v>
      </c>
    </row>
    <row r="88" spans="2:16" outlineLevel="1">
      <c r="D88" s="8"/>
      <c r="E88" s="495">
        <f>E87-0.5</f>
        <v>16.5</v>
      </c>
      <c r="F88" s="170">
        <v>54.514790895713752</v>
      </c>
      <c r="G88" s="170">
        <v>55.257591039432867</v>
      </c>
      <c r="H88" s="170">
        <v>56.018842548450941</v>
      </c>
      <c r="I88" s="170">
        <v>56.799170444396736</v>
      </c>
      <c r="J88" s="170">
        <v>57.599226734074641</v>
      </c>
      <c r="K88" s="481">
        <v>58.419691806422406</v>
      </c>
      <c r="L88" s="170">
        <v>59.261275912407179</v>
      </c>
      <c r="M88" s="170">
        <v>60.124720733343999</v>
      </c>
      <c r="N88" s="170">
        <v>61.010801043519884</v>
      </c>
      <c r="O88" s="170">
        <v>61.920326473432034</v>
      </c>
      <c r="P88" s="482">
        <v>62.854143380412189</v>
      </c>
    </row>
    <row r="89" spans="2:16" outlineLevel="1">
      <c r="D89" s="8"/>
      <c r="E89" s="495">
        <f t="shared" ref="E89:E95" si="24">E88-0.5</f>
        <v>16</v>
      </c>
      <c r="F89" s="170">
        <v>53.40515396009669</v>
      </c>
      <c r="G89" s="170">
        <v>54.132793748172517</v>
      </c>
      <c r="H89" s="170">
        <v>54.878612899895913</v>
      </c>
      <c r="I89" s="170">
        <v>55.643230382930902</v>
      </c>
      <c r="J89" s="170">
        <v>56.427291989025711</v>
      </c>
      <c r="K89" s="481">
        <v>57.23147172597686</v>
      </c>
      <c r="L89" s="170">
        <v>58.056473292354632</v>
      </c>
      <c r="M89" s="170">
        <v>58.903031640467169</v>
      </c>
      <c r="N89" s="170">
        <v>59.771914633438726</v>
      </c>
      <c r="O89" s="170">
        <v>60.663924802703015</v>
      </c>
      <c r="P89" s="482">
        <v>61.579901212675757</v>
      </c>
    </row>
    <row r="90" spans="2:16" outlineLevel="1">
      <c r="D90" s="8"/>
      <c r="E90" s="495">
        <f t="shared" si="24"/>
        <v>15.5</v>
      </c>
      <c r="F90" s="170">
        <v>52.295517024479636</v>
      </c>
      <c r="G90" s="170">
        <v>53.007996456912181</v>
      </c>
      <c r="H90" s="170">
        <v>53.738383251340871</v>
      </c>
      <c r="I90" s="170">
        <v>54.487290321465061</v>
      </c>
      <c r="J90" s="170">
        <v>55.255357243976789</v>
      </c>
      <c r="K90" s="481">
        <v>56.043251645531321</v>
      </c>
      <c r="L90" s="170">
        <v>56.851670672302085</v>
      </c>
      <c r="M90" s="170">
        <v>57.681342547590347</v>
      </c>
      <c r="N90" s="170">
        <v>58.533028223357562</v>
      </c>
      <c r="O90" s="170">
        <v>59.407523131974003</v>
      </c>
      <c r="P90" s="482">
        <v>60.305659044939325</v>
      </c>
    </row>
    <row r="91" spans="2:16" outlineLevel="1">
      <c r="C91" s="619" t="s">
        <v>155</v>
      </c>
      <c r="D91" s="8"/>
      <c r="E91" s="495">
        <f t="shared" si="24"/>
        <v>15</v>
      </c>
      <c r="F91" s="170">
        <v>51.185880088862582</v>
      </c>
      <c r="G91" s="170">
        <v>51.883199165651845</v>
      </c>
      <c r="H91" s="170">
        <v>52.598153602785843</v>
      </c>
      <c r="I91" s="170">
        <v>53.331350259999226</v>
      </c>
      <c r="J91" s="170">
        <v>54.08342249892786</v>
      </c>
      <c r="K91" s="481">
        <v>54.855031565085767</v>
      </c>
      <c r="L91" s="170">
        <v>55.646868052249552</v>
      </c>
      <c r="M91" s="170">
        <v>56.459653454713532</v>
      </c>
      <c r="N91" s="170">
        <v>57.294141813276418</v>
      </c>
      <c r="O91" s="170">
        <v>58.15112146124499</v>
      </c>
      <c r="P91" s="482">
        <v>59.031416877202894</v>
      </c>
    </row>
    <row r="92" spans="2:16" outlineLevel="1">
      <c r="D92" s="8"/>
      <c r="E92" s="495">
        <f t="shared" si="24"/>
        <v>14.5</v>
      </c>
      <c r="F92" s="481">
        <v>50.076243153245514</v>
      </c>
      <c r="G92" s="481">
        <v>50.758401874391495</v>
      </c>
      <c r="H92" s="481">
        <v>51.4579239542308</v>
      </c>
      <c r="I92" s="481">
        <v>52.175410198533378</v>
      </c>
      <c r="J92" s="481">
        <v>52.91148775387893</v>
      </c>
      <c r="K92" s="481">
        <v>53.666811484640213</v>
      </c>
      <c r="L92" s="481">
        <v>54.442065432197005</v>
      </c>
      <c r="M92" s="481">
        <v>55.237964361836703</v>
      </c>
      <c r="N92" s="481">
        <v>56.055255403195247</v>
      </c>
      <c r="O92" s="481">
        <v>56.894719790515971</v>
      </c>
      <c r="P92" s="483">
        <v>57.757174709466454</v>
      </c>
    </row>
    <row r="93" spans="2:16" outlineLevel="1">
      <c r="D93" s="8"/>
      <c r="E93" s="495">
        <f t="shared" si="24"/>
        <v>14</v>
      </c>
      <c r="F93" s="170">
        <v>48.96660621762846</v>
      </c>
      <c r="G93" s="170">
        <v>49.633604583131159</v>
      </c>
      <c r="H93" s="170">
        <v>50.317694305675772</v>
      </c>
      <c r="I93" s="170">
        <v>51.019470137067543</v>
      </c>
      <c r="J93" s="170">
        <v>51.739553008830008</v>
      </c>
      <c r="K93" s="481">
        <v>52.478591404194667</v>
      </c>
      <c r="L93" s="170">
        <v>53.237262812144458</v>
      </c>
      <c r="M93" s="170">
        <v>54.01627526895988</v>
      </c>
      <c r="N93" s="170">
        <v>54.816368993114089</v>
      </c>
      <c r="O93" s="170">
        <v>55.638318119786959</v>
      </c>
      <c r="P93" s="482">
        <v>56.482932541730023</v>
      </c>
    </row>
    <row r="94" spans="2:16" outlineLevel="1">
      <c r="D94" s="8"/>
      <c r="E94" s="495">
        <f t="shared" si="24"/>
        <v>13.5</v>
      </c>
      <c r="F94" s="170">
        <v>47.856969282011391</v>
      </c>
      <c r="G94" s="170">
        <v>48.508807291870824</v>
      </c>
      <c r="H94" s="170">
        <v>49.177464657120744</v>
      </c>
      <c r="I94" s="170">
        <v>49.863530075601709</v>
      </c>
      <c r="J94" s="170">
        <v>50.567618263781078</v>
      </c>
      <c r="K94" s="481">
        <v>51.29037132374912</v>
      </c>
      <c r="L94" s="170">
        <v>52.032460192091925</v>
      </c>
      <c r="M94" s="170">
        <v>52.794586176083065</v>
      </c>
      <c r="N94" s="170">
        <v>53.577482583032932</v>
      </c>
      <c r="O94" s="170">
        <v>54.381916449057954</v>
      </c>
      <c r="P94" s="482">
        <v>55.208690373993598</v>
      </c>
    </row>
    <row r="95" spans="2:16" outlineLevel="1">
      <c r="D95" s="8"/>
      <c r="E95" s="495">
        <f t="shared" si="24"/>
        <v>13</v>
      </c>
      <c r="F95" s="170">
        <v>46.747332346394344</v>
      </c>
      <c r="G95" s="170">
        <v>47.384010000610488</v>
      </c>
      <c r="H95" s="170">
        <v>48.037235008565702</v>
      </c>
      <c r="I95" s="170">
        <v>48.70759001413586</v>
      </c>
      <c r="J95" s="170">
        <v>49.395683518732149</v>
      </c>
      <c r="K95" s="481">
        <v>50.102151243303581</v>
      </c>
      <c r="L95" s="170">
        <v>50.827657572039378</v>
      </c>
      <c r="M95" s="170">
        <v>51.572897083206243</v>
      </c>
      <c r="N95" s="170">
        <v>52.338596172951767</v>
      </c>
      <c r="O95" s="170">
        <v>53.125514778328942</v>
      </c>
      <c r="P95" s="482">
        <v>53.934448206257166</v>
      </c>
    </row>
    <row r="96" spans="2:16" outlineLevel="1">
      <c r="D96" s="8"/>
      <c r="E96" s="489"/>
      <c r="F96" s="484"/>
      <c r="G96" s="484"/>
      <c r="H96" s="484"/>
      <c r="I96" s="484"/>
      <c r="J96" s="484"/>
      <c r="K96" s="485"/>
      <c r="L96" s="484"/>
      <c r="M96" s="484"/>
      <c r="N96" s="484"/>
      <c r="O96" s="484"/>
      <c r="P96" s="486"/>
    </row>
    <row r="97" spans="3:16" outlineLevel="1">
      <c r="D97" s="8"/>
      <c r="E97" s="487"/>
      <c r="F97" s="170"/>
      <c r="G97" s="170"/>
      <c r="H97" s="170"/>
      <c r="I97" s="170"/>
      <c r="J97" s="170"/>
      <c r="K97" s="488"/>
      <c r="L97" s="170"/>
      <c r="M97" s="170"/>
      <c r="N97" s="170"/>
      <c r="O97" s="170"/>
      <c r="P97" s="170"/>
    </row>
    <row r="98" spans="3:16" outlineLevel="1">
      <c r="D98" s="8"/>
      <c r="E98" s="487"/>
      <c r="F98" s="170"/>
      <c r="G98" s="170"/>
      <c r="H98" s="170"/>
      <c r="I98" s="170"/>
      <c r="J98" s="170"/>
      <c r="K98" s="488"/>
      <c r="L98" s="170"/>
      <c r="M98" s="170"/>
      <c r="N98" s="170"/>
      <c r="O98" s="170"/>
      <c r="P98" s="170"/>
    </row>
    <row r="99" spans="3:16" outlineLevel="1">
      <c r="C99" s="9"/>
      <c r="F99" s="8"/>
    </row>
    <row r="100" spans="3:16" outlineLevel="1">
      <c r="C100" s="686"/>
      <c r="D100" s="686"/>
      <c r="E100" s="197"/>
      <c r="F100" s="197"/>
      <c r="G100" s="197"/>
      <c r="H100" s="197"/>
      <c r="I100" s="197"/>
      <c r="J100" s="197"/>
      <c r="K100" s="197"/>
      <c r="L100" s="197"/>
      <c r="M100" s="197"/>
      <c r="N100" s="197"/>
      <c r="O100" s="197"/>
      <c r="P100" s="197"/>
    </row>
    <row r="101" spans="3:16" outlineLevel="1">
      <c r="C101" s="686"/>
      <c r="D101" s="687"/>
      <c r="E101" s="688"/>
      <c r="F101" s="689"/>
      <c r="G101" s="689"/>
      <c r="H101" s="689"/>
      <c r="I101" s="689"/>
      <c r="J101" s="689"/>
      <c r="K101" s="689"/>
      <c r="L101" s="689"/>
      <c r="M101" s="689"/>
      <c r="N101" s="689"/>
      <c r="O101" s="689"/>
      <c r="P101" s="689"/>
    </row>
    <row r="102" spans="3:16" outlineLevel="1">
      <c r="D102" s="690"/>
      <c r="E102" s="691"/>
      <c r="F102" s="691"/>
      <c r="G102" s="691"/>
      <c r="H102" s="691"/>
      <c r="I102" s="170"/>
      <c r="J102" s="692"/>
      <c r="K102" s="691"/>
      <c r="L102" s="691"/>
      <c r="M102" s="170"/>
      <c r="N102" s="170"/>
      <c r="O102" s="170"/>
      <c r="P102" s="170"/>
    </row>
    <row r="103" spans="3:16" outlineLevel="1">
      <c r="C103" s="693"/>
      <c r="D103" s="694"/>
      <c r="E103" s="691"/>
      <c r="F103" s="691"/>
      <c r="G103" s="691"/>
      <c r="H103" s="691"/>
      <c r="I103" s="170"/>
      <c r="J103" s="692"/>
      <c r="K103" s="691"/>
      <c r="L103" s="691"/>
      <c r="M103" s="170"/>
      <c r="N103" s="170"/>
      <c r="O103" s="170"/>
      <c r="P103" s="170"/>
    </row>
    <row r="104" spans="3:16" outlineLevel="1">
      <c r="C104" s="693"/>
      <c r="D104" s="694"/>
      <c r="E104" s="691"/>
      <c r="F104" s="691"/>
      <c r="G104" s="691"/>
      <c r="H104" s="691"/>
      <c r="I104" s="170"/>
      <c r="J104" s="692"/>
      <c r="K104" s="691"/>
      <c r="L104" s="691"/>
      <c r="M104" s="170"/>
      <c r="N104" s="170"/>
      <c r="O104" s="170"/>
      <c r="P104" s="170"/>
    </row>
    <row r="105" spans="3:16" outlineLevel="1">
      <c r="C105" s="695"/>
      <c r="D105" s="694"/>
      <c r="E105" s="691"/>
      <c r="F105" s="691"/>
      <c r="G105" s="691"/>
      <c r="H105" s="691"/>
      <c r="I105" s="170"/>
      <c r="J105" s="692"/>
      <c r="K105" s="691"/>
      <c r="L105" s="691"/>
      <c r="M105" s="170"/>
      <c r="N105" s="170"/>
      <c r="O105" s="170"/>
      <c r="P105" s="170"/>
    </row>
    <row r="106" spans="3:16" outlineLevel="1">
      <c r="C106" s="693"/>
      <c r="D106" s="694"/>
      <c r="E106" s="692"/>
      <c r="F106" s="692"/>
      <c r="G106" s="692"/>
      <c r="H106" s="692"/>
      <c r="I106" s="488"/>
      <c r="J106" s="692"/>
      <c r="K106" s="692"/>
      <c r="L106" s="692"/>
      <c r="M106" s="488"/>
      <c r="N106" s="488"/>
      <c r="O106" s="488"/>
      <c r="P106" s="488"/>
    </row>
    <row r="107" spans="3:16" outlineLevel="1">
      <c r="C107" s="693"/>
      <c r="D107" s="694"/>
      <c r="E107" s="691"/>
      <c r="F107" s="691"/>
      <c r="G107" s="691"/>
      <c r="H107" s="691"/>
      <c r="I107" s="170"/>
      <c r="J107" s="692"/>
      <c r="K107" s="691"/>
      <c r="L107" s="691"/>
      <c r="M107" s="170"/>
      <c r="N107" s="170"/>
      <c r="O107" s="170"/>
      <c r="P107" s="170"/>
    </row>
    <row r="108" spans="3:16" outlineLevel="1">
      <c r="C108" s="693"/>
      <c r="D108" s="694"/>
      <c r="E108" s="691"/>
      <c r="F108" s="691"/>
      <c r="G108" s="691"/>
      <c r="H108" s="691"/>
      <c r="I108" s="170"/>
      <c r="J108" s="692"/>
      <c r="K108" s="691"/>
      <c r="L108" s="691"/>
      <c r="M108" s="170"/>
      <c r="N108" s="170"/>
      <c r="O108" s="170"/>
      <c r="P108" s="170"/>
    </row>
    <row r="109" spans="3:16" outlineLevel="1">
      <c r="C109" s="693"/>
      <c r="D109" s="694"/>
      <c r="E109" s="691"/>
      <c r="F109" s="691"/>
      <c r="G109" s="691"/>
      <c r="H109" s="691"/>
      <c r="I109" s="170"/>
      <c r="J109" s="692"/>
      <c r="K109" s="691"/>
      <c r="L109" s="691"/>
      <c r="M109" s="170"/>
      <c r="N109" s="170"/>
      <c r="O109" s="170"/>
      <c r="P109" s="170"/>
    </row>
    <row r="110" spans="3:16" outlineLevel="1">
      <c r="C110" s="693"/>
      <c r="D110" s="694"/>
      <c r="E110" s="691"/>
      <c r="F110" s="691"/>
      <c r="G110" s="691"/>
      <c r="H110" s="691"/>
      <c r="I110" s="170"/>
      <c r="J110" s="692"/>
      <c r="K110" s="691"/>
      <c r="L110" s="691"/>
      <c r="M110" s="170"/>
      <c r="N110" s="170"/>
      <c r="O110" s="170"/>
      <c r="P110" s="170"/>
    </row>
    <row r="111" spans="3:16" outlineLevel="1"/>
    <row r="112" spans="3:16" outlineLevel="1"/>
    <row r="113" outlineLevel="1"/>
    <row r="114" outlineLevel="1"/>
    <row r="115" outlineLevel="1"/>
    <row r="116" outlineLevel="1"/>
    <row r="117" outlineLevel="1"/>
    <row r="118" outlineLevel="1"/>
    <row r="119" outlineLevel="1"/>
    <row r="120" outlineLevel="1"/>
    <row r="121" outlineLevel="1"/>
    <row r="122" outlineLevel="1"/>
    <row r="123" outlineLevel="1"/>
    <row r="124" outlineLevel="1"/>
    <row r="125" outlineLevel="1"/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FC501E8-E299-4D25-AE3C-13281419189F}">
          <x14:formula1>
            <xm:f>Deployment!$B$11:$B$13</xm:f>
          </x14:formula1>
          <xm:sqref>D9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82B56-EF56-41BC-8B07-C2B99C1029AB}">
  <dimension ref="B1:AA52"/>
  <sheetViews>
    <sheetView showGridLines="0" zoomScale="64" workbookViewId="0">
      <selection activeCell="F9" sqref="F9"/>
    </sheetView>
  </sheetViews>
  <sheetFormatPr defaultColWidth="9.1796875" defaultRowHeight="15.5" outlineLevelRow="1" outlineLevelCol="1"/>
  <cols>
    <col min="1" max="1" width="2.7265625" style="164" customWidth="1"/>
    <col min="2" max="2" width="39.26953125" style="164" bestFit="1" customWidth="1"/>
    <col min="3" max="3" width="6.26953125" style="164" customWidth="1" outlineLevel="1"/>
    <col min="4" max="12" width="12.7265625" style="164" customWidth="1"/>
    <col min="13" max="14" width="2.7265625" style="164" customWidth="1"/>
    <col min="15" max="23" width="10.7265625" style="164" customWidth="1"/>
    <col min="24" max="16384" width="9.1796875" style="164"/>
  </cols>
  <sheetData>
    <row r="1" spans="2:27" ht="15.75" customHeight="1"/>
    <row r="2" spans="2:27" ht="15.75" customHeight="1">
      <c r="B2" s="424" t="str">
        <f>"WACC Analysis - "&amp;TEXT(Company_Name,"")</f>
        <v>WACC Analysis - Nebius, N.V.</v>
      </c>
      <c r="C2" s="165"/>
    </row>
    <row r="3" spans="2:27" ht="15.75" customHeight="1">
      <c r="B3" s="95" t="str">
        <f>+[2]WMT_Model!$B$3</f>
        <v>($ in Millions Except Per Share and Per Unit Data)</v>
      </c>
    </row>
    <row r="4" spans="2:27" ht="15.75" customHeight="1">
      <c r="AA4" s="98"/>
    </row>
    <row r="5" spans="2:27" ht="15.75" customHeight="1">
      <c r="B5" s="442" t="s">
        <v>306</v>
      </c>
      <c r="C5" s="442"/>
      <c r="D5" s="443"/>
      <c r="E5" s="443"/>
      <c r="F5" s="443"/>
      <c r="G5" s="425"/>
      <c r="H5" s="425"/>
      <c r="AA5" s="98"/>
    </row>
    <row r="6" spans="2:27" ht="15.75" customHeight="1">
      <c r="B6" s="95" t="s">
        <v>307</v>
      </c>
      <c r="C6" s="98"/>
      <c r="F6" s="444">
        <v>3.5000000000000003E-2</v>
      </c>
      <c r="G6" s="426"/>
      <c r="H6" s="426"/>
      <c r="AA6" s="98"/>
    </row>
    <row r="7" spans="2:27" ht="15.75" customHeight="1">
      <c r="B7" s="95" t="s">
        <v>308</v>
      </c>
      <c r="C7" s="98"/>
      <c r="F7" s="444">
        <v>0.05</v>
      </c>
      <c r="G7" s="426"/>
      <c r="H7" s="426"/>
      <c r="AA7" s="98"/>
    </row>
    <row r="8" spans="2:27" ht="15.75" customHeight="1">
      <c r="B8" s="95" t="s">
        <v>309</v>
      </c>
      <c r="C8" s="98"/>
      <c r="F8" s="445">
        <v>0</v>
      </c>
      <c r="G8" s="426"/>
      <c r="H8" s="427"/>
      <c r="I8" s="428"/>
      <c r="J8" s="428"/>
      <c r="AA8" s="98"/>
    </row>
    <row r="9" spans="2:27" ht="15.75" customHeight="1">
      <c r="B9" s="95" t="s">
        <v>310</v>
      </c>
      <c r="C9" s="98"/>
      <c r="F9" s="444">
        <v>0</v>
      </c>
      <c r="G9" s="426"/>
      <c r="H9" s="426"/>
      <c r="I9" s="428"/>
      <c r="J9" s="428"/>
      <c r="AA9" s="98"/>
    </row>
    <row r="10" spans="2:27" ht="15.75" customHeight="1">
      <c r="AA10" s="98"/>
    </row>
    <row r="11" spans="2:27" ht="15.75" hidden="1" customHeight="1" outlineLevel="1">
      <c r="B11" s="429" t="str">
        <f>[2]Public_Comps_Data!$B$2</f>
        <v>Company Name:</v>
      </c>
      <c r="C11" s="224" t="str">
        <f>[2]Public_Comps_Data!$B$1</f>
        <v>Ticker:</v>
      </c>
      <c r="D11" s="224" t="str">
        <f>[2]Public_Comps_Data!$B$61</f>
        <v>Levered Beta:</v>
      </c>
      <c r="E11" s="224" t="str">
        <f>[2]Public_Comps_Data!$B$21</f>
        <v>(+) Debt &amp; Capital Leases:</v>
      </c>
      <c r="F11" s="430"/>
      <c r="G11" s="224" t="str">
        <f>[2]Public_Comps_Data!$B$22</f>
        <v>(+) Preferred Stock:</v>
      </c>
      <c r="H11" s="430"/>
      <c r="I11" s="429" t="str">
        <f>[2]Public_Comps_Data!$B$59</f>
        <v>Equity Value:</v>
      </c>
      <c r="J11" s="431"/>
      <c r="K11" s="224" t="str">
        <f>[2]Public_Comps_Data!$B$14</f>
        <v>Effective Tax Rate:</v>
      </c>
      <c r="AA11" s="98"/>
    </row>
    <row r="12" spans="2:27" ht="15.75" customHeight="1" collapsed="1">
      <c r="B12" s="232" t="s">
        <v>311</v>
      </c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AA12" s="98"/>
    </row>
    <row r="13" spans="2:27" ht="15.75" customHeight="1">
      <c r="B13" s="232"/>
      <c r="C13" s="232"/>
      <c r="D13" s="236" t="s">
        <v>312</v>
      </c>
      <c r="E13" s="236"/>
      <c r="F13" s="236"/>
      <c r="G13" s="236" t="s">
        <v>218</v>
      </c>
      <c r="H13" s="236"/>
      <c r="I13" s="236" t="s">
        <v>205</v>
      </c>
      <c r="J13" s="236"/>
      <c r="K13" s="236"/>
      <c r="L13" s="236" t="s">
        <v>313</v>
      </c>
      <c r="AA13" s="98"/>
    </row>
    <row r="14" spans="2:27" ht="15.75" customHeight="1">
      <c r="B14" s="232" t="s">
        <v>314</v>
      </c>
      <c r="C14" s="232" t="s">
        <v>211</v>
      </c>
      <c r="D14" s="236" t="s">
        <v>215</v>
      </c>
      <c r="E14" s="236" t="s">
        <v>217</v>
      </c>
      <c r="F14" s="236" t="s">
        <v>315</v>
      </c>
      <c r="G14" s="236" t="s">
        <v>316</v>
      </c>
      <c r="H14" s="236" t="s">
        <v>317</v>
      </c>
      <c r="I14" s="236" t="s">
        <v>220</v>
      </c>
      <c r="J14" s="236" t="s">
        <v>318</v>
      </c>
      <c r="K14" s="236" t="s">
        <v>216</v>
      </c>
      <c r="L14" s="236" t="s">
        <v>215</v>
      </c>
      <c r="AA14" s="98"/>
    </row>
    <row r="15" spans="2:27" ht="15.75" customHeight="1">
      <c r="B15" s="95" t="str">
        <f t="shared" ref="B15:B20" si="0">INDEX(Pub_Comps_Range,MATCH(B$11,Pub_Comps_Params,0),MATCH($C15,Pub_Comps_Tickers,0))</f>
        <v>Lam Research Corp.</v>
      </c>
      <c r="C15" s="98" t="s">
        <v>236</v>
      </c>
      <c r="D15" s="432">
        <f t="shared" ref="D15:E20" si="1">INDEX(Pub_Comps_Range,MATCH(D$11,Pub_Comps_Params,0),MATCH($C15,Pub_Comps_Tickers,0))</f>
        <v>1.49</v>
      </c>
      <c r="E15" s="433">
        <f t="shared" si="1"/>
        <v>4983</v>
      </c>
      <c r="F15" s="434">
        <f>+E15/($E15+$G15+$I15)</f>
        <v>5.0017336884242383E-2</v>
      </c>
      <c r="G15" s="433">
        <f t="shared" ref="G15:G20" si="2">INDEX(Pub_Comps_Range,MATCH(G$11,Pub_Comps_Params,0),MATCH($C15,Pub_Comps_Tickers,0))</f>
        <v>0</v>
      </c>
      <c r="H15" s="434">
        <f>+G15/($E15+$G15+$I15)</f>
        <v>0</v>
      </c>
      <c r="I15" s="433">
        <f t="shared" ref="I15:I20" si="3">INDEX(Pub_Comps_Range,MATCH(I$11,Pub_Comps_Params,0),MATCH($C15,Pub_Comps_Tickers,0))</f>
        <v>94642.456099999996</v>
      </c>
      <c r="J15" s="434">
        <f>+I15/($E15+$G15+$I15)</f>
        <v>0.94998266311575763</v>
      </c>
      <c r="K15" s="434">
        <f t="shared" ref="K15:K20" si="4">INDEX(Pub_Comps_Range,MATCH(K$11,Pub_Comps_Params,0),MATCH($C15,Pub_Comps_Tickers,0))</f>
        <v>0.12212742534746113</v>
      </c>
      <c r="L15" s="435">
        <f>IFERROR(D15/(1+(E15/I15)*(1-K15)+G15/I15),"N/A")</f>
        <v>1.4241737169231261</v>
      </c>
      <c r="AA15" s="98"/>
    </row>
    <row r="16" spans="2:27" ht="15.75" customHeight="1">
      <c r="B16" s="95" t="str">
        <f t="shared" si="0"/>
        <v>ASML Holding, N.V.</v>
      </c>
      <c r="C16" s="98" t="s">
        <v>224</v>
      </c>
      <c r="D16" s="432">
        <f t="shared" si="1"/>
        <v>1.1000000000000001</v>
      </c>
      <c r="E16" s="436">
        <f t="shared" si="1"/>
        <v>4694.2</v>
      </c>
      <c r="F16" s="434">
        <f t="shared" ref="F16:F19" si="5">+E16/($E16+$G16+$I16)</f>
        <v>1.7345032608942122E-2</v>
      </c>
      <c r="G16" s="436">
        <f t="shared" si="2"/>
        <v>0</v>
      </c>
      <c r="H16" s="434">
        <f t="shared" ref="H16:H19" si="6">+G16/($E16+$G16+$I16)</f>
        <v>0</v>
      </c>
      <c r="I16" s="436">
        <f t="shared" si="3"/>
        <v>265942.36239999998</v>
      </c>
      <c r="J16" s="434">
        <f t="shared" ref="J16:J19" si="7">+I16/($E16+$G16+$I16)</f>
        <v>0.98265496739105784</v>
      </c>
      <c r="K16" s="434">
        <f t="shared" si="4"/>
        <v>0.1623471646087051</v>
      </c>
      <c r="L16" s="435">
        <f t="shared" ref="L16:L19" si="8">IFERROR(D16/(1+(E16/I16)*(1-K16)+G16/I16),"N/A")</f>
        <v>1.0839728415348759</v>
      </c>
      <c r="AA16" s="98"/>
    </row>
    <row r="17" spans="2:27" ht="15.75" customHeight="1">
      <c r="B17" s="95" t="str">
        <f t="shared" si="0"/>
        <v>KLA Corporation</v>
      </c>
      <c r="C17" s="98" t="s">
        <v>225</v>
      </c>
      <c r="D17" s="432">
        <f t="shared" si="1"/>
        <v>1.29</v>
      </c>
      <c r="E17" s="436">
        <f t="shared" si="1"/>
        <v>6826</v>
      </c>
      <c r="F17" s="434">
        <f t="shared" si="5"/>
        <v>7.2673989566576683E-2</v>
      </c>
      <c r="G17" s="436">
        <f t="shared" si="2"/>
        <v>0</v>
      </c>
      <c r="H17" s="434">
        <f t="shared" si="6"/>
        <v>0</v>
      </c>
      <c r="I17" s="436">
        <f t="shared" si="3"/>
        <v>87100.314499999993</v>
      </c>
      <c r="J17" s="434">
        <f t="shared" si="7"/>
        <v>0.92732601043342333</v>
      </c>
      <c r="K17" s="434">
        <f t="shared" si="4"/>
        <v>0.13187006145741881</v>
      </c>
      <c r="L17" s="435">
        <f t="shared" si="8"/>
        <v>1.2078257801716665</v>
      </c>
      <c r="AA17" s="98"/>
    </row>
    <row r="18" spans="2:27" ht="15.75" customHeight="1">
      <c r="B18" s="95" t="str">
        <f t="shared" si="0"/>
        <v>Broadcom Inc.</v>
      </c>
      <c r="C18" s="98" t="s">
        <v>226</v>
      </c>
      <c r="D18" s="432">
        <f t="shared" si="1"/>
        <v>1.19</v>
      </c>
      <c r="E18" s="436">
        <f t="shared" si="1"/>
        <v>69959</v>
      </c>
      <c r="F18" s="434">
        <f t="shared" si="5"/>
        <v>8.3568754874002893E-2</v>
      </c>
      <c r="G18" s="436">
        <f t="shared" si="2"/>
        <v>0</v>
      </c>
      <c r="H18" s="434">
        <f t="shared" si="6"/>
        <v>0</v>
      </c>
      <c r="I18" s="436">
        <f t="shared" si="3"/>
        <v>767184.02199999988</v>
      </c>
      <c r="J18" s="434">
        <f t="shared" si="7"/>
        <v>0.91643124512599716</v>
      </c>
      <c r="K18" s="434">
        <f t="shared" si="4"/>
        <v>0.39286017128805223</v>
      </c>
      <c r="L18" s="435">
        <f t="shared" si="8"/>
        <v>1.1275723229857557</v>
      </c>
      <c r="AA18" s="98"/>
    </row>
    <row r="19" spans="2:27" ht="15.75" customHeight="1">
      <c r="B19" s="95" t="str">
        <f t="shared" si="0"/>
        <v>Qualcomm Incorporated</v>
      </c>
      <c r="C19" s="98" t="s">
        <v>227</v>
      </c>
      <c r="D19" s="432">
        <f t="shared" si="1"/>
        <v>1.29</v>
      </c>
      <c r="E19" s="436">
        <f t="shared" si="1"/>
        <v>14634</v>
      </c>
      <c r="F19" s="434">
        <f t="shared" si="5"/>
        <v>7.2728501630849929E-2</v>
      </c>
      <c r="G19" s="436">
        <f t="shared" si="2"/>
        <v>0</v>
      </c>
      <c r="H19" s="434">
        <f t="shared" si="6"/>
        <v>0</v>
      </c>
      <c r="I19" s="436">
        <f t="shared" si="3"/>
        <v>186580.09999999998</v>
      </c>
      <c r="J19" s="434">
        <f t="shared" si="7"/>
        <v>0.92727149836915002</v>
      </c>
      <c r="K19" s="434">
        <f t="shared" si="4"/>
        <v>2.186532507739938E-2</v>
      </c>
      <c r="L19" s="435">
        <f t="shared" si="8"/>
        <v>1.1980854671408139</v>
      </c>
      <c r="AA19" s="98"/>
    </row>
    <row r="20" spans="2:27" ht="15.75" customHeight="1">
      <c r="B20" s="95" t="str">
        <f t="shared" si="0"/>
        <v>Applied Materials</v>
      </c>
      <c r="C20" s="98" t="s">
        <v>223</v>
      </c>
      <c r="D20" s="432">
        <f t="shared" si="1"/>
        <v>1.29</v>
      </c>
      <c r="E20" s="436">
        <f t="shared" si="1"/>
        <v>6606</v>
      </c>
      <c r="F20" s="434">
        <f t="shared" ref="F20" si="9">+E20/($E20+$G20+$I20)</f>
        <v>4.3653111206003431E-2</v>
      </c>
      <c r="G20" s="436">
        <f t="shared" si="2"/>
        <v>0</v>
      </c>
      <c r="H20" s="434">
        <f t="shared" ref="H20" si="10">+G20/($E20+$G20+$I20)</f>
        <v>0</v>
      </c>
      <c r="I20" s="436">
        <f t="shared" si="3"/>
        <v>144723.42000000001</v>
      </c>
      <c r="J20" s="434">
        <f t="shared" ref="J20" si="11">+I20/($E20+$G20+$I20)</f>
        <v>0.95634688879399654</v>
      </c>
      <c r="K20" s="434">
        <f t="shared" si="4"/>
        <v>0.11960255152109912</v>
      </c>
      <c r="L20" s="435">
        <f t="shared" ref="L20" si="12">IFERROR(D20/(1+(E20/I20)*(1-K20)+G20/I20),"N/A")</f>
        <v>1.2401624035749035</v>
      </c>
      <c r="AA20" s="98"/>
    </row>
    <row r="21" spans="2:27" ht="15.75" customHeight="1">
      <c r="C21" s="98"/>
      <c r="AA21" s="98"/>
    </row>
    <row r="22" spans="2:27" ht="15.75" customHeight="1">
      <c r="B22" s="449" t="s">
        <v>319</v>
      </c>
      <c r="C22" s="450"/>
      <c r="D22" s="451">
        <f>MEDIAN(D15:D19)</f>
        <v>1.29</v>
      </c>
      <c r="E22" s="452">
        <f t="shared" ref="E22:L22" si="13">MEDIAN(E15:E19)</f>
        <v>6826</v>
      </c>
      <c r="F22" s="453">
        <f t="shared" si="13"/>
        <v>7.2673989566576683E-2</v>
      </c>
      <c r="G22" s="452">
        <f t="shared" si="13"/>
        <v>0</v>
      </c>
      <c r="H22" s="453">
        <f t="shared" si="13"/>
        <v>0</v>
      </c>
      <c r="I22" s="452">
        <f t="shared" si="13"/>
        <v>186580.09999999998</v>
      </c>
      <c r="J22" s="453">
        <f t="shared" si="13"/>
        <v>0.92732601043342333</v>
      </c>
      <c r="K22" s="453">
        <f t="shared" si="13"/>
        <v>0.13187006145741881</v>
      </c>
      <c r="L22" s="454">
        <f t="shared" si="13"/>
        <v>1.1980854671408139</v>
      </c>
      <c r="AA22" s="98"/>
    </row>
    <row r="23" spans="2:27" ht="15.75" customHeight="1">
      <c r="AA23" s="98"/>
    </row>
    <row r="24" spans="2:27" ht="15.75" customHeight="1">
      <c r="B24" s="455" t="str">
        <f>INDEX(Pub_Comps_Range,MATCH(B$11,Pub_Comps_Params,0),MATCH($C24,Pub_Comps_Tickers,0))</f>
        <v>Nebius Group, N.V.</v>
      </c>
      <c r="C24" s="455" t="s">
        <v>23</v>
      </c>
      <c r="D24" s="456">
        <f t="shared" ref="D24:K24" si="14">INDEX(Pub_Comps_Range,MATCH(D$11,Pub_Comps_Params,0),MATCH($C24,Pub_Comps_Tickers,0))</f>
        <v>2.57</v>
      </c>
      <c r="E24" s="455">
        <f t="shared" si="14"/>
        <v>0</v>
      </c>
      <c r="F24" s="455" t="e">
        <f t="shared" si="14"/>
        <v>#N/A</v>
      </c>
      <c r="G24" s="455">
        <f t="shared" si="14"/>
        <v>0</v>
      </c>
      <c r="H24" s="455" t="e">
        <f t="shared" si="14"/>
        <v>#N/A</v>
      </c>
      <c r="I24" s="474">
        <f t="shared" si="14"/>
        <v>5389.2767000000003</v>
      </c>
      <c r="J24" s="455" t="e">
        <f t="shared" si="14"/>
        <v>#N/A</v>
      </c>
      <c r="K24" s="458">
        <f t="shared" si="14"/>
        <v>0.16860997432667954</v>
      </c>
      <c r="L24" s="459">
        <f t="shared" ref="L24" si="15">IFERROR(D24/(1+(E24/I24)*(1-K24)+G24/I24),"N/A")</f>
        <v>2.57</v>
      </c>
      <c r="AA24" s="98"/>
    </row>
    <row r="25" spans="2:27" ht="15.75" customHeight="1">
      <c r="AA25" s="98"/>
    </row>
    <row r="26" spans="2:27" ht="15.75" customHeight="1">
      <c r="B26" s="232" t="str">
        <f>TEXT(Company_Name,"")&amp; " - Levered Beta &amp; WACC Calculation:"</f>
        <v>Nebius, N.V. - Levered Beta &amp; WACC Calculation:</v>
      </c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AA26" s="98"/>
    </row>
    <row r="27" spans="2:27" ht="15.75" customHeight="1">
      <c r="B27" s="232"/>
      <c r="C27" s="232"/>
      <c r="D27" s="236" t="s">
        <v>313</v>
      </c>
      <c r="E27" s="236"/>
      <c r="F27" s="236"/>
      <c r="G27" s="236" t="s">
        <v>218</v>
      </c>
      <c r="H27" s="236"/>
      <c r="I27" s="236" t="s">
        <v>205</v>
      </c>
      <c r="J27" s="236"/>
      <c r="K27" s="236"/>
      <c r="L27" s="236" t="s">
        <v>312</v>
      </c>
      <c r="AA27" s="98"/>
    </row>
    <row r="28" spans="2:27" ht="15.75" customHeight="1">
      <c r="B28" s="232"/>
      <c r="C28" s="232" t="s">
        <v>211</v>
      </c>
      <c r="D28" s="236" t="s">
        <v>215</v>
      </c>
      <c r="E28" s="236" t="s">
        <v>217</v>
      </c>
      <c r="F28" s="236" t="s">
        <v>315</v>
      </c>
      <c r="G28" s="236" t="s">
        <v>316</v>
      </c>
      <c r="H28" s="236" t="s">
        <v>317</v>
      </c>
      <c r="I28" s="236" t="s">
        <v>220</v>
      </c>
      <c r="J28" s="236" t="s">
        <v>318</v>
      </c>
      <c r="K28" s="236" t="s">
        <v>216</v>
      </c>
      <c r="L28" s="236" t="s">
        <v>215</v>
      </c>
      <c r="AA28" s="98"/>
    </row>
    <row r="29" spans="2:27" ht="15.75" customHeight="1">
      <c r="B29" s="95" t="s">
        <v>320</v>
      </c>
      <c r="C29" s="95" t="s">
        <v>23</v>
      </c>
      <c r="D29" s="437">
        <f>L24</f>
        <v>2.57</v>
      </c>
      <c r="E29" s="448">
        <f>INDEX(Pub_Comps_Range,MATCH(E$11,Pub_Comps_Params,0),MATCH($C29,Pub_Comps_Tickers,0))</f>
        <v>0</v>
      </c>
      <c r="F29" s="439">
        <f>+E29/($E29+$G29+$I29)</f>
        <v>0</v>
      </c>
      <c r="G29" s="448">
        <f>INDEX(Pub_Comps_Range,MATCH(G$11,Pub_Comps_Params,0),MATCH($C29,Pub_Comps_Tickers,0))</f>
        <v>0</v>
      </c>
      <c r="H29" s="439">
        <f>+G29/($E29+$G29+$I29)</f>
        <v>0</v>
      </c>
      <c r="I29" s="448">
        <f>INDEX(Pub_Comps_Range,MATCH(I$11,Pub_Comps_Params,0),MATCH($C29,Pub_Comps_Tickers,0))</f>
        <v>5389.2767000000003</v>
      </c>
      <c r="J29" s="439">
        <f>+I29/($E29+$G29+$I29)</f>
        <v>1</v>
      </c>
      <c r="K29" s="440">
        <f>INDEX(Pub_Comps_Range,MATCH(K$11,Pub_Comps_Params,0),MATCH($C29,Pub_Comps_Tickers,0))</f>
        <v>0.16860997432667954</v>
      </c>
      <c r="L29" s="441">
        <f>D29*(1+(E29/I29)*(1-Tax_Rate)+(G29/I29))</f>
        <v>2.57</v>
      </c>
      <c r="AA29" s="98"/>
    </row>
    <row r="30" spans="2:27" ht="15.75" customHeight="1">
      <c r="B30" s="95" t="s">
        <v>321</v>
      </c>
      <c r="C30" s="95" t="s">
        <v>23</v>
      </c>
      <c r="D30" s="437">
        <f>L24</f>
        <v>2.57</v>
      </c>
      <c r="E30" s="438">
        <f>+F30*($E29+$G29+$I29)</f>
        <v>391.66023866719485</v>
      </c>
      <c r="F30" s="439">
        <f>+F22</f>
        <v>7.2673989566576683E-2</v>
      </c>
      <c r="G30" s="438">
        <f>+H30*($E29+$G29+$I29)</f>
        <v>0</v>
      </c>
      <c r="H30" s="439">
        <f>+H22</f>
        <v>0</v>
      </c>
      <c r="I30" s="438">
        <f>+J30*($E29+$G29+$I29)</f>
        <v>4997.6164613328056</v>
      </c>
      <c r="J30" s="439">
        <f>+J22</f>
        <v>0.92732601043342333</v>
      </c>
      <c r="K30" s="440">
        <f>INDEX(Pub_Comps_Range,MATCH(K$11,Pub_Comps_Params,0),MATCH($C30,Pub_Comps_Tickers,0))</f>
        <v>0.16860997432667954</v>
      </c>
      <c r="L30" s="441">
        <f>D30*(1+(E30/I30)*(1-Tax_Rate)+(G30/I30))</f>
        <v>2.7374497463517473</v>
      </c>
      <c r="AA30" s="98"/>
    </row>
    <row r="31" spans="2:27" ht="15.75" customHeight="1">
      <c r="AA31" s="98"/>
    </row>
    <row r="32" spans="2:27" ht="15.75" customHeight="1">
      <c r="B32" s="446" t="s">
        <v>322</v>
      </c>
      <c r="C32" s="446"/>
      <c r="D32" s="446"/>
      <c r="E32" s="446"/>
      <c r="F32" s="446"/>
      <c r="G32" s="446"/>
      <c r="H32" s="446"/>
      <c r="I32" s="446"/>
      <c r="J32" s="446"/>
      <c r="K32" s="446"/>
      <c r="L32" s="447">
        <f>+Risk_Free_Rate+Equity_Risk_Premium*L29</f>
        <v>0.16350000000000001</v>
      </c>
      <c r="AA32" s="98"/>
    </row>
    <row r="33" spans="2:27" ht="15.75" customHeight="1">
      <c r="B33" s="446" t="s">
        <v>323</v>
      </c>
      <c r="C33" s="446"/>
      <c r="D33" s="446"/>
      <c r="E33" s="446"/>
      <c r="F33" s="446"/>
      <c r="G33" s="446"/>
      <c r="H33" s="446"/>
      <c r="I33" s="446"/>
      <c r="J33" s="446"/>
      <c r="K33" s="446"/>
      <c r="L33" s="447">
        <f>+Risk_Free_Rate+Equity_Risk_Premium*L30</f>
        <v>0.17187248731758736</v>
      </c>
      <c r="AA33" s="98"/>
    </row>
    <row r="34" spans="2:27" ht="15.75" customHeight="1">
      <c r="B34" s="446" t="s">
        <v>324</v>
      </c>
      <c r="C34" s="446"/>
      <c r="D34" s="446"/>
      <c r="E34" s="446"/>
      <c r="F34" s="446"/>
      <c r="G34" s="446"/>
      <c r="H34" s="446"/>
      <c r="I34" s="446"/>
      <c r="J34" s="446"/>
      <c r="K34" s="446"/>
      <c r="L34" s="447">
        <f>+Risk_Free_Rate+Equity_Risk_Premium*D24</f>
        <v>0.16350000000000001</v>
      </c>
      <c r="AA34" s="98"/>
    </row>
    <row r="35" spans="2:27" ht="15.75" customHeight="1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AA35" s="98"/>
    </row>
    <row r="36" spans="2:27" ht="15.75" customHeight="1">
      <c r="B36" s="95" t="s">
        <v>325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AA36" s="98"/>
    </row>
    <row r="37" spans="2:27" ht="15.75" customHeight="1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AA37" s="98"/>
    </row>
    <row r="38" spans="2:27" ht="15.75" customHeight="1">
      <c r="B38" s="446" t="s">
        <v>326</v>
      </c>
      <c r="C38" s="446"/>
      <c r="D38" s="446"/>
      <c r="E38" s="446"/>
      <c r="F38" s="446"/>
      <c r="G38" s="446"/>
      <c r="H38" s="446"/>
      <c r="I38" s="446"/>
      <c r="J38" s="446"/>
      <c r="K38" s="446"/>
      <c r="L38" s="457">
        <f>+L32*J29+Cost_of_Debt*(1-Tax_Rate)*F29+Cost_of_Preferred*H29</f>
        <v>0.16350000000000001</v>
      </c>
      <c r="AA38" s="98"/>
    </row>
    <row r="39" spans="2:27" ht="15.75" customHeight="1">
      <c r="B39" s="446" t="s">
        <v>327</v>
      </c>
      <c r="C39" s="446"/>
      <c r="D39" s="446"/>
      <c r="E39" s="446"/>
      <c r="F39" s="446"/>
      <c r="G39" s="446"/>
      <c r="H39" s="446"/>
      <c r="I39" s="446"/>
      <c r="J39" s="446"/>
      <c r="K39" s="446"/>
      <c r="L39" s="457">
        <f>+L34*J29+Cost_of_Debt*(1-Tax_Rate)*F29+Cost_of_Preferred*H29</f>
        <v>0.16350000000000001</v>
      </c>
      <c r="AA39" s="98"/>
    </row>
    <row r="40" spans="2:27" ht="15.75" customHeight="1">
      <c r="B40" s="446" t="s">
        <v>328</v>
      </c>
      <c r="C40" s="446"/>
      <c r="D40" s="446"/>
      <c r="E40" s="446"/>
      <c r="F40" s="446"/>
      <c r="G40" s="446"/>
      <c r="H40" s="446"/>
      <c r="I40" s="446"/>
      <c r="J40" s="446"/>
      <c r="K40" s="446"/>
      <c r="L40" s="457">
        <f>+L33*J30+Cost_of_Debt*(1-Tax_Rate)*F30+Cost_of_Preferred*H30</f>
        <v>0.15938182796748743</v>
      </c>
      <c r="AA40" s="98"/>
    </row>
    <row r="41" spans="2:27" ht="15.75" customHeight="1">
      <c r="AA41" s="98"/>
    </row>
    <row r="42" spans="2:27" ht="15.75" customHeight="1">
      <c r="B42" s="446" t="s">
        <v>329</v>
      </c>
      <c r="C42" s="446"/>
      <c r="D42" s="446"/>
      <c r="E42" s="446"/>
      <c r="F42" s="446"/>
      <c r="G42" s="446"/>
      <c r="H42" s="446"/>
      <c r="I42" s="446"/>
      <c r="J42" s="446"/>
      <c r="K42" s="446"/>
      <c r="L42" s="457">
        <f>AVERAGE(L38:L40)</f>
        <v>0.16212727598916246</v>
      </c>
      <c r="AA42" s="98"/>
    </row>
    <row r="43" spans="2:27" ht="16">
      <c r="AA43" s="98"/>
    </row>
    <row r="44" spans="2:27" ht="16">
      <c r="AA44" s="98"/>
    </row>
    <row r="45" spans="2:27" ht="16">
      <c r="AA45" s="98"/>
    </row>
    <row r="46" spans="2:27" ht="16">
      <c r="AA46" s="98"/>
    </row>
    <row r="47" spans="2:27" ht="16">
      <c r="AA47" s="98"/>
    </row>
    <row r="48" spans="2:27" ht="16">
      <c r="AA48" s="98"/>
    </row>
    <row r="49" spans="27:27" ht="16">
      <c r="AA49" s="98"/>
    </row>
    <row r="50" spans="27:27" ht="16">
      <c r="AA50" s="98"/>
    </row>
    <row r="51" spans="27:27" ht="16">
      <c r="AA51" s="98"/>
    </row>
    <row r="52" spans="27:27" ht="16">
      <c r="AA52" s="98"/>
    </row>
  </sheetData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14736-F68B-4F14-BE37-3CEEBD51CA83}">
  <dimension ref="B2:V46"/>
  <sheetViews>
    <sheetView showGridLines="0" topLeftCell="A12" zoomScale="64" workbookViewId="0">
      <selection activeCell="E32" sqref="E32"/>
    </sheetView>
  </sheetViews>
  <sheetFormatPr defaultRowHeight="14.5"/>
  <cols>
    <col min="2" max="2" width="55" bestFit="1" customWidth="1"/>
    <col min="3" max="3" width="9.7265625" bestFit="1" customWidth="1"/>
    <col min="4" max="4" width="10.1796875" bestFit="1" customWidth="1"/>
    <col min="5" max="5" width="11.54296875" bestFit="1" customWidth="1"/>
    <col min="6" max="6" width="10.1796875" bestFit="1" customWidth="1"/>
    <col min="7" max="7" width="9.453125" bestFit="1" customWidth="1"/>
    <col min="8" max="8" width="10.54296875" bestFit="1" customWidth="1"/>
    <col min="9" max="10" width="11.1796875" bestFit="1" customWidth="1"/>
    <col min="11" max="11" width="12.1796875" bestFit="1" customWidth="1"/>
    <col min="12" max="13" width="10.81640625" bestFit="1" customWidth="1"/>
    <col min="15" max="15" width="12.453125" bestFit="1" customWidth="1"/>
  </cols>
  <sheetData>
    <row r="2" spans="2:22" ht="18.5">
      <c r="B2" s="500" t="str">
        <f>"Valuation Summary - "&amp;Company_Name</f>
        <v>Valuation Summary - Nebius, N.V.</v>
      </c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</row>
    <row r="3" spans="2:22" ht="16">
      <c r="B3" s="98" t="s">
        <v>193</v>
      </c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</row>
    <row r="4" spans="2:22" ht="16"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</row>
    <row r="5" spans="2:22" ht="16">
      <c r="B5" s="232" t="str">
        <f>"Valuation Statistics - "&amp;TEXT(Company_Name,"")</f>
        <v>Valuation Statistics - Nebius, N.V.</v>
      </c>
      <c r="C5" s="232" t="s">
        <v>337</v>
      </c>
      <c r="D5" s="232"/>
      <c r="E5" s="232"/>
      <c r="F5" s="232"/>
      <c r="G5" s="232"/>
      <c r="H5" s="232"/>
      <c r="I5" s="232" t="s">
        <v>338</v>
      </c>
      <c r="J5" s="232"/>
      <c r="K5" s="232"/>
      <c r="L5" s="232"/>
      <c r="M5" s="232"/>
    </row>
    <row r="6" spans="2:22" ht="16">
      <c r="B6" s="235"/>
      <c r="C6" s="236"/>
      <c r="D6" s="233"/>
      <c r="E6" s="233"/>
      <c r="F6" s="234"/>
      <c r="G6" s="233"/>
      <c r="H6" s="233"/>
      <c r="I6" s="233"/>
      <c r="J6" s="233"/>
      <c r="K6" s="233"/>
      <c r="L6" s="233"/>
      <c r="M6" s="233"/>
    </row>
    <row r="7" spans="2:22" ht="16">
      <c r="B7" s="235"/>
      <c r="C7" s="236"/>
      <c r="D7" s="236" t="s">
        <v>339</v>
      </c>
      <c r="E7" s="236"/>
      <c r="F7" s="236" t="s">
        <v>340</v>
      </c>
      <c r="G7" s="233"/>
      <c r="H7" s="236" t="s">
        <v>341</v>
      </c>
      <c r="I7" s="236"/>
      <c r="J7" s="236" t="s">
        <v>340</v>
      </c>
      <c r="K7" s="236"/>
      <c r="L7" s="236" t="s">
        <v>339</v>
      </c>
      <c r="M7" s="236"/>
    </row>
    <row r="8" spans="2:22" ht="16">
      <c r="B8" s="235"/>
      <c r="C8" s="236" t="s">
        <v>228</v>
      </c>
      <c r="D8" s="236" t="s">
        <v>342</v>
      </c>
      <c r="E8" s="236" t="s">
        <v>230</v>
      </c>
      <c r="F8" s="236" t="s">
        <v>342</v>
      </c>
      <c r="G8" s="236" t="s">
        <v>232</v>
      </c>
      <c r="H8" s="236" t="s">
        <v>343</v>
      </c>
      <c r="I8" s="236" t="s">
        <v>232</v>
      </c>
      <c r="J8" s="236" t="s">
        <v>342</v>
      </c>
      <c r="K8" s="236" t="s">
        <v>230</v>
      </c>
      <c r="L8" s="236" t="s">
        <v>342</v>
      </c>
      <c r="M8" s="236" t="s">
        <v>228</v>
      </c>
    </row>
    <row r="9" spans="2:22" ht="16">
      <c r="B9" s="232" t="s">
        <v>344</v>
      </c>
      <c r="C9" s="236" t="s">
        <v>345</v>
      </c>
      <c r="D9" s="236" t="s">
        <v>345</v>
      </c>
      <c r="E9" s="236" t="s">
        <v>345</v>
      </c>
      <c r="F9" s="236" t="s">
        <v>345</v>
      </c>
      <c r="G9" s="236" t="s">
        <v>345</v>
      </c>
      <c r="H9" s="236" t="s">
        <v>346</v>
      </c>
      <c r="I9" s="236" t="s">
        <v>345</v>
      </c>
      <c r="J9" s="236" t="s">
        <v>345</v>
      </c>
      <c r="K9" s="236" t="s">
        <v>345</v>
      </c>
      <c r="L9" s="236" t="s">
        <v>345</v>
      </c>
      <c r="M9" s="236" t="s">
        <v>345</v>
      </c>
    </row>
    <row r="11" spans="2:22" ht="16">
      <c r="B11" s="168" t="s">
        <v>347</v>
      </c>
    </row>
    <row r="12" spans="2:22" ht="16">
      <c r="B12" s="73" t="s">
        <v>356</v>
      </c>
      <c r="C12" s="502" cm="1">
        <f t="array" ref="C12:G20">TRANSPOSE(PubComps!N35:V39)</f>
        <v>15.819901736536105</v>
      </c>
      <c r="D12" s="502">
        <v>8.2898518226605447</v>
      </c>
      <c r="E12" s="502">
        <v>7.0082436570934448</v>
      </c>
      <c r="F12" s="502">
        <v>5.2427365185295534</v>
      </c>
      <c r="G12" s="502">
        <v>4.5859551932838727</v>
      </c>
      <c r="H12" s="503" cm="1">
        <f t="array" ref="H12:H20">TRANSPOSE(PubComps!N22:V22)</f>
        <v>37.981740762124709</v>
      </c>
      <c r="I12" s="505">
        <f>(I34+SUM($E$33:$E$39))/$E$42</f>
        <v>12.683662394300576</v>
      </c>
      <c r="J12" s="506">
        <f>(J34+SUM($E$33:$E$39))/$E$42</f>
        <v>12.807296720676581</v>
      </c>
      <c r="K12" s="506">
        <f t="shared" ref="K12:M12" si="0">(K34+SUM($E$33:$E$39))/$E$42</f>
        <v>13.139640649162549</v>
      </c>
      <c r="L12" s="506">
        <f t="shared" si="0"/>
        <v>13.380894101624223</v>
      </c>
      <c r="M12" s="506">
        <f t="shared" si="0"/>
        <v>14.798371445900782</v>
      </c>
      <c r="N12" s="266"/>
      <c r="O12" s="507"/>
      <c r="P12" s="266"/>
      <c r="Q12" s="266"/>
      <c r="R12" s="266"/>
      <c r="S12" s="266"/>
      <c r="T12" s="266"/>
      <c r="U12" s="266"/>
      <c r="V12" s="266"/>
    </row>
    <row r="13" spans="2:22" ht="16">
      <c r="B13" s="73" t="str">
        <f>"Q1 "&amp;TEXT(EOMONTH(Hist_Quart,12),"YY")&amp;" TEV / Revenue:"</f>
        <v>Q1 25 TEV / Revenue:</v>
      </c>
      <c r="C13" s="502">
        <v>11.299929811811504</v>
      </c>
      <c r="D13" s="502">
        <v>8.1963890442018528</v>
      </c>
      <c r="E13" s="502">
        <v>6.4364649516105681</v>
      </c>
      <c r="F13" s="502">
        <v>4.9777347866465051</v>
      </c>
      <c r="G13" s="502">
        <v>4.5405496963206664</v>
      </c>
      <c r="H13" s="504">
        <v>176.952</v>
      </c>
      <c r="I13" s="505">
        <f t="shared" ref="I13:J14" si="1">(I35+SUM($E$33:$E$39))/$E$42</f>
        <v>15.802445110092354</v>
      </c>
      <c r="J13" s="506">
        <f t="shared" si="1"/>
        <v>16.185855805950695</v>
      </c>
      <c r="K13" s="506">
        <f t="shared" ref="K13:M14" si="2">(K35+SUM($E$33:$E$39))/$E$42</f>
        <v>17.465160064020385</v>
      </c>
      <c r="L13" s="506">
        <f t="shared" si="2"/>
        <v>19.008610963719114</v>
      </c>
      <c r="M13" s="506">
        <f t="shared" si="2"/>
        <v>21.730411756255485</v>
      </c>
      <c r="N13" s="266"/>
      <c r="O13" s="507"/>
      <c r="P13" s="266"/>
      <c r="Q13" s="266"/>
      <c r="R13" s="266"/>
      <c r="S13" s="266"/>
      <c r="T13" s="266"/>
      <c r="U13" s="266"/>
      <c r="V13" s="266"/>
    </row>
    <row r="14" spans="2:22" ht="16">
      <c r="B14" s="73" t="str">
        <f>"Q2 "&amp;TEXT(EOMONTH(Hist_Year,24),"25")&amp;" TEV / Revenue:"</f>
        <v>Q2 25 TEV / Revenue:</v>
      </c>
      <c r="C14" s="502">
        <v>10.761837916010956</v>
      </c>
      <c r="D14" s="502">
        <v>7.8640255867401168</v>
      </c>
      <c r="E14" s="502">
        <v>6.1546731573329856</v>
      </c>
      <c r="F14" s="502">
        <v>4.753053065181942</v>
      </c>
      <c r="G14" s="502">
        <v>4.4955937587333326</v>
      </c>
      <c r="H14" s="504">
        <v>242.214</v>
      </c>
      <c r="I14" s="505">
        <f t="shared" si="1"/>
        <v>17.21710733348781</v>
      </c>
      <c r="J14" s="506">
        <f t="shared" si="1"/>
        <v>17.526173341576939</v>
      </c>
      <c r="K14" s="506">
        <f t="shared" si="2"/>
        <v>19.208742648214557</v>
      </c>
      <c r="L14" s="506">
        <f t="shared" si="2"/>
        <v>21.260728024318137</v>
      </c>
      <c r="M14" s="506">
        <f t="shared" si="2"/>
        <v>24.739395395691517</v>
      </c>
      <c r="N14" s="508"/>
      <c r="O14" s="507"/>
      <c r="P14" s="508"/>
      <c r="Q14" s="508"/>
      <c r="R14" s="508"/>
      <c r="S14" s="508"/>
      <c r="T14" s="508"/>
      <c r="U14" s="508"/>
      <c r="V14" s="508"/>
    </row>
    <row r="15" spans="2:22" ht="16">
      <c r="B15" s="73" t="s">
        <v>357</v>
      </c>
      <c r="C15" s="502">
        <v>38.310069562801033</v>
      </c>
      <c r="D15" s="502">
        <v>22.552724120395791</v>
      </c>
      <c r="E15" s="502">
        <v>16.508310708917747</v>
      </c>
      <c r="F15" s="502">
        <v>15.052731252201342</v>
      </c>
      <c r="G15" s="502">
        <v>14.539933457134012</v>
      </c>
      <c r="H15" s="504">
        <v>-30.835993104635634</v>
      </c>
      <c r="I15" s="505">
        <f t="shared" ref="I15:M15" si="3">(I37+SUM($E$33:$E$39))/$E$42</f>
        <v>9.5982887058232382</v>
      </c>
      <c r="J15" s="506">
        <f t="shared" si="3"/>
        <v>9.5199191302036272</v>
      </c>
      <c r="K15" s="506">
        <f t="shared" si="3"/>
        <v>9.2974666442515215</v>
      </c>
      <c r="L15" s="506">
        <f t="shared" si="3"/>
        <v>8.373714400221667</v>
      </c>
      <c r="M15" s="506">
        <f t="shared" si="3"/>
        <v>5.9655595932168106</v>
      </c>
      <c r="N15" s="266"/>
      <c r="O15" s="507"/>
      <c r="P15" s="266"/>
      <c r="Q15" s="266"/>
      <c r="R15" s="266"/>
      <c r="S15" s="266"/>
      <c r="T15" s="266"/>
      <c r="U15" s="266"/>
      <c r="V15" s="266"/>
    </row>
    <row r="16" spans="2:22" ht="16">
      <c r="B16" s="73" t="str">
        <f>"Q1 "&amp;TEXT(EOMONTH(Hist_Quart,12),"YY")&amp;" TEV / EBITA:"</f>
        <v>Q1 25 TEV / EBITA:</v>
      </c>
      <c r="C16" s="502">
        <v>23.943793476750642</v>
      </c>
      <c r="D16" s="502">
        <v>21.478784876567417</v>
      </c>
      <c r="E16" s="502">
        <v>15.722200675159756</v>
      </c>
      <c r="F16" s="502">
        <v>14.660948462255304</v>
      </c>
      <c r="G16" s="502">
        <v>12.974117606232239</v>
      </c>
      <c r="H16" s="504">
        <v>74.055751472736475</v>
      </c>
      <c r="I16" s="505">
        <f t="shared" ref="I16:J17" si="4">(I38+SUM($E$33:$E$39))/$E$42</f>
        <v>16.582286906007777</v>
      </c>
      <c r="J16" s="506">
        <f t="shared" si="4"/>
        <v>17.201405341108075</v>
      </c>
      <c r="K16" s="506">
        <f t="shared" ref="K16:M17" si="5">(K38+SUM($E$33:$E$39))/$E$42</f>
        <v>17.590917310819847</v>
      </c>
      <c r="L16" s="506">
        <f t="shared" si="5"/>
        <v>19.703759502182915</v>
      </c>
      <c r="M16" s="506">
        <f t="shared" si="5"/>
        <v>20.608492932689568</v>
      </c>
      <c r="N16" s="266"/>
      <c r="O16" s="507"/>
      <c r="P16" s="266"/>
      <c r="Q16" s="266"/>
      <c r="R16" s="266"/>
      <c r="S16" s="266"/>
      <c r="T16" s="266"/>
      <c r="U16" s="266"/>
      <c r="V16" s="266"/>
    </row>
    <row r="17" spans="2:16" ht="16">
      <c r="B17" s="73" t="str">
        <f>"Q2 "&amp;TEXT(EOMONTH(Hist_Year,24),"25")&amp;" TEV / EBITA:"</f>
        <v>Q2 25 TEV / EBITA:</v>
      </c>
      <c r="C17" s="502">
        <v>22.80361283500061</v>
      </c>
      <c r="D17" s="502">
        <v>20.492589371138159</v>
      </c>
      <c r="E17" s="502">
        <v>15.046732001347673</v>
      </c>
      <c r="F17" s="502">
        <v>14.265244481978467</v>
      </c>
      <c r="G17" s="502">
        <v>11.481520005515257</v>
      </c>
      <c r="H17" s="504">
        <v>172.10945894217818</v>
      </c>
      <c r="I17" s="505">
        <f t="shared" si="4"/>
        <v>21.614106140571074</v>
      </c>
      <c r="J17" s="506">
        <f t="shared" si="4"/>
        <v>23.988618275616826</v>
      </c>
      <c r="K17" s="506">
        <f t="shared" si="5"/>
        <v>24.655225769935598</v>
      </c>
      <c r="L17" s="506">
        <f t="shared" si="5"/>
        <v>29.300532631168259</v>
      </c>
      <c r="M17" s="506">
        <f t="shared" si="5"/>
        <v>31.271831624913837</v>
      </c>
      <c r="O17" s="507"/>
    </row>
    <row r="18" spans="2:16" ht="16">
      <c r="B18" s="73" t="s">
        <v>358</v>
      </c>
      <c r="C18" s="502">
        <v>32.018102865398504</v>
      </c>
      <c r="D18" s="502">
        <v>23.021679551007505</v>
      </c>
      <c r="E18" s="502">
        <v>21.192835489285624</v>
      </c>
      <c r="F18" s="502">
        <v>20.90170710571924</v>
      </c>
      <c r="G18" s="502">
        <v>14.436714639430516</v>
      </c>
      <c r="H18" s="504">
        <v>59.107713376132871</v>
      </c>
      <c r="I18" s="505">
        <f t="shared" ref="I18:M18" si="6">(I40+SUM($E$33:$E$39))/$E$42</f>
        <v>16.049567284534273</v>
      </c>
      <c r="J18" s="506">
        <f t="shared" si="6"/>
        <v>17.943460934116729</v>
      </c>
      <c r="K18" s="506">
        <f t="shared" si="6"/>
        <v>18.028745828062799</v>
      </c>
      <c r="L18" s="506">
        <f t="shared" si="6"/>
        <v>18.564498371106364</v>
      </c>
      <c r="M18" s="506">
        <f t="shared" si="6"/>
        <v>21.199964548820503</v>
      </c>
      <c r="O18" s="507"/>
    </row>
    <row r="19" spans="2:16" ht="16">
      <c r="B19" s="73" t="str">
        <f>"Q1 "&amp;TEXT(EOMONTH(Hist_Quart,12),"YY")&amp;" P/E:"</f>
        <v>Q1 25 P/E:</v>
      </c>
      <c r="C19" s="502">
        <v>47.593241891858355</v>
      </c>
      <c r="D19" s="502">
        <v>27.488508678135492</v>
      </c>
      <c r="E19" s="502">
        <v>20.14072407044975</v>
      </c>
      <c r="F19" s="502">
        <v>19.656872266927174</v>
      </c>
      <c r="G19" s="502">
        <v>15.50905206809416</v>
      </c>
      <c r="H19" s="504">
        <v>59.107713376132871</v>
      </c>
      <c r="I19" s="505">
        <f t="shared" ref="I19:J20" si="7">(I41+SUM($E$33:$E$39))/$E$42</f>
        <v>16.363704239363781</v>
      </c>
      <c r="J19" s="506">
        <f t="shared" si="7"/>
        <v>17.578791553872161</v>
      </c>
      <c r="K19" s="506">
        <f t="shared" ref="K19:M20" si="8">(K41+SUM($E$33:$E$39))/$E$42</f>
        <v>17.720534001803657</v>
      </c>
      <c r="L19" s="506">
        <f t="shared" si="8"/>
        <v>19.873038073472635</v>
      </c>
      <c r="M19" s="506">
        <f t="shared" si="8"/>
        <v>25.762639145487057</v>
      </c>
    </row>
    <row r="20" spans="2:16" ht="16">
      <c r="B20" s="73" t="str">
        <f>"Q2 "&amp;TEXT(EOMONTH(Hist_Year,24),"25")&amp;" P/E:"</f>
        <v>Q2 25 P/E:</v>
      </c>
      <c r="C20" s="502">
        <v>45.326897039865102</v>
      </c>
      <c r="D20" s="502">
        <v>25.805589078173405</v>
      </c>
      <c r="E20" s="502">
        <v>19.273664844081999</v>
      </c>
      <c r="F20" s="502">
        <v>17.529478102777386</v>
      </c>
      <c r="G20" s="502">
        <v>15.204953007935451</v>
      </c>
      <c r="H20" s="504">
        <v>130.56189942495089</v>
      </c>
      <c r="I20" s="505">
        <f t="shared" si="7"/>
        <v>21.65925333490198</v>
      </c>
      <c r="J20" s="506">
        <f t="shared" si="7"/>
        <v>23.163413574994795</v>
      </c>
      <c r="K20" s="506">
        <f t="shared" si="8"/>
        <v>24.292046840081504</v>
      </c>
      <c r="L20" s="506">
        <f t="shared" si="8"/>
        <v>28.518742755742117</v>
      </c>
      <c r="M20" s="506">
        <f t="shared" si="8"/>
        <v>41.150645648827734</v>
      </c>
    </row>
    <row r="21" spans="2:16" ht="16">
      <c r="B21" s="73"/>
      <c r="C21" s="502"/>
      <c r="D21" s="502"/>
      <c r="E21" s="502"/>
      <c r="F21" s="502"/>
      <c r="G21" s="502"/>
      <c r="H21" s="504"/>
      <c r="I21" s="505"/>
      <c r="J21" s="506"/>
      <c r="K21" s="506"/>
      <c r="L21" s="506"/>
      <c r="M21" s="506"/>
    </row>
    <row r="22" spans="2:16" ht="16">
      <c r="B22" s="349" t="s">
        <v>348</v>
      </c>
      <c r="C22" s="502"/>
      <c r="D22" s="502"/>
      <c r="E22" s="502"/>
      <c r="F22" s="502"/>
      <c r="G22" s="502"/>
      <c r="H22" s="504"/>
      <c r="I22" s="505"/>
      <c r="J22" s="506"/>
      <c r="K22" s="506"/>
      <c r="L22" s="506"/>
      <c r="M22" s="506"/>
    </row>
    <row r="23" spans="2:16" ht="16">
      <c r="B23" s="509" t="str">
        <f>TEXT(LTM,"yyyy-mm-dd")&amp;" EV / Revenue:"</f>
        <v>2024-09-29 EV / Revenue:</v>
      </c>
      <c r="C23" s="502" cm="1">
        <f t="array" ref="C23:G24">TRANSPOSE(MAComps!H20:I24)</f>
        <v>13.273854858013273</v>
      </c>
      <c r="D23" s="502">
        <v>7.9772079772079776</v>
      </c>
      <c r="E23" s="502">
        <v>3.5991155173616081</v>
      </c>
      <c r="F23" s="502">
        <v>3.0996661897949451</v>
      </c>
      <c r="G23" s="502">
        <v>3.0920987062769525</v>
      </c>
      <c r="H23" s="504">
        <f>PubComps!N22</f>
        <v>37.981740762124709</v>
      </c>
      <c r="I23" s="505">
        <f t="shared" ref="I23:J24" si="9">(I45+SUM($E$33:$E$39))/$E$42</f>
        <v>12.402454732976716</v>
      </c>
      <c r="J23" s="506">
        <f t="shared" si="9"/>
        <v>12.40387925692578</v>
      </c>
      <c r="K23" s="506">
        <f t="shared" ref="K23:M24" si="10">(K45+SUM($E$33:$E$39))/$E$42</f>
        <v>12.497896974542146</v>
      </c>
      <c r="L23" s="506">
        <f t="shared" si="10"/>
        <v>13.32204116268953</v>
      </c>
      <c r="M23" s="506">
        <f t="shared" si="10"/>
        <v>14.31909656604614</v>
      </c>
      <c r="O23" s="387"/>
      <c r="P23" s="387"/>
    </row>
    <row r="24" spans="2:16" ht="16">
      <c r="B24" s="509" t="str">
        <f>TEXT(LTM,"yyyy-mm-dd")&amp;" EV / EBITDA:"</f>
        <v>2024-09-29 EV / EBITDA:</v>
      </c>
      <c r="C24" s="502">
        <v>44.668192219679632</v>
      </c>
      <c r="D24" s="502">
        <v>23.892483822797409</v>
      </c>
      <c r="E24" s="502">
        <v>19.867549668874172</v>
      </c>
      <c r="F24" s="502">
        <v>16.761584415584416</v>
      </c>
      <c r="G24" s="502">
        <v>8.7439044896586502</v>
      </c>
      <c r="H24" s="504">
        <f>PubComps!Q22</f>
        <v>-30.835993104635634</v>
      </c>
      <c r="I24" s="505">
        <f t="shared" si="9"/>
        <v>10.484080990480713</v>
      </c>
      <c r="J24" s="506">
        <f t="shared" si="9"/>
        <v>9.2587594713697303</v>
      </c>
      <c r="K24" s="506">
        <f t="shared" si="10"/>
        <v>8.7840827447320713</v>
      </c>
      <c r="L24" s="506">
        <f t="shared" si="10"/>
        <v>8.1689623511304976</v>
      </c>
      <c r="M24" s="506">
        <f t="shared" si="10"/>
        <v>4.9938639674749457</v>
      </c>
      <c r="O24" s="387"/>
      <c r="P24" s="387"/>
    </row>
    <row r="25" spans="2:16" ht="16">
      <c r="B25" s="509" t="s">
        <v>349</v>
      </c>
      <c r="C25" s="510" cm="1">
        <f t="array" ref="C25:G27">TRANSPOSE(MAComps!N20:P24)</f>
        <v>0.5478971962616821</v>
      </c>
      <c r="D25" s="510">
        <v>4.9414626729511912E-2</v>
      </c>
      <c r="E25" s="510">
        <v>1.1865915158706386E-3</v>
      </c>
      <c r="F25" s="510">
        <v>-0.26636568848758457</v>
      </c>
      <c r="G25" s="510">
        <v>-0.28611595889082808</v>
      </c>
      <c r="H25" s="511">
        <f>Share_Price</f>
        <v>26.71</v>
      </c>
      <c r="I25" s="505">
        <f>$H25*(1+G25)</f>
        <v>19.067842738025984</v>
      </c>
      <c r="J25" s="505">
        <f>$H25*(1+F25)</f>
        <v>19.595372460496616</v>
      </c>
      <c r="K25" s="505">
        <f>$H25*(1+E25)</f>
        <v>26.741693859388906</v>
      </c>
      <c r="L25" s="505">
        <f>$H25*(1+D25)</f>
        <v>28.029864679945263</v>
      </c>
      <c r="M25" s="505">
        <f>$H25*(1+C25)</f>
        <v>41.344334112149532</v>
      </c>
      <c r="O25" s="512"/>
      <c r="P25" s="512"/>
    </row>
    <row r="26" spans="2:16" ht="16">
      <c r="B26" s="509" t="s">
        <v>350</v>
      </c>
      <c r="C26" s="510">
        <v>0.43165856293895177</v>
      </c>
      <c r="D26" s="510">
        <v>0.11592562651576377</v>
      </c>
      <c r="E26" s="510">
        <v>2.0783847980998527E-3</v>
      </c>
      <c r="F26" s="510">
        <v>-0.25210766886744551</v>
      </c>
      <c r="G26" s="510">
        <v>-0.31946890020463525</v>
      </c>
      <c r="H26" s="513">
        <v>30.78</v>
      </c>
      <c r="I26" s="505">
        <f t="shared" ref="I26:I27" si="11">$H26*(1+G26)</f>
        <v>20.946747251701328</v>
      </c>
      <c r="J26" s="505">
        <f t="shared" ref="J26:J27" si="12">$H26*(1+F26)</f>
        <v>23.020125952260027</v>
      </c>
      <c r="K26" s="505">
        <f t="shared" ref="K26:K27" si="13">$H26*(1+E26)</f>
        <v>30.843972684085514</v>
      </c>
      <c r="L26" s="505">
        <f t="shared" ref="L26:L27" si="14">$H26*(1+D26)</f>
        <v>34.348190784155207</v>
      </c>
      <c r="M26" s="505">
        <f t="shared" ref="M26:M27" si="15">$H26*(1+C26)</f>
        <v>44.066450567260937</v>
      </c>
      <c r="O26" s="387"/>
      <c r="P26" s="387"/>
    </row>
    <row r="27" spans="2:16" ht="16">
      <c r="B27" s="509" t="s">
        <v>351</v>
      </c>
      <c r="C27" s="510">
        <v>0.41446490525753932</v>
      </c>
      <c r="D27" s="510">
        <v>0.18144471071550838</v>
      </c>
      <c r="E27" s="510">
        <v>4.1024059222702025E-2</v>
      </c>
      <c r="F27" s="510">
        <v>-0.25089022281005202</v>
      </c>
      <c r="G27" s="510">
        <v>-0.27730327993126802</v>
      </c>
      <c r="H27" s="513">
        <v>21.56</v>
      </c>
      <c r="I27" s="505">
        <f t="shared" si="11"/>
        <v>15.58134128468186</v>
      </c>
      <c r="J27" s="505">
        <f t="shared" si="12"/>
        <v>16.150806796215278</v>
      </c>
      <c r="K27" s="505">
        <f t="shared" si="13"/>
        <v>22.444478716841456</v>
      </c>
      <c r="L27" s="505">
        <f t="shared" si="14"/>
        <v>25.471947963026359</v>
      </c>
      <c r="M27" s="505">
        <f t="shared" si="15"/>
        <v>30.495863357352547</v>
      </c>
      <c r="O27" s="387"/>
      <c r="P27" s="387"/>
    </row>
    <row r="28" spans="2:16" ht="16">
      <c r="B28" s="8"/>
    </row>
    <row r="29" spans="2:16" ht="16">
      <c r="B29" s="168" t="s">
        <v>352</v>
      </c>
    </row>
    <row r="30" spans="2:16" ht="16">
      <c r="B30" s="73" t="s">
        <v>353</v>
      </c>
      <c r="I30" s="514">
        <f>DCF!P95</f>
        <v>53.934448206257166</v>
      </c>
      <c r="J30" s="514">
        <f>DCF!N93</f>
        <v>54.816368993114089</v>
      </c>
      <c r="K30" s="514">
        <f>DCF!K91</f>
        <v>54.855031565085767</v>
      </c>
      <c r="L30" s="514">
        <f>DCF!H89</f>
        <v>54.878612899895913</v>
      </c>
      <c r="M30" s="514">
        <f>DCF!F87</f>
        <v>55.624427831330813</v>
      </c>
    </row>
    <row r="32" spans="2:16" ht="16">
      <c r="B32" s="515" t="s">
        <v>128</v>
      </c>
      <c r="C32" s="97"/>
      <c r="D32" s="97"/>
      <c r="E32" s="516">
        <f>DCF!I22</f>
        <v>9103.057845734731</v>
      </c>
    </row>
    <row r="33" spans="2:13" ht="16">
      <c r="B33" s="131" t="str">
        <f>[3]DCF!I28</f>
        <v>(+) Cash and Investments:</v>
      </c>
      <c r="C33" s="98"/>
      <c r="D33" s="98"/>
      <c r="E33" s="517">
        <f>DCF!I26</f>
        <v>2288</v>
      </c>
    </row>
    <row r="34" spans="2:13" ht="16">
      <c r="B34" s="131" t="str">
        <f>[3]DCF!I29</f>
        <v>(+) Net Operating Losses:</v>
      </c>
      <c r="C34" s="8"/>
      <c r="D34" s="8"/>
      <c r="E34" s="517">
        <f>DCF!I27</f>
        <v>97</v>
      </c>
      <c r="G34" s="501" t="s">
        <v>354</v>
      </c>
      <c r="H34" s="518"/>
      <c r="I34" s="185">
        <f>G12*$H12</f>
        <v>174.18256129802757</v>
      </c>
      <c r="J34" s="185">
        <f>F12*$H12</f>
        <v>199.12825933091372</v>
      </c>
      <c r="K34" s="185">
        <f>E12*$H12</f>
        <v>266.185293781528</v>
      </c>
      <c r="L34" s="185">
        <f>D12*$H12</f>
        <v>314.86300288471983</v>
      </c>
      <c r="M34" s="185">
        <f>C12*$H12</f>
        <v>600.86740663940088</v>
      </c>
    </row>
    <row r="35" spans="2:13" ht="16">
      <c r="B35" s="131" t="str">
        <f>[3]DCF!I30</f>
        <v>(-)Debt and Finance Leases:</v>
      </c>
      <c r="C35" s="8"/>
      <c r="D35" s="8"/>
      <c r="E35" s="517">
        <f>DCF!I28</f>
        <v>0</v>
      </c>
      <c r="G35" s="501" t="s">
        <v>354</v>
      </c>
      <c r="H35" s="8"/>
      <c r="I35" s="185">
        <f t="shared" ref="I35:I42" si="16">G13*$H13</f>
        <v>803.45934986333452</v>
      </c>
      <c r="J35" s="185">
        <f t="shared" ref="J35:J42" si="17">F13*$H13</f>
        <v>880.82012596667232</v>
      </c>
      <c r="K35" s="185">
        <f t="shared" ref="K35:K42" si="18">E13*$H13</f>
        <v>1138.9453461173932</v>
      </c>
      <c r="L35" s="185">
        <f t="shared" ref="L35:L42" si="19">D13*$H13</f>
        <v>1450.3674341496062</v>
      </c>
      <c r="M35" s="185">
        <f t="shared" ref="M35:M42" si="20">C13*$H13</f>
        <v>1999.5451800596693</v>
      </c>
    </row>
    <row r="36" spans="2:13" ht="16">
      <c r="B36" s="131" t="str">
        <f>[3]DCF!I31</f>
        <v>(-)Preferred Stock:</v>
      </c>
      <c r="C36" s="8"/>
      <c r="D36" s="8"/>
      <c r="E36" s="517">
        <f>DCF!I29</f>
        <v>0</v>
      </c>
      <c r="G36" s="501" t="s">
        <v>354</v>
      </c>
      <c r="H36" s="8"/>
      <c r="I36" s="185">
        <f t="shared" si="16"/>
        <v>1088.8957466778354</v>
      </c>
      <c r="J36" s="185">
        <f t="shared" si="17"/>
        <v>1151.2559951299788</v>
      </c>
      <c r="K36" s="185">
        <f t="shared" si="18"/>
        <v>1490.7480041302517</v>
      </c>
      <c r="L36" s="185">
        <f t="shared" si="19"/>
        <v>1904.7770934666705</v>
      </c>
      <c r="M36" s="185">
        <f t="shared" si="20"/>
        <v>2606.6678089886777</v>
      </c>
    </row>
    <row r="37" spans="2:13" ht="16">
      <c r="B37" s="131" t="str">
        <f>[3]DCF!I32</f>
        <v>(-) Operating Leases:</v>
      </c>
      <c r="C37" s="8"/>
      <c r="D37" s="8"/>
      <c r="E37" s="517">
        <f>DCF!I30</f>
        <v>0</v>
      </c>
      <c r="G37" s="501" t="s">
        <v>354</v>
      </c>
      <c r="H37" s="8"/>
      <c r="I37" s="185">
        <f t="shared" si="16"/>
        <v>-448.35328782604535</v>
      </c>
      <c r="J37" s="185">
        <f t="shared" si="17"/>
        <v>-464.16591709881391</v>
      </c>
      <c r="K37" s="185">
        <f t="shared" si="18"/>
        <v>-509.05015518937023</v>
      </c>
      <c r="L37" s="185">
        <f t="shared" si="19"/>
        <v>-695.4356454672743</v>
      </c>
      <c r="M37" s="185">
        <f t="shared" si="20"/>
        <v>-1181.3290408766441</v>
      </c>
    </row>
    <row r="38" spans="2:13" ht="16">
      <c r="B38" s="131" t="str">
        <f>[3]DCF!I33</f>
        <v>(-) Noncontrolling Interests:</v>
      </c>
      <c r="C38" s="8"/>
      <c r="D38" s="8"/>
      <c r="E38" s="517">
        <f>DCF!I31</f>
        <v>0</v>
      </c>
      <c r="G38" s="501" t="s">
        <v>354</v>
      </c>
      <c r="H38" s="8"/>
      <c r="I38" s="185">
        <f t="shared" si="16"/>
        <v>960.8080290251894</v>
      </c>
      <c r="J38" s="185">
        <f t="shared" si="17"/>
        <v>1085.7275556753768</v>
      </c>
      <c r="K38" s="185">
        <f t="shared" si="18"/>
        <v>1164.3193858041204</v>
      </c>
      <c r="L38" s="185">
        <f t="shared" si="19"/>
        <v>1590.6275547554474</v>
      </c>
      <c r="M38" s="185">
        <f t="shared" si="20"/>
        <v>1773.1756190287745</v>
      </c>
    </row>
    <row r="39" spans="2:13" ht="16">
      <c r="B39" s="131" t="str">
        <f>[3]DCF!I34</f>
        <v>(-)Unfunded Pensions:</v>
      </c>
      <c r="C39" s="8"/>
      <c r="D39" s="8"/>
      <c r="E39" s="696">
        <f>DCF!I32</f>
        <v>0</v>
      </c>
      <c r="G39" s="501" t="s">
        <v>354</v>
      </c>
      <c r="H39" s="8"/>
      <c r="I39" s="185">
        <f t="shared" si="16"/>
        <v>1976.0781959830256</v>
      </c>
      <c r="J39" s="185">
        <f t="shared" si="17"/>
        <v>2455.1835094712069</v>
      </c>
      <c r="K39" s="185">
        <f t="shared" si="18"/>
        <v>2589.6849035999057</v>
      </c>
      <c r="L39" s="185">
        <f t="shared" si="19"/>
        <v>3526.9684689908199</v>
      </c>
      <c r="M39" s="185">
        <f t="shared" si="20"/>
        <v>3924.7174669588649</v>
      </c>
    </row>
    <row r="40" spans="2:13" ht="16">
      <c r="B40" s="124" t="str">
        <f>[3]DCF!I36</f>
        <v xml:space="preserve">Implied Equity Value: </v>
      </c>
      <c r="C40" s="138"/>
      <c r="D40" s="138"/>
      <c r="E40" s="519">
        <f>SUM(E32:E39)</f>
        <v>11488.057845734731</v>
      </c>
      <c r="G40" s="501" t="s">
        <v>355</v>
      </c>
      <c r="H40" s="8"/>
      <c r="I40" s="185">
        <f t="shared" si="16"/>
        <v>853.32119100048033</v>
      </c>
      <c r="J40" s="185">
        <f t="shared" si="17"/>
        <v>1235.4521126767327</v>
      </c>
      <c r="K40" s="185">
        <f t="shared" si="18"/>
        <v>1252.6600457282314</v>
      </c>
      <c r="L40" s="185">
        <f t="shared" si="19"/>
        <v>1360.758836338131</v>
      </c>
      <c r="M40" s="185">
        <f t="shared" si="20"/>
        <v>1892.5168470155133</v>
      </c>
    </row>
    <row r="41" spans="2:13" ht="16">
      <c r="B41" s="8"/>
      <c r="C41" s="8"/>
      <c r="D41" s="8"/>
      <c r="E41" s="8"/>
      <c r="G41" s="501" t="s">
        <v>355</v>
      </c>
      <c r="H41" s="8"/>
      <c r="I41" s="185">
        <f t="shared" si="16"/>
        <v>916.70460437643032</v>
      </c>
      <c r="J41" s="185">
        <f t="shared" si="17"/>
        <v>1161.8727718247865</v>
      </c>
      <c r="K41" s="185">
        <f t="shared" si="18"/>
        <v>1190.4721455439239</v>
      </c>
      <c r="L41" s="185">
        <f t="shared" si="19"/>
        <v>1624.7828920845736</v>
      </c>
      <c r="M41" s="185">
        <f t="shared" si="20"/>
        <v>2813.1277003849236</v>
      </c>
    </row>
    <row r="42" spans="2:13" ht="16">
      <c r="B42" s="98" t="s">
        <v>142</v>
      </c>
      <c r="C42" s="98"/>
      <c r="D42" s="98"/>
      <c r="E42" s="520">
        <f>Diluted_Shares</f>
        <v>201.77</v>
      </c>
      <c r="G42" s="501" t="s">
        <v>355</v>
      </c>
      <c r="H42" s="8"/>
      <c r="I42" s="185">
        <f t="shared" si="16"/>
        <v>1985.1875453831728</v>
      </c>
      <c r="J42" s="185">
        <f t="shared" si="17"/>
        <v>2288.6819570267003</v>
      </c>
      <c r="K42" s="185">
        <f t="shared" si="18"/>
        <v>2516.4062909232457</v>
      </c>
      <c r="L42" s="185">
        <f t="shared" si="19"/>
        <v>3369.2267258260872</v>
      </c>
      <c r="M42" s="185">
        <f t="shared" si="20"/>
        <v>5917.9657725639718</v>
      </c>
    </row>
    <row r="43" spans="2:13" ht="16">
      <c r="B43" s="98"/>
      <c r="C43" s="98"/>
      <c r="D43" s="98"/>
      <c r="E43" s="98"/>
    </row>
    <row r="44" spans="2:13" ht="16">
      <c r="B44" s="143" t="s">
        <v>143</v>
      </c>
      <c r="C44" s="146"/>
      <c r="D44" s="146"/>
      <c r="E44" s="147">
        <f>E40/E42</f>
        <v>56.936402070351043</v>
      </c>
    </row>
    <row r="45" spans="2:13" ht="16">
      <c r="B45" s="148" t="s">
        <v>144</v>
      </c>
      <c r="C45" s="151"/>
      <c r="D45" s="151"/>
      <c r="E45" s="152">
        <f>E44/Share_Price-1</f>
        <v>1.1316511445283055</v>
      </c>
      <c r="G45" s="501" t="s">
        <v>354</v>
      </c>
      <c r="I45" s="185">
        <f t="shared" ref="I45:I46" si="21">G23*$H23</f>
        <v>117.4432914727124</v>
      </c>
      <c r="J45" s="185">
        <f t="shared" ref="J45:J46" si="22">F23*$H23</f>
        <v>117.73071766991445</v>
      </c>
      <c r="K45" s="185">
        <f t="shared" ref="K45:K46" si="23">E23*$H23</f>
        <v>136.70067255336895</v>
      </c>
      <c r="L45" s="185">
        <f t="shared" ref="L45:L46" si="24">D23*$H23</f>
        <v>302.98824539586661</v>
      </c>
      <c r="M45" s="185">
        <f t="shared" ref="M45:M46" si="25">C23*$H23</f>
        <v>504.16411413112979</v>
      </c>
    </row>
    <row r="46" spans="2:13" ht="16">
      <c r="G46" s="501" t="s">
        <v>354</v>
      </c>
      <c r="I46" s="185">
        <f t="shared" si="21"/>
        <v>-269.62697855070672</v>
      </c>
      <c r="J46" s="185">
        <f t="shared" si="22"/>
        <v>-516.86010146172919</v>
      </c>
      <c r="K46" s="185">
        <f t="shared" si="23"/>
        <v>-612.63562459540992</v>
      </c>
      <c r="L46" s="185">
        <f t="shared" si="24"/>
        <v>-736.74846641239935</v>
      </c>
      <c r="M46" s="185">
        <f t="shared" si="25"/>
        <v>-1377.3880672825801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56F7F-CA2A-450D-A6EB-73D0FE02C5A3}">
  <dimension ref="A1:Q54"/>
  <sheetViews>
    <sheetView showGridLines="0" topLeftCell="A5" zoomScale="60" zoomScaleNormal="60" workbookViewId="0">
      <selection activeCell="N26" sqref="N26"/>
    </sheetView>
  </sheetViews>
  <sheetFormatPr defaultRowHeight="14.5"/>
  <cols>
    <col min="1" max="1" width="57.1796875" bestFit="1" customWidth="1"/>
    <col min="8" max="8" width="10.54296875" bestFit="1" customWidth="1"/>
    <col min="9" max="9" width="9.54296875" bestFit="1" customWidth="1"/>
    <col min="10" max="10" width="12" bestFit="1" customWidth="1"/>
    <col min="11" max="11" width="9.54296875" bestFit="1" customWidth="1"/>
    <col min="12" max="12" width="9.1796875" bestFit="1" customWidth="1"/>
    <col min="13" max="13" width="10.81640625" bestFit="1" customWidth="1"/>
    <col min="14" max="14" width="9.54296875" bestFit="1" customWidth="1"/>
    <col min="15" max="15" width="12" bestFit="1" customWidth="1"/>
    <col min="16" max="16" width="9.54296875" bestFit="1" customWidth="1"/>
    <col min="17" max="17" width="9.1796875" bestFit="1" customWidth="1"/>
  </cols>
  <sheetData>
    <row r="1" spans="15:15" ht="16">
      <c r="O1" s="572" t="str">
        <f>Company_Name&amp;" Valuation - "&amp;Scenario&amp;" Case - Range of Implied Share Prices"</f>
        <v>Nebius, N.V. Valuation - Base Case - Range of Implied Share Prices</v>
      </c>
    </row>
    <row r="32" spans="2:12" ht="16">
      <c r="B32" s="573" t="s">
        <v>359</v>
      </c>
      <c r="C32" s="573" t="s">
        <v>340</v>
      </c>
      <c r="D32" s="573" t="s">
        <v>230</v>
      </c>
      <c r="E32" s="573" t="s">
        <v>339</v>
      </c>
      <c r="F32" s="573" t="s">
        <v>360</v>
      </c>
      <c r="H32" s="573" t="s">
        <v>361</v>
      </c>
      <c r="I32" s="573" t="s">
        <v>362</v>
      </c>
      <c r="J32" s="573" t="s">
        <v>363</v>
      </c>
      <c r="K32" s="573" t="s">
        <v>364</v>
      </c>
      <c r="L32" s="573" t="s">
        <v>365</v>
      </c>
    </row>
    <row r="34" spans="1:17" ht="16">
      <c r="A34" s="574" t="str">
        <f>ValSum!B30</f>
        <v>(9.9% - 11.9% WACC, 5.5% - 8.5% Free Cash Flow Growth Rate</v>
      </c>
      <c r="B34" s="575">
        <f>ValSum!I30</f>
        <v>53.934448206257166</v>
      </c>
      <c r="C34" s="575">
        <f>ValSum!J30</f>
        <v>54.816368993114089</v>
      </c>
      <c r="D34" s="575">
        <f>ValSum!K30</f>
        <v>54.855031565085767</v>
      </c>
      <c r="E34" s="575">
        <f>ValSum!L30</f>
        <v>54.878612899895913</v>
      </c>
      <c r="F34" s="575">
        <f>ValSum!M30</f>
        <v>55.624427831330813</v>
      </c>
      <c r="G34" s="505"/>
      <c r="H34" s="505">
        <f>B34</f>
        <v>53.934448206257166</v>
      </c>
      <c r="I34" s="505">
        <f>C34-B34</f>
        <v>0.88192078685692366</v>
      </c>
      <c r="J34" s="505">
        <f t="shared" ref="J34:L49" si="0">D34-C34</f>
        <v>3.8662571971677551E-2</v>
      </c>
      <c r="K34" s="505">
        <f t="shared" si="0"/>
        <v>2.3581334810145904E-2</v>
      </c>
      <c r="L34" s="505">
        <f t="shared" si="0"/>
        <v>0.74581493143490007</v>
      </c>
      <c r="M34" s="505"/>
      <c r="N34" s="505"/>
      <c r="O34" s="505"/>
      <c r="P34" s="505"/>
      <c r="Q34" s="505"/>
    </row>
    <row r="35" spans="1:17" ht="16">
      <c r="A35" s="576" t="str">
        <f>ValSum!B29</f>
        <v>Discounted Cash Flow Analysis:</v>
      </c>
      <c r="B35" s="575"/>
      <c r="C35" s="575"/>
      <c r="D35" s="575"/>
      <c r="E35" s="575"/>
      <c r="F35" s="575"/>
      <c r="G35" s="505"/>
      <c r="H35" s="505"/>
      <c r="I35" s="505"/>
      <c r="J35" s="505"/>
      <c r="K35" s="505"/>
      <c r="L35" s="505"/>
      <c r="M35" s="505"/>
      <c r="N35" s="505"/>
      <c r="O35" s="505"/>
      <c r="P35" s="505"/>
      <c r="Q35" s="505"/>
    </row>
    <row r="36" spans="1:17" ht="16">
      <c r="A36" s="574"/>
      <c r="B36" s="575"/>
      <c r="C36" s="575"/>
      <c r="D36" s="575"/>
      <c r="E36" s="575"/>
      <c r="F36" s="575"/>
      <c r="G36" s="505"/>
      <c r="H36" s="505"/>
      <c r="I36" s="505"/>
      <c r="J36" s="505"/>
      <c r="K36" s="505"/>
      <c r="L36" s="505"/>
      <c r="M36" s="505"/>
      <c r="N36" s="505"/>
      <c r="O36" s="505"/>
      <c r="P36" s="505"/>
      <c r="Q36" s="505"/>
    </row>
    <row r="37" spans="1:17" ht="16">
      <c r="A37" s="574" t="str">
        <f>ValSum!B27</f>
        <v>1-Month Premiums:</v>
      </c>
      <c r="B37" s="575">
        <f>ValSum!I27</f>
        <v>15.58134128468186</v>
      </c>
      <c r="C37" s="575">
        <f>ValSum!J27</f>
        <v>16.150806796215278</v>
      </c>
      <c r="D37" s="575">
        <f>ValSum!K27</f>
        <v>22.444478716841456</v>
      </c>
      <c r="E37" s="575">
        <f>ValSum!L27</f>
        <v>25.471947963026359</v>
      </c>
      <c r="F37" s="575">
        <f>ValSum!M27</f>
        <v>30.495863357352547</v>
      </c>
      <c r="G37" s="505"/>
      <c r="H37" s="505">
        <f t="shared" ref="H37:H52" si="1">B37</f>
        <v>15.58134128468186</v>
      </c>
      <c r="I37" s="505">
        <f t="shared" ref="I37:I52" si="2">C37-B37</f>
        <v>0.56946551153341751</v>
      </c>
      <c r="J37" s="505">
        <f t="shared" si="0"/>
        <v>6.2936719206261778</v>
      </c>
      <c r="K37" s="505">
        <f t="shared" si="0"/>
        <v>3.0274692461849035</v>
      </c>
      <c r="L37" s="505">
        <f t="shared" si="0"/>
        <v>5.0239153943261883</v>
      </c>
      <c r="M37" s="505"/>
      <c r="N37" s="505"/>
      <c r="O37" s="505"/>
      <c r="P37" s="505"/>
      <c r="Q37" s="505"/>
    </row>
    <row r="38" spans="1:17" ht="16">
      <c r="A38" s="574" t="str">
        <f>ValSum!B26</f>
        <v>1-Week Premiums:</v>
      </c>
      <c r="B38" s="575">
        <f>ValSum!I26</f>
        <v>20.946747251701328</v>
      </c>
      <c r="C38" s="575">
        <f>ValSum!J26</f>
        <v>23.020125952260027</v>
      </c>
      <c r="D38" s="575">
        <f>ValSum!K26</f>
        <v>30.843972684085514</v>
      </c>
      <c r="E38" s="575">
        <f>ValSum!L26</f>
        <v>34.348190784155207</v>
      </c>
      <c r="F38" s="575">
        <f>ValSum!M26</f>
        <v>44.066450567260937</v>
      </c>
      <c r="G38" s="505"/>
      <c r="H38" s="505">
        <f t="shared" si="1"/>
        <v>20.946747251701328</v>
      </c>
      <c r="I38" s="505">
        <f t="shared" si="2"/>
        <v>2.073378700558699</v>
      </c>
      <c r="J38" s="505">
        <f t="shared" si="0"/>
        <v>7.823846731825487</v>
      </c>
      <c r="K38" s="505">
        <f t="shared" si="0"/>
        <v>3.5042181000696928</v>
      </c>
      <c r="L38" s="505">
        <f t="shared" si="0"/>
        <v>9.7182597831057294</v>
      </c>
      <c r="M38" s="505"/>
      <c r="N38" s="505"/>
      <c r="O38" s="505"/>
      <c r="P38" s="505"/>
      <c r="Q38" s="505"/>
    </row>
    <row r="39" spans="1:17" ht="16">
      <c r="A39" s="574" t="str">
        <f>ValSum!B25</f>
        <v>1-Day Premiums:</v>
      </c>
      <c r="B39" s="575">
        <f>ValSum!I25</f>
        <v>19.067842738025984</v>
      </c>
      <c r="C39" s="575">
        <f>ValSum!J25</f>
        <v>19.595372460496616</v>
      </c>
      <c r="D39" s="575">
        <f>ValSum!K25</f>
        <v>26.741693859388906</v>
      </c>
      <c r="E39" s="575">
        <f>ValSum!L25</f>
        <v>28.029864679945263</v>
      </c>
      <c r="F39" s="575">
        <f>ValSum!M25</f>
        <v>41.344334112149532</v>
      </c>
      <c r="G39" s="505"/>
      <c r="H39" s="505">
        <f t="shared" si="1"/>
        <v>19.067842738025984</v>
      </c>
      <c r="I39" s="505">
        <f t="shared" si="2"/>
        <v>0.52752972247063212</v>
      </c>
      <c r="J39" s="505">
        <f t="shared" si="0"/>
        <v>7.1463213988922902</v>
      </c>
      <c r="K39" s="505">
        <f t="shared" si="0"/>
        <v>1.2881708205563562</v>
      </c>
      <c r="L39" s="505">
        <f t="shared" si="0"/>
        <v>13.31446943220427</v>
      </c>
      <c r="M39" s="505"/>
      <c r="N39" s="505"/>
      <c r="O39" s="505"/>
      <c r="P39" s="505"/>
      <c r="Q39" s="505"/>
    </row>
    <row r="40" spans="1:17" ht="16">
      <c r="A40" s="574" t="str">
        <f>ValSum!B24</f>
        <v>2024-09-29 EV / EBITDA:</v>
      </c>
      <c r="B40" s="575">
        <f>ValSum!I24</f>
        <v>10.484080990480713</v>
      </c>
      <c r="C40" s="575">
        <f>ValSum!J24</f>
        <v>9.2587594713697303</v>
      </c>
      <c r="D40" s="575">
        <f>ValSum!K24</f>
        <v>8.7840827447320713</v>
      </c>
      <c r="E40" s="575">
        <f>ValSum!L24</f>
        <v>8.1689623511304976</v>
      </c>
      <c r="F40" s="575">
        <f>ValSum!M24</f>
        <v>4.9938639674749457</v>
      </c>
      <c r="G40" s="505"/>
      <c r="H40" s="505">
        <f t="shared" si="1"/>
        <v>10.484080990480713</v>
      </c>
      <c r="I40" s="505">
        <f t="shared" si="2"/>
        <v>-1.2253215191109827</v>
      </c>
      <c r="J40" s="505">
        <f t="shared" si="0"/>
        <v>-0.47467672663765903</v>
      </c>
      <c r="K40" s="505">
        <f t="shared" si="0"/>
        <v>-0.61512039360157367</v>
      </c>
      <c r="L40" s="505">
        <f t="shared" si="0"/>
        <v>-3.175098383655552</v>
      </c>
      <c r="M40" s="505"/>
      <c r="N40" s="505"/>
      <c r="O40" s="505"/>
      <c r="P40" s="505"/>
      <c r="Q40" s="505"/>
    </row>
    <row r="41" spans="1:17" ht="16">
      <c r="A41" s="574" t="str">
        <f>ValSum!B23</f>
        <v>2024-09-29 EV / Revenue:</v>
      </c>
      <c r="B41" s="575">
        <f>ValSum!I23</f>
        <v>12.402454732976716</v>
      </c>
      <c r="C41" s="575">
        <f>ValSum!J23</f>
        <v>12.40387925692578</v>
      </c>
      <c r="D41" s="575">
        <f>ValSum!K23</f>
        <v>12.497896974542146</v>
      </c>
      <c r="E41" s="575">
        <f>ValSum!L23</f>
        <v>13.32204116268953</v>
      </c>
      <c r="F41" s="575">
        <f>ValSum!M23</f>
        <v>14.31909656604614</v>
      </c>
      <c r="G41" s="505"/>
      <c r="H41" s="505">
        <f t="shared" si="1"/>
        <v>12.402454732976716</v>
      </c>
      <c r="I41" s="505">
        <f t="shared" si="2"/>
        <v>1.4245239490637829E-3</v>
      </c>
      <c r="J41" s="505">
        <f t="shared" si="0"/>
        <v>9.4017717616365459E-2</v>
      </c>
      <c r="K41" s="505">
        <f t="shared" si="0"/>
        <v>0.82414418814738433</v>
      </c>
      <c r="L41" s="505">
        <f t="shared" si="0"/>
        <v>0.99705540335660992</v>
      </c>
      <c r="M41" s="505"/>
      <c r="N41" s="505"/>
      <c r="O41" s="505"/>
      <c r="P41" s="505"/>
      <c r="Q41" s="505"/>
    </row>
    <row r="42" spans="1:17" ht="16">
      <c r="A42" s="576" t="str">
        <f>ValSum!B22</f>
        <v>Precedent Transactions:</v>
      </c>
      <c r="B42" s="575"/>
      <c r="C42" s="575"/>
      <c r="D42" s="575"/>
      <c r="E42" s="575"/>
      <c r="F42" s="575"/>
      <c r="G42" s="505"/>
      <c r="H42" s="505"/>
      <c r="I42" s="505"/>
      <c r="J42" s="505"/>
      <c r="K42" s="505"/>
      <c r="L42" s="505"/>
      <c r="M42" s="505"/>
      <c r="N42" s="505"/>
      <c r="O42" s="505"/>
      <c r="P42" s="505"/>
      <c r="Q42" s="505"/>
    </row>
    <row r="43" spans="1:17" ht="16">
      <c r="A43" s="574"/>
      <c r="B43" s="575"/>
      <c r="C43" s="575"/>
      <c r="D43" s="575"/>
      <c r="E43" s="575"/>
      <c r="F43" s="575"/>
      <c r="G43" s="505"/>
      <c r="H43" s="505"/>
      <c r="I43" s="505"/>
      <c r="J43" s="505"/>
      <c r="K43" s="505"/>
      <c r="L43" s="505"/>
      <c r="M43" s="505"/>
      <c r="N43" s="505"/>
      <c r="O43" s="505"/>
      <c r="P43" s="505"/>
      <c r="Q43" s="505"/>
    </row>
    <row r="44" spans="1:17" ht="16">
      <c r="A44" s="574" t="str">
        <f>ValSum!B20</f>
        <v>Q2 25 P/E:</v>
      </c>
      <c r="B44" s="575">
        <f>ValSum!I20</f>
        <v>21.65925333490198</v>
      </c>
      <c r="C44" s="575">
        <f>ValSum!J20</f>
        <v>23.163413574994795</v>
      </c>
      <c r="D44" s="575">
        <f>ValSum!K20</f>
        <v>24.292046840081504</v>
      </c>
      <c r="E44" s="575">
        <f>ValSum!L20</f>
        <v>28.518742755742117</v>
      </c>
      <c r="F44" s="575">
        <f>ValSum!M20</f>
        <v>41.150645648827734</v>
      </c>
      <c r="G44" s="505"/>
      <c r="H44" s="505">
        <f t="shared" si="1"/>
        <v>21.65925333490198</v>
      </c>
      <c r="I44" s="505">
        <f t="shared" si="2"/>
        <v>1.5041602400928156</v>
      </c>
      <c r="J44" s="505">
        <f t="shared" si="0"/>
        <v>1.1286332650867088</v>
      </c>
      <c r="K44" s="505">
        <f t="shared" si="0"/>
        <v>4.2266959156606134</v>
      </c>
      <c r="L44" s="505">
        <f t="shared" si="0"/>
        <v>12.631902893085616</v>
      </c>
      <c r="M44" s="505"/>
      <c r="N44" s="505"/>
      <c r="O44" s="505"/>
      <c r="P44" s="505"/>
      <c r="Q44" s="505"/>
    </row>
    <row r="45" spans="1:17" ht="16">
      <c r="A45" s="574" t="str">
        <f>ValSum!B19</f>
        <v>Q1 25 P/E:</v>
      </c>
      <c r="B45" s="575">
        <f>ValSum!I19</f>
        <v>16.363704239363781</v>
      </c>
      <c r="C45" s="575">
        <f>ValSum!J19</f>
        <v>17.578791553872161</v>
      </c>
      <c r="D45" s="575">
        <f>ValSum!K19</f>
        <v>17.720534001803657</v>
      </c>
      <c r="E45" s="575">
        <f>ValSum!L19</f>
        <v>19.873038073472635</v>
      </c>
      <c r="F45" s="575">
        <f>ValSum!M19</f>
        <v>25.762639145487057</v>
      </c>
      <c r="G45" s="505"/>
      <c r="H45" s="505">
        <f t="shared" si="1"/>
        <v>16.363704239363781</v>
      </c>
      <c r="I45" s="505">
        <f t="shared" si="2"/>
        <v>1.2150873145083807</v>
      </c>
      <c r="J45" s="505">
        <f t="shared" si="0"/>
        <v>0.14174244793149526</v>
      </c>
      <c r="K45" s="505">
        <f t="shared" si="0"/>
        <v>2.1525040716689787</v>
      </c>
      <c r="L45" s="505">
        <f t="shared" si="0"/>
        <v>5.8896010720144218</v>
      </c>
      <c r="M45" s="505"/>
      <c r="N45" s="505"/>
      <c r="O45" s="505"/>
      <c r="P45" s="505"/>
      <c r="Q45" s="505"/>
    </row>
    <row r="46" spans="1:17" ht="16">
      <c r="A46" s="574" t="str">
        <f>ValSum!B18</f>
        <v>Q4 24 P/E:</v>
      </c>
      <c r="B46" s="575">
        <f>ValSum!I18</f>
        <v>16.049567284534273</v>
      </c>
      <c r="C46" s="575">
        <f>ValSum!J18</f>
        <v>17.943460934116729</v>
      </c>
      <c r="D46" s="575">
        <f>ValSum!K18</f>
        <v>18.028745828062799</v>
      </c>
      <c r="E46" s="575">
        <f>ValSum!L18</f>
        <v>18.564498371106364</v>
      </c>
      <c r="F46" s="575">
        <f>ValSum!M18</f>
        <v>21.199964548820503</v>
      </c>
      <c r="G46" s="505"/>
      <c r="H46" s="505">
        <f t="shared" si="1"/>
        <v>16.049567284534273</v>
      </c>
      <c r="I46" s="505">
        <f t="shared" si="2"/>
        <v>1.8938936495824557</v>
      </c>
      <c r="J46" s="505">
        <f t="shared" si="0"/>
        <v>8.5284893946070639E-2</v>
      </c>
      <c r="K46" s="505">
        <f t="shared" si="0"/>
        <v>0.53575254304356434</v>
      </c>
      <c r="L46" s="505">
        <f t="shared" si="0"/>
        <v>2.6354661777141395</v>
      </c>
      <c r="M46" s="505"/>
      <c r="N46" s="505"/>
      <c r="O46" s="505"/>
      <c r="P46" s="505"/>
      <c r="Q46" s="505"/>
    </row>
    <row r="47" spans="1:17" ht="16">
      <c r="A47" s="574" t="str">
        <f>ValSum!B17</f>
        <v>Q2 25 TEV / EBITA:</v>
      </c>
      <c r="B47" s="575">
        <f>ValSum!I17</f>
        <v>21.614106140571074</v>
      </c>
      <c r="C47" s="575">
        <f>ValSum!J17</f>
        <v>23.988618275616826</v>
      </c>
      <c r="D47" s="575">
        <f>ValSum!K17</f>
        <v>24.655225769935598</v>
      </c>
      <c r="E47" s="575">
        <f>ValSum!L17</f>
        <v>29.300532631168259</v>
      </c>
      <c r="F47" s="575">
        <f>ValSum!M17</f>
        <v>31.271831624913837</v>
      </c>
      <c r="G47" s="505"/>
      <c r="H47" s="505">
        <f t="shared" si="1"/>
        <v>21.614106140571074</v>
      </c>
      <c r="I47" s="505">
        <f t="shared" si="2"/>
        <v>2.3745121350457516</v>
      </c>
      <c r="J47" s="505">
        <f t="shared" si="0"/>
        <v>0.66660749431877164</v>
      </c>
      <c r="K47" s="505">
        <f t="shared" si="0"/>
        <v>4.6453068612326618</v>
      </c>
      <c r="L47" s="505">
        <f t="shared" si="0"/>
        <v>1.9712989937455774</v>
      </c>
      <c r="M47" s="505"/>
      <c r="N47" s="505"/>
      <c r="O47" s="505"/>
      <c r="P47" s="505"/>
      <c r="Q47" s="505"/>
    </row>
    <row r="48" spans="1:17" ht="16">
      <c r="A48" s="574" t="str">
        <f>ValSum!B16</f>
        <v>Q1 25 TEV / EBITA:</v>
      </c>
      <c r="B48" s="575">
        <f>ValSum!I16</f>
        <v>16.582286906007777</v>
      </c>
      <c r="C48" s="575">
        <f>ValSum!J16</f>
        <v>17.201405341108075</v>
      </c>
      <c r="D48" s="575">
        <f>ValSum!K16</f>
        <v>17.590917310819847</v>
      </c>
      <c r="E48" s="575">
        <f>ValSum!L16</f>
        <v>19.703759502182915</v>
      </c>
      <c r="F48" s="575">
        <f>ValSum!M16</f>
        <v>20.608492932689568</v>
      </c>
      <c r="G48" s="505"/>
      <c r="H48" s="505">
        <f t="shared" si="1"/>
        <v>16.582286906007777</v>
      </c>
      <c r="I48" s="505">
        <f t="shared" si="2"/>
        <v>0.6191184351002974</v>
      </c>
      <c r="J48" s="505">
        <f t="shared" si="0"/>
        <v>0.38951196971177282</v>
      </c>
      <c r="K48" s="505">
        <f t="shared" si="0"/>
        <v>2.1128421913630682</v>
      </c>
      <c r="L48" s="505">
        <f t="shared" si="0"/>
        <v>0.90473343050665278</v>
      </c>
      <c r="M48" s="505"/>
      <c r="N48" s="505"/>
      <c r="O48" s="505"/>
      <c r="P48" s="505"/>
      <c r="Q48" s="505"/>
    </row>
    <row r="49" spans="1:17" ht="16">
      <c r="A49" s="574" t="str">
        <f>ValSum!B15</f>
        <v>Q4 24 TEV / EBITA:</v>
      </c>
      <c r="B49" s="575">
        <f>ValSum!I15</f>
        <v>9.5982887058232382</v>
      </c>
      <c r="C49" s="575">
        <f>ValSum!J15</f>
        <v>9.5199191302036272</v>
      </c>
      <c r="D49" s="575">
        <f>ValSum!K15</f>
        <v>9.2974666442515215</v>
      </c>
      <c r="E49" s="575">
        <f>ValSum!L15</f>
        <v>8.373714400221667</v>
      </c>
      <c r="F49" s="575">
        <f>ValSum!M15</f>
        <v>5.9655595932168106</v>
      </c>
      <c r="G49" s="505"/>
      <c r="H49" s="505">
        <f t="shared" si="1"/>
        <v>9.5982887058232382</v>
      </c>
      <c r="I49" s="505">
        <f t="shared" si="2"/>
        <v>-7.8369575619610998E-2</v>
      </c>
      <c r="J49" s="505">
        <f t="shared" si="0"/>
        <v>-0.22245248595210576</v>
      </c>
      <c r="K49" s="505">
        <f t="shared" si="0"/>
        <v>-0.92375224402985445</v>
      </c>
      <c r="L49" s="505">
        <f t="shared" si="0"/>
        <v>-2.4081548070048564</v>
      </c>
      <c r="M49" s="505"/>
      <c r="N49" s="505"/>
      <c r="O49" s="505"/>
      <c r="P49" s="505"/>
      <c r="Q49" s="505"/>
    </row>
    <row r="50" spans="1:17" ht="16">
      <c r="A50" s="574" t="str">
        <f>ValSum!B14</f>
        <v>Q2 25 TEV / Revenue:</v>
      </c>
      <c r="B50" s="575">
        <f>ValSum!I14</f>
        <v>17.21710733348781</v>
      </c>
      <c r="C50" s="575">
        <f>ValSum!J14</f>
        <v>17.526173341576939</v>
      </c>
      <c r="D50" s="575">
        <f>ValSum!K14</f>
        <v>19.208742648214557</v>
      </c>
      <c r="E50" s="575">
        <f>ValSum!L14</f>
        <v>21.260728024318137</v>
      </c>
      <c r="F50" s="575">
        <f>ValSum!M14</f>
        <v>24.739395395691517</v>
      </c>
      <c r="G50" s="505"/>
      <c r="H50" s="505">
        <f t="shared" si="1"/>
        <v>17.21710733348781</v>
      </c>
      <c r="I50" s="505">
        <f t="shared" si="2"/>
        <v>0.30906600808912899</v>
      </c>
      <c r="J50" s="505">
        <f t="shared" ref="J50:J52" si="3">D50-C50</f>
        <v>1.6825693066376175</v>
      </c>
      <c r="K50" s="505">
        <f t="shared" ref="K50:K52" si="4">E50-D50</f>
        <v>2.0519853761035804</v>
      </c>
      <c r="L50" s="505">
        <f t="shared" ref="L50:L52" si="5">F50-E50</f>
        <v>3.4786673713733798</v>
      </c>
      <c r="M50" s="505"/>
      <c r="N50" s="505"/>
      <c r="O50" s="505"/>
      <c r="P50" s="505"/>
      <c r="Q50" s="505"/>
    </row>
    <row r="51" spans="1:17" ht="16">
      <c r="A51" s="574" t="str">
        <f>ValSum!B13</f>
        <v>Q1 25 TEV / Revenue:</v>
      </c>
      <c r="B51" s="575">
        <f>ValSum!I13</f>
        <v>15.802445110092354</v>
      </c>
      <c r="C51" s="575">
        <f>ValSum!J13</f>
        <v>16.185855805950695</v>
      </c>
      <c r="D51" s="575">
        <f>ValSum!K13</f>
        <v>17.465160064020385</v>
      </c>
      <c r="E51" s="575">
        <f>ValSum!L13</f>
        <v>19.008610963719114</v>
      </c>
      <c r="F51" s="575">
        <f>ValSum!M13</f>
        <v>21.730411756255485</v>
      </c>
      <c r="G51" s="505"/>
      <c r="H51" s="505">
        <f t="shared" si="1"/>
        <v>15.802445110092354</v>
      </c>
      <c r="I51" s="505">
        <f t="shared" si="2"/>
        <v>0.3834106958583412</v>
      </c>
      <c r="J51" s="505">
        <f t="shared" si="3"/>
        <v>1.2793042580696898</v>
      </c>
      <c r="K51" s="505">
        <f t="shared" si="4"/>
        <v>1.5434508996987297</v>
      </c>
      <c r="L51" s="505">
        <f t="shared" si="5"/>
        <v>2.7218007925363707</v>
      </c>
      <c r="M51" s="505"/>
      <c r="N51" s="505"/>
      <c r="O51" s="505"/>
      <c r="P51" s="505"/>
      <c r="Q51" s="505"/>
    </row>
    <row r="52" spans="1:17" ht="16">
      <c r="A52" s="574" t="str">
        <f>ValSum!B12</f>
        <v>Q4 24 TEV / Revenue:</v>
      </c>
      <c r="B52" s="575">
        <f>ValSum!I12</f>
        <v>12.683662394300576</v>
      </c>
      <c r="C52" s="575">
        <f>ValSum!J12</f>
        <v>12.807296720676581</v>
      </c>
      <c r="D52" s="575">
        <f>ValSum!K12</f>
        <v>13.139640649162549</v>
      </c>
      <c r="E52" s="575">
        <f>ValSum!L12</f>
        <v>13.380894101624223</v>
      </c>
      <c r="F52" s="575">
        <f>ValSum!M12</f>
        <v>14.798371445900782</v>
      </c>
      <c r="G52" s="505"/>
      <c r="H52" s="505">
        <f t="shared" si="1"/>
        <v>12.683662394300576</v>
      </c>
      <c r="I52" s="505">
        <f t="shared" si="2"/>
        <v>0.12363432637600447</v>
      </c>
      <c r="J52" s="505">
        <f t="shared" si="3"/>
        <v>0.33234392848596883</v>
      </c>
      <c r="K52" s="505">
        <f t="shared" si="4"/>
        <v>0.24125345246167385</v>
      </c>
      <c r="L52" s="505">
        <f t="shared" si="5"/>
        <v>1.4174773442765591</v>
      </c>
      <c r="M52" s="505"/>
      <c r="N52" s="505"/>
      <c r="O52" s="505"/>
      <c r="P52" s="505"/>
      <c r="Q52" s="505"/>
    </row>
    <row r="53" spans="1:17" ht="16">
      <c r="A53" s="576" t="s">
        <v>347</v>
      </c>
    </row>
    <row r="54" spans="1:17">
      <c r="A54" s="577" t="s">
        <v>16</v>
      </c>
      <c r="B54" s="575">
        <f>Share_Price</f>
        <v>26.71</v>
      </c>
      <c r="C54" s="575">
        <f>Share_Price</f>
        <v>26.71</v>
      </c>
      <c r="D54" s="575">
        <f>Share_Price</f>
        <v>26.71</v>
      </c>
      <c r="E54" s="575">
        <f>Share_Price</f>
        <v>26.71</v>
      </c>
      <c r="F54" s="575">
        <f>Share_Price</f>
        <v>26.71</v>
      </c>
      <c r="H54" s="505">
        <v>1000</v>
      </c>
      <c r="I54" s="505">
        <v>0</v>
      </c>
      <c r="J54" s="505">
        <v>0</v>
      </c>
      <c r="K54" s="505">
        <v>0</v>
      </c>
      <c r="L54" s="505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33</vt:i4>
      </vt:variant>
    </vt:vector>
  </HeadingPairs>
  <TitlesOfParts>
    <vt:vector size="45" baseType="lpstr">
      <vt:lpstr>Cover</vt:lpstr>
      <vt:lpstr>Summary</vt:lpstr>
      <vt:lpstr>Graphs</vt:lpstr>
      <vt:lpstr>Model</vt:lpstr>
      <vt:lpstr>Deployment</vt:lpstr>
      <vt:lpstr>DCF</vt:lpstr>
      <vt:lpstr>WACC</vt:lpstr>
      <vt:lpstr>ValSum</vt:lpstr>
      <vt:lpstr>ValGraph</vt:lpstr>
      <vt:lpstr>PubComps</vt:lpstr>
      <vt:lpstr>PubCompsData</vt:lpstr>
      <vt:lpstr>MAComps</vt:lpstr>
      <vt:lpstr>BlackwellCapex</vt:lpstr>
      <vt:lpstr>BlackwellPrice</vt:lpstr>
      <vt:lpstr>Company_Name</vt:lpstr>
      <vt:lpstr>Cost_of_Debt</vt:lpstr>
      <vt:lpstr>Cost_of_Preferred</vt:lpstr>
      <vt:lpstr>Current_Quart</vt:lpstr>
      <vt:lpstr>Diluted_Shares</vt:lpstr>
      <vt:lpstr>Discount_Rate</vt:lpstr>
      <vt:lpstr>Equity_Risk_Premium</vt:lpstr>
      <vt:lpstr>Forward_Quart_1</vt:lpstr>
      <vt:lpstr>Forward_Quart_2</vt:lpstr>
      <vt:lpstr>Forward_Quart_3</vt:lpstr>
      <vt:lpstr>H100CapEx</vt:lpstr>
      <vt:lpstr>H100Price</vt:lpstr>
      <vt:lpstr>H200Capex</vt:lpstr>
      <vt:lpstr>H200Price</vt:lpstr>
      <vt:lpstr>Hist_Quart</vt:lpstr>
      <vt:lpstr>MWPrice</vt:lpstr>
      <vt:lpstr>Next_Quart</vt:lpstr>
      <vt:lpstr>Pub_Comps_Params</vt:lpstr>
      <vt:lpstr>Pub_Comps_Range</vt:lpstr>
      <vt:lpstr>Pub_Comps_Tickers</vt:lpstr>
      <vt:lpstr>Risk_Free_Rate</vt:lpstr>
      <vt:lpstr>Scenario</vt:lpstr>
      <vt:lpstr>Share_Price</vt:lpstr>
      <vt:lpstr>Stub_Period</vt:lpstr>
      <vt:lpstr>Tax_Rate</vt:lpstr>
      <vt:lpstr>Terminal_Growth_Rate</vt:lpstr>
      <vt:lpstr>Terminal_Multiple</vt:lpstr>
      <vt:lpstr>Three_State_Params</vt:lpstr>
      <vt:lpstr>Three_State_Quart</vt:lpstr>
      <vt:lpstr>Three_State_Range</vt:lpstr>
      <vt:lpstr>Utilization_Rate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Rentrop</dc:creator>
  <cp:lastModifiedBy>glenn Rentrop</cp:lastModifiedBy>
  <cp:lastPrinted>2025-01-24T00:03:16Z</cp:lastPrinted>
  <dcterms:created xsi:type="dcterms:W3CDTF">2024-12-10T17:06:57Z</dcterms:created>
  <dcterms:modified xsi:type="dcterms:W3CDTF">2025-10-15T15:16:46Z</dcterms:modified>
</cp:coreProperties>
</file>