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359063f627c2eb15/Documents/atlantic-walk-research/public/"/>
    </mc:Choice>
  </mc:AlternateContent>
  <xr:revisionPtr revIDLastSave="0" documentId="8_{F9DDCE3A-48D3-413C-9FE5-5DE1928E1F46}" xr6:coauthVersionLast="47" xr6:coauthVersionMax="47" xr10:uidLastSave="{00000000-0000-0000-0000-000000000000}"/>
  <bookViews>
    <workbookView xWindow="-110" yWindow="-110" windowWidth="19420" windowHeight="11500" firstSheet="2" activeTab="3" xr2:uid="{6C33D185-9F2E-4321-B47A-0E4CAC889870}"/>
  </bookViews>
  <sheets>
    <sheet name="Cover" sheetId="13" r:id="rId1"/>
    <sheet name="Summary" sheetId="12" r:id="rId2"/>
    <sheet name="Graphs" sheetId="11" r:id="rId3"/>
    <sheet name="Model" sheetId="1" r:id="rId4"/>
    <sheet name="Drivers" sheetId="3" r:id="rId5"/>
    <sheet name="DCF" sheetId="4" r:id="rId6"/>
    <sheet name="Wacc" sheetId="8" r:id="rId7"/>
    <sheet name="Valsum" sheetId="9" r:id="rId8"/>
    <sheet name="ValGraph" sheetId="10" r:id="rId9"/>
    <sheet name="PubComps" sheetId="7" r:id="rId10"/>
    <sheet name="PubComps_Data" sheetId="5" r:id="rId11"/>
    <sheet name="PPT" sheetId="14" r:id="rId12"/>
  </sheets>
  <definedNames>
    <definedName name="Company_Name">Model!$G$5</definedName>
    <definedName name="Cost_of_Debt">Wacc!$F$8</definedName>
    <definedName name="Cost_of_Preferred">Wacc!$F$9</definedName>
    <definedName name="Diluted">Model!$G$8</definedName>
    <definedName name="Discount_Rate">DCF!$G$14</definedName>
    <definedName name="Equity_Risk_Premium">Wacc!$F$7</definedName>
    <definedName name="Forward_Year_1">Model!$N$12</definedName>
    <definedName name="Forward_Year_2">Model!$N$13</definedName>
    <definedName name="Forward_Year_3">Model!$N$14</definedName>
    <definedName name="Hist_Year">Model!$N$5</definedName>
    <definedName name="LTM">Model!$N$11</definedName>
    <definedName name="Premium_Case">DCF!$G$7</definedName>
    <definedName name="Premium_Uplift">DCF!$K$7</definedName>
    <definedName name="Pub_Comps_Params">PubComps_Data!$C$3:$C$102</definedName>
    <definedName name="Pub_Comps_Range">PubComps_Data!$C$3:$AL$102</definedName>
    <definedName name="Pub_Comps_Tickers">PubComps_Data!$C$3:$AL$3</definedName>
    <definedName name="Risk_Free_Rate">Wacc!$F$6</definedName>
    <definedName name="Scenario">DCF!$G$6</definedName>
    <definedName name="Share_Price">Model!$G$7</definedName>
    <definedName name="Tax_Rate">Model!$G$10</definedName>
    <definedName name="Terminal_Growth_Rate">DCF!$Q$14</definedName>
    <definedName name="Ticker">Model!$G$6</definedName>
    <definedName name="Units">Model!$G$13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1" i="4" l="1"/>
  <c r="B26" i="8"/>
  <c r="Q14" i="4"/>
  <c r="P11" i="14"/>
  <c r="Q11" i="14"/>
  <c r="O11" i="14"/>
  <c r="L17" i="4"/>
  <c r="L16" i="4"/>
  <c r="L15" i="4"/>
  <c r="L14" i="4" s="1"/>
  <c r="R50" i="11"/>
  <c r="U50" i="11"/>
  <c r="R40" i="11"/>
  <c r="S40" i="11"/>
  <c r="U40" i="11"/>
  <c r="V40" i="11"/>
  <c r="D20" i="8"/>
  <c r="E20" i="8"/>
  <c r="G20" i="8"/>
  <c r="I20" i="8"/>
  <c r="K20" i="8"/>
  <c r="B20" i="8"/>
  <c r="B32" i="7"/>
  <c r="D32" i="7"/>
  <c r="F32" i="7"/>
  <c r="M32" i="7"/>
  <c r="N32" i="7"/>
  <c r="O32" i="7"/>
  <c r="P32" i="7"/>
  <c r="Q32" i="7"/>
  <c r="R32" i="7"/>
  <c r="S32" i="7"/>
  <c r="T32" i="7"/>
  <c r="U32" i="7"/>
  <c r="V32" i="7"/>
  <c r="D14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X14" i="7"/>
  <c r="Y14" i="7"/>
  <c r="Z14" i="7"/>
  <c r="AA14" i="7"/>
  <c r="B14" i="7"/>
  <c r="AL61" i="5"/>
  <c r="T11" i="5"/>
  <c r="U11" i="5"/>
  <c r="V11" i="5"/>
  <c r="T9" i="5"/>
  <c r="U9" i="5"/>
  <c r="V9" i="5"/>
  <c r="T8" i="5"/>
  <c r="U8" i="5"/>
  <c r="V8" i="5"/>
  <c r="Q12" i="5"/>
  <c r="K6" i="14"/>
  <c r="K4" i="14"/>
  <c r="K3" i="14"/>
  <c r="G29" i="4"/>
  <c r="G24" i="4"/>
  <c r="G22" i="4"/>
  <c r="G21" i="4"/>
  <c r="H27" i="12"/>
  <c r="I27" i="12"/>
  <c r="J27" i="12"/>
  <c r="K27" i="12"/>
  <c r="G24" i="12"/>
  <c r="H24" i="12"/>
  <c r="I24" i="12"/>
  <c r="J24" i="12"/>
  <c r="K24" i="12"/>
  <c r="F24" i="12"/>
  <c r="K2" i="14"/>
  <c r="D14" i="13"/>
  <c r="D10" i="13"/>
  <c r="B2" i="13"/>
  <c r="G12" i="12"/>
  <c r="H12" i="12"/>
  <c r="I12" i="12"/>
  <c r="F12" i="12"/>
  <c r="B12" i="12"/>
  <c r="G89" i="4"/>
  <c r="H89" i="4" s="1"/>
  <c r="I89" i="4" s="1"/>
  <c r="J89" i="4" s="1"/>
  <c r="K89" i="4" s="1"/>
  <c r="L89" i="4" s="1"/>
  <c r="M89" i="4" s="1"/>
  <c r="N89" i="4" s="1"/>
  <c r="O89" i="4" s="1"/>
  <c r="P89" i="4" s="1"/>
  <c r="G74" i="4"/>
  <c r="F8" i="8"/>
  <c r="Q49" i="3"/>
  <c r="Q56" i="3" s="1"/>
  <c r="O12" i="12" s="1"/>
  <c r="P49" i="3"/>
  <c r="P56" i="3" s="1"/>
  <c r="N12" i="12" s="1"/>
  <c r="O49" i="3"/>
  <c r="O56" i="3" s="1"/>
  <c r="M12" i="12" s="1"/>
  <c r="N49" i="3"/>
  <c r="N56" i="3" s="1"/>
  <c r="L12" i="12" s="1"/>
  <c r="M49" i="3"/>
  <c r="M56" i="3" s="1"/>
  <c r="K12" i="12" s="1"/>
  <c r="L49" i="3"/>
  <c r="L56" i="3" s="1"/>
  <c r="J12" i="12" s="1"/>
  <c r="L95" i="1"/>
  <c r="A37" i="10"/>
  <c r="A38" i="10"/>
  <c r="A39" i="10"/>
  <c r="A40" i="10"/>
  <c r="A41" i="10"/>
  <c r="A42" i="10"/>
  <c r="A43" i="10"/>
  <c r="A44" i="10"/>
  <c r="A36" i="10"/>
  <c r="B25" i="13"/>
  <c r="B32" i="13"/>
  <c r="B27" i="13"/>
  <c r="B30" i="13"/>
  <c r="B29" i="13"/>
  <c r="B24" i="13"/>
  <c r="B23" i="13"/>
  <c r="B31" i="13"/>
  <c r="B26" i="13"/>
  <c r="B28" i="13"/>
  <c r="B22" i="13"/>
  <c r="K5" i="14" l="1"/>
  <c r="F20" i="8"/>
  <c r="J20" i="8"/>
  <c r="L20" i="8"/>
  <c r="H20" i="8"/>
  <c r="M13" i="12"/>
  <c r="N13" i="12"/>
  <c r="L13" i="12"/>
  <c r="O13" i="12"/>
  <c r="R105" i="11"/>
  <c r="AA43" i="11"/>
  <c r="X43" i="11"/>
  <c r="U43" i="11"/>
  <c r="R43" i="11"/>
  <c r="AB33" i="11"/>
  <c r="AA33" i="11"/>
  <c r="Y33" i="11"/>
  <c r="X33" i="11"/>
  <c r="V33" i="11"/>
  <c r="U33" i="11"/>
  <c r="S33" i="11"/>
  <c r="R33" i="11"/>
  <c r="Q7" i="11" a="1"/>
  <c r="Q7" i="11" s="1"/>
  <c r="Q24" i="11" s="1"/>
  <c r="G38" i="12"/>
  <c r="H38" i="12"/>
  <c r="G37" i="12"/>
  <c r="H37" i="12"/>
  <c r="I37" i="12"/>
  <c r="I38" i="12" s="1"/>
  <c r="F37" i="12"/>
  <c r="G35" i="12"/>
  <c r="H35" i="12"/>
  <c r="I35" i="12"/>
  <c r="F35" i="12"/>
  <c r="G34" i="12"/>
  <c r="H34" i="12"/>
  <c r="I34" i="12"/>
  <c r="F34" i="12"/>
  <c r="G33" i="12"/>
  <c r="H33" i="12"/>
  <c r="I33" i="12"/>
  <c r="F33" i="12"/>
  <c r="G31" i="12"/>
  <c r="H31" i="12"/>
  <c r="I31" i="12"/>
  <c r="F31" i="12"/>
  <c r="G30" i="12"/>
  <c r="H30" i="12"/>
  <c r="I30" i="12"/>
  <c r="F30" i="12"/>
  <c r="G29" i="12"/>
  <c r="H29" i="12"/>
  <c r="I29" i="12"/>
  <c r="F29" i="12"/>
  <c r="G26" i="12"/>
  <c r="H26" i="12"/>
  <c r="I26" i="12"/>
  <c r="F26" i="12"/>
  <c r="G23" i="12"/>
  <c r="H23" i="12"/>
  <c r="I23" i="12"/>
  <c r="F23" i="12"/>
  <c r="H21" i="12"/>
  <c r="I21" i="12"/>
  <c r="G21" i="12"/>
  <c r="G20" i="12"/>
  <c r="H20" i="12"/>
  <c r="I20" i="12"/>
  <c r="F20" i="12"/>
  <c r="H18" i="12"/>
  <c r="G17" i="12"/>
  <c r="G18" i="12" s="1"/>
  <c r="H17" i="12"/>
  <c r="I17" i="12"/>
  <c r="I18" i="12" s="1"/>
  <c r="F17" i="12"/>
  <c r="G9" i="12"/>
  <c r="F9" i="12"/>
  <c r="B54" i="12"/>
  <c r="B51" i="12"/>
  <c r="B49" i="12"/>
  <c r="B46" i="12"/>
  <c r="G3" i="12"/>
  <c r="B3" i="12"/>
  <c r="B44" i="12"/>
  <c r="K13" i="12"/>
  <c r="Q66" i="11"/>
  <c r="Q65" i="11"/>
  <c r="Q63" i="11"/>
  <c r="Q62" i="11"/>
  <c r="Q60" i="11"/>
  <c r="Q59" i="11"/>
  <c r="Q56" i="11"/>
  <c r="Q54" i="11"/>
  <c r="Q52" i="11"/>
  <c r="AA46" i="11"/>
  <c r="X46" i="11"/>
  <c r="U48" i="11"/>
  <c r="AB38" i="11"/>
  <c r="Y36" i="11"/>
  <c r="X36" i="11"/>
  <c r="V36" i="11"/>
  <c r="B2" i="11"/>
  <c r="U34" i="11" l="1"/>
  <c r="R37" i="11"/>
  <c r="U38" i="11"/>
  <c r="U35" i="11"/>
  <c r="U47" i="11"/>
  <c r="S37" i="11"/>
  <c r="X47" i="11"/>
  <c r="U37" i="11"/>
  <c r="R44" i="11"/>
  <c r="AB37" i="11"/>
  <c r="AA47" i="11"/>
  <c r="S35" i="11"/>
  <c r="R38" i="11"/>
  <c r="U44" i="11"/>
  <c r="R46" i="11"/>
  <c r="Q26" i="11"/>
  <c r="Q30" i="11" s="1"/>
  <c r="R34" i="11"/>
  <c r="S38" i="11"/>
  <c r="Q27" i="11"/>
  <c r="X48" i="11"/>
  <c r="S34" i="11"/>
  <c r="R35" i="11"/>
  <c r="R47" i="11"/>
  <c r="AA48" i="11"/>
  <c r="H3" i="12"/>
  <c r="F38" i="12"/>
  <c r="V35" i="11"/>
  <c r="AB36" i="11"/>
  <c r="V38" i="11"/>
  <c r="X38" i="11"/>
  <c r="U46" i="11"/>
  <c r="Q25" i="11"/>
  <c r="V34" i="11"/>
  <c r="V37" i="11"/>
  <c r="R45" i="11"/>
  <c r="R48" i="11"/>
  <c r="AA38" i="11"/>
  <c r="S36" i="11"/>
  <c r="Y37" i="11"/>
  <c r="U45" i="11"/>
  <c r="Y38" i="11"/>
  <c r="R36" i="11"/>
  <c r="X37" i="11"/>
  <c r="U36" i="11"/>
  <c r="AA37" i="11"/>
  <c r="AA36" i="11"/>
  <c r="I3" i="12" l="1"/>
  <c r="G27" i="12"/>
  <c r="J41" i="12" l="1"/>
  <c r="J3" i="12"/>
  <c r="K3" i="12" l="1"/>
  <c r="K41" i="12"/>
  <c r="L3" i="12" l="1"/>
  <c r="M3" i="12" l="1"/>
  <c r="N3" i="12" l="1"/>
  <c r="O3" i="12" s="1"/>
  <c r="Q12" i="12" s="1"/>
  <c r="AG13" i="5" l="1"/>
  <c r="AG12" i="5"/>
  <c r="AG11" i="5"/>
  <c r="AG14" i="5" s="1"/>
  <c r="AG9" i="5"/>
  <c r="AG8" i="5"/>
  <c r="AL79" i="5"/>
  <c r="AL78" i="5"/>
  <c r="AL77" i="5"/>
  <c r="AL85" i="5" s="1"/>
  <c r="AL75" i="5"/>
  <c r="AL74" i="5"/>
  <c r="AL73" i="5"/>
  <c r="AK69" i="5"/>
  <c r="AL102" i="5" s="1"/>
  <c r="AJ69" i="5"/>
  <c r="AL98" i="5" s="1"/>
  <c r="AK68" i="5"/>
  <c r="AL101" i="5" s="1"/>
  <c r="AJ68" i="5"/>
  <c r="AL97" i="5" s="1"/>
  <c r="AK67" i="5"/>
  <c r="AL100" i="5" s="1"/>
  <c r="AJ67" i="5"/>
  <c r="AL96" i="5" s="1"/>
  <c r="AK66" i="5"/>
  <c r="AI66" i="5"/>
  <c r="AL55" i="5"/>
  <c r="AL57" i="5" s="1"/>
  <c r="AL52" i="5"/>
  <c r="AL51" i="5"/>
  <c r="AL48" i="5"/>
  <c r="AL47" i="5"/>
  <c r="AL46" i="5"/>
  <c r="AL45" i="5"/>
  <c r="AL44" i="5"/>
  <c r="AL43" i="5"/>
  <c r="AL42" i="5"/>
  <c r="AL41" i="5"/>
  <c r="AL40" i="5"/>
  <c r="AL83" i="5"/>
  <c r="AL82" i="5"/>
  <c r="AL67" i="5"/>
  <c r="AK30" i="5"/>
  <c r="AL66" i="5" s="1"/>
  <c r="AJ30" i="5"/>
  <c r="AI30" i="5"/>
  <c r="AJ66" i="5" s="1"/>
  <c r="AL13" i="5"/>
  <c r="AL12" i="5"/>
  <c r="AL11" i="5"/>
  <c r="AL8" i="5"/>
  <c r="N26" i="3"/>
  <c r="M26" i="3"/>
  <c r="L26" i="3"/>
  <c r="M22" i="9"/>
  <c r="L34" i="10" s="1"/>
  <c r="L22" i="9"/>
  <c r="K34" i="10" s="1"/>
  <c r="K22" i="9"/>
  <c r="J34" i="10" s="1"/>
  <c r="J22" i="9"/>
  <c r="I34" i="10" s="1"/>
  <c r="I22" i="9"/>
  <c r="H34" i="10" s="1"/>
  <c r="E92" i="4"/>
  <c r="E93" i="4"/>
  <c r="E94" i="4" s="1"/>
  <c r="E95" i="4" s="1"/>
  <c r="E96" i="4" s="1"/>
  <c r="E97" i="4" s="1"/>
  <c r="E98" i="4" s="1"/>
  <c r="E99" i="4" s="1"/>
  <c r="E100" i="4" s="1"/>
  <c r="E91" i="4"/>
  <c r="H74" i="4"/>
  <c r="I74" i="4" s="1"/>
  <c r="J74" i="4" s="1"/>
  <c r="K74" i="4" s="1"/>
  <c r="L74" i="4" s="1"/>
  <c r="M74" i="4" s="1"/>
  <c r="N74" i="4" s="1"/>
  <c r="O74" i="4" s="1"/>
  <c r="P74" i="4" s="1"/>
  <c r="E77" i="4"/>
  <c r="E78" i="4" s="1"/>
  <c r="E79" i="4" s="1"/>
  <c r="E80" i="4" s="1"/>
  <c r="E81" i="4" s="1"/>
  <c r="E82" i="4" s="1"/>
  <c r="E83" i="4" s="1"/>
  <c r="E84" i="4" s="1"/>
  <c r="E85" i="4" s="1"/>
  <c r="E76" i="4"/>
  <c r="L46" i="10"/>
  <c r="K46" i="10"/>
  <c r="Q46" i="10" s="1"/>
  <c r="J46" i="10"/>
  <c r="I46" i="10"/>
  <c r="H46" i="10"/>
  <c r="W1" i="10"/>
  <c r="E34" i="9"/>
  <c r="E26" i="9"/>
  <c r="E28" i="9"/>
  <c r="E29" i="9"/>
  <c r="E30" i="9"/>
  <c r="E31" i="9"/>
  <c r="B20" i="9"/>
  <c r="B19" i="9"/>
  <c r="B17" i="9"/>
  <c r="B16" i="9"/>
  <c r="B14" i="9"/>
  <c r="B13" i="9"/>
  <c r="B5" i="9"/>
  <c r="B2" i="9"/>
  <c r="O97" i="3"/>
  <c r="P97" i="3" s="1"/>
  <c r="Q97" i="3" s="1"/>
  <c r="I61" i="4"/>
  <c r="J61" i="4"/>
  <c r="K61" i="4"/>
  <c r="L39" i="4"/>
  <c r="Q39" i="4"/>
  <c r="B2" i="8"/>
  <c r="C11" i="8"/>
  <c r="B11" i="8"/>
  <c r="C24" i="8"/>
  <c r="B24" i="8"/>
  <c r="T5" i="7"/>
  <c r="Y5" i="7"/>
  <c r="N5" i="7"/>
  <c r="O46" i="10" l="1"/>
  <c r="AL69" i="5"/>
  <c r="AL86" i="5"/>
  <c r="AL89" i="5"/>
  <c r="AL90" i="5"/>
  <c r="AL14" i="5"/>
  <c r="AL88" i="5" s="1"/>
  <c r="AL62" i="5"/>
  <c r="AI69" i="5"/>
  <c r="AL94" i="5" s="1"/>
  <c r="AL81" i="5"/>
  <c r="AL68" i="5"/>
  <c r="P46" i="10"/>
  <c r="C29" i="8"/>
  <c r="AI68" i="5" l="1"/>
  <c r="AL93" i="5" s="1"/>
  <c r="AI67" i="5"/>
  <c r="AL92" i="5" s="1"/>
  <c r="C40" i="7"/>
  <c r="U26" i="7"/>
  <c r="T26" i="7"/>
  <c r="R26" i="7"/>
  <c r="Q26" i="7"/>
  <c r="O26" i="7"/>
  <c r="N26" i="7"/>
  <c r="D21" i="7"/>
  <c r="C21" i="7"/>
  <c r="Z8" i="7"/>
  <c r="Y8" i="7"/>
  <c r="U8" i="7"/>
  <c r="T8" i="7"/>
  <c r="R8" i="7"/>
  <c r="Q8" i="7"/>
  <c r="P8" i="7"/>
  <c r="AA8" i="7" s="1"/>
  <c r="AF33" i="5"/>
  <c r="AG83" i="5" s="1"/>
  <c r="AF32" i="5"/>
  <c r="AG82" i="5" s="1"/>
  <c r="AF31" i="5"/>
  <c r="AG81" i="5" s="1"/>
  <c r="AA33" i="5"/>
  <c r="AA32" i="5"/>
  <c r="AA31" i="5"/>
  <c r="V32" i="5"/>
  <c r="V33" i="5"/>
  <c r="V31" i="5"/>
  <c r="Q32" i="5"/>
  <c r="Q33" i="5"/>
  <c r="Q31" i="5"/>
  <c r="AF55" i="5"/>
  <c r="AG55" i="5" s="1"/>
  <c r="AA55" i="5"/>
  <c r="AB55" i="5" s="1"/>
  <c r="W55" i="5"/>
  <c r="W8" i="5"/>
  <c r="W6" i="5"/>
  <c r="G6" i="5"/>
  <c r="Q6" i="5"/>
  <c r="R6" i="5"/>
  <c r="H6" i="5"/>
  <c r="R55" i="5"/>
  <c r="G55" i="5"/>
  <c r="H55" i="5" s="1"/>
  <c r="H37" i="5"/>
  <c r="H36" i="5"/>
  <c r="H19" i="5"/>
  <c r="H8" i="5"/>
  <c r="H4" i="5"/>
  <c r="H3" i="5"/>
  <c r="C102" i="5"/>
  <c r="M82" i="5"/>
  <c r="C81" i="5"/>
  <c r="M78" i="5"/>
  <c r="AG77" i="5"/>
  <c r="M77" i="5"/>
  <c r="W75" i="5"/>
  <c r="M73" i="5"/>
  <c r="AD66" i="5"/>
  <c r="Y66" i="5"/>
  <c r="T66" i="5"/>
  <c r="O66" i="5"/>
  <c r="J66" i="5"/>
  <c r="E66" i="5"/>
  <c r="C94" i="5" s="1"/>
  <c r="M55" i="5"/>
  <c r="AG52" i="5"/>
  <c r="AB52" i="5"/>
  <c r="W52" i="5"/>
  <c r="R52" i="5"/>
  <c r="M52" i="5"/>
  <c r="H52" i="5"/>
  <c r="AG51" i="5"/>
  <c r="AB51" i="5"/>
  <c r="W51" i="5"/>
  <c r="R51" i="5"/>
  <c r="M51" i="5"/>
  <c r="H51" i="5"/>
  <c r="AG48" i="5"/>
  <c r="AB48" i="5"/>
  <c r="W48" i="5"/>
  <c r="R48" i="5"/>
  <c r="M48" i="5"/>
  <c r="H48" i="5"/>
  <c r="AG47" i="5"/>
  <c r="AB47" i="5"/>
  <c r="W47" i="5"/>
  <c r="R47" i="5"/>
  <c r="M47" i="5"/>
  <c r="H47" i="5"/>
  <c r="AG46" i="5"/>
  <c r="AB46" i="5"/>
  <c r="W46" i="5"/>
  <c r="R46" i="5"/>
  <c r="M46" i="5"/>
  <c r="H46" i="5"/>
  <c r="AG45" i="5"/>
  <c r="AB45" i="5"/>
  <c r="W45" i="5"/>
  <c r="R45" i="5"/>
  <c r="M45" i="5"/>
  <c r="H45" i="5"/>
  <c r="AG44" i="5"/>
  <c r="AB44" i="5"/>
  <c r="W44" i="5"/>
  <c r="R44" i="5"/>
  <c r="M44" i="5"/>
  <c r="H44" i="5"/>
  <c r="AG43" i="5"/>
  <c r="AB43" i="5"/>
  <c r="W43" i="5"/>
  <c r="R43" i="5"/>
  <c r="M43" i="5"/>
  <c r="H43" i="5"/>
  <c r="AG42" i="5"/>
  <c r="AB42" i="5"/>
  <c r="W42" i="5"/>
  <c r="R42" i="5"/>
  <c r="M42" i="5"/>
  <c r="H42" i="5"/>
  <c r="AG41" i="5"/>
  <c r="AB41" i="5"/>
  <c r="W41" i="5"/>
  <c r="R41" i="5"/>
  <c r="M41" i="5"/>
  <c r="H41" i="5"/>
  <c r="AG40" i="5"/>
  <c r="AB40" i="5"/>
  <c r="W40" i="5"/>
  <c r="R40" i="5"/>
  <c r="M40" i="5"/>
  <c r="H40" i="5"/>
  <c r="AG79" i="5"/>
  <c r="AG75" i="5"/>
  <c r="M79" i="5"/>
  <c r="M75" i="5"/>
  <c r="AG78" i="5"/>
  <c r="AG74" i="5"/>
  <c r="R74" i="5"/>
  <c r="M74" i="5"/>
  <c r="AG73" i="5"/>
  <c r="M81" i="5"/>
  <c r="AA30" i="5"/>
  <c r="AB66" i="5" s="1"/>
  <c r="G30" i="5"/>
  <c r="H66" i="5" s="1"/>
  <c r="AB13" i="5"/>
  <c r="W13" i="5"/>
  <c r="R13" i="5"/>
  <c r="M13" i="5"/>
  <c r="H13" i="5"/>
  <c r="AB12" i="5"/>
  <c r="W12" i="5"/>
  <c r="R12" i="5"/>
  <c r="H12" i="5"/>
  <c r="AB11" i="5"/>
  <c r="W11" i="5"/>
  <c r="R11" i="5"/>
  <c r="M11" i="5"/>
  <c r="H11" i="5"/>
  <c r="AB9" i="5"/>
  <c r="W9" i="5"/>
  <c r="R9" i="5"/>
  <c r="M9" i="5"/>
  <c r="H9" i="5"/>
  <c r="AB8" i="5"/>
  <c r="R8" i="5"/>
  <c r="M8" i="5"/>
  <c r="M6" i="5"/>
  <c r="J78" i="1"/>
  <c r="J68" i="4" s="1"/>
  <c r="K78" i="1"/>
  <c r="K68" i="4" s="1"/>
  <c r="I64" i="4"/>
  <c r="J64" i="4"/>
  <c r="K64" i="4"/>
  <c r="H64" i="4"/>
  <c r="I59" i="4"/>
  <c r="J59" i="4"/>
  <c r="K59" i="4"/>
  <c r="H59" i="4"/>
  <c r="I55" i="4"/>
  <c r="J55" i="4"/>
  <c r="K55" i="4"/>
  <c r="H55" i="4"/>
  <c r="J53" i="4"/>
  <c r="I48" i="4"/>
  <c r="J48" i="4"/>
  <c r="K48" i="4"/>
  <c r="H48" i="4"/>
  <c r="M81" i="3"/>
  <c r="M142" i="1" s="1"/>
  <c r="N81" i="3"/>
  <c r="N142" i="1" s="1"/>
  <c r="O81" i="3"/>
  <c r="O142" i="1" s="1"/>
  <c r="P81" i="3"/>
  <c r="P142" i="1" s="1"/>
  <c r="Q81" i="3"/>
  <c r="Q142" i="1" s="1"/>
  <c r="L81" i="3"/>
  <c r="L142" i="1" s="1"/>
  <c r="H171" i="1"/>
  <c r="L166" i="1"/>
  <c r="M166" i="1"/>
  <c r="N166" i="1"/>
  <c r="O166" i="1"/>
  <c r="P166" i="1"/>
  <c r="Q166" i="1"/>
  <c r="I164" i="1"/>
  <c r="M161" i="1"/>
  <c r="L174" i="1"/>
  <c r="J47" i="1"/>
  <c r="K47" i="1"/>
  <c r="I47" i="1"/>
  <c r="L163" i="1"/>
  <c r="M163" i="1" s="1"/>
  <c r="L161" i="1"/>
  <c r="J29" i="1"/>
  <c r="K29" i="1"/>
  <c r="I29" i="1"/>
  <c r="N31" i="1"/>
  <c r="O31" i="1" s="1"/>
  <c r="P31" i="1" s="1"/>
  <c r="Q31" i="1" s="1"/>
  <c r="I22" i="1"/>
  <c r="J22" i="1"/>
  <c r="K22" i="1"/>
  <c r="H22" i="1"/>
  <c r="J63" i="1"/>
  <c r="J65" i="1" s="1"/>
  <c r="I71" i="3"/>
  <c r="I76" i="3" s="1"/>
  <c r="J71" i="3"/>
  <c r="J76" i="3" s="1"/>
  <c r="K71" i="3"/>
  <c r="K76" i="3" s="1"/>
  <c r="H23" i="5" s="1"/>
  <c r="H71" i="3"/>
  <c r="H76" i="3" s="1"/>
  <c r="I50" i="1"/>
  <c r="J50" i="1"/>
  <c r="K50" i="1"/>
  <c r="H50" i="1"/>
  <c r="M48" i="1"/>
  <c r="N48" i="1" s="1"/>
  <c r="O48" i="1" s="1"/>
  <c r="P48" i="1" s="1"/>
  <c r="Q48" i="1" s="1"/>
  <c r="I48" i="1"/>
  <c r="J48" i="1"/>
  <c r="K48" i="1"/>
  <c r="H48" i="1"/>
  <c r="H159" i="1"/>
  <c r="J159" i="1"/>
  <c r="H97" i="1"/>
  <c r="H103" i="1" s="1"/>
  <c r="M43" i="1"/>
  <c r="N43" i="1" s="1"/>
  <c r="O43" i="1" s="1"/>
  <c r="P43" i="1" s="1"/>
  <c r="Q43" i="1" s="1"/>
  <c r="I43" i="1"/>
  <c r="J43" i="1"/>
  <c r="K43" i="1"/>
  <c r="H43" i="1"/>
  <c r="I42" i="1"/>
  <c r="J42" i="1"/>
  <c r="K42" i="1"/>
  <c r="L42" i="1" s="1"/>
  <c r="M42" i="1" s="1"/>
  <c r="N42" i="1" s="1"/>
  <c r="O42" i="1" s="1"/>
  <c r="P42" i="1" s="1"/>
  <c r="Q42" i="1" s="1"/>
  <c r="H42" i="1"/>
  <c r="L114" i="1"/>
  <c r="M114" i="1" s="1"/>
  <c r="N114" i="1" s="1"/>
  <c r="O114" i="1" s="1"/>
  <c r="P114" i="1" s="1"/>
  <c r="Q114" i="1" s="1"/>
  <c r="Q156" i="1" s="1"/>
  <c r="I41" i="1"/>
  <c r="J41" i="1"/>
  <c r="K41" i="1"/>
  <c r="H41" i="1"/>
  <c r="N40" i="1"/>
  <c r="I40" i="1"/>
  <c r="J40" i="1"/>
  <c r="K40" i="1"/>
  <c r="H40" i="1"/>
  <c r="I35" i="1"/>
  <c r="J35" i="1"/>
  <c r="K35" i="1"/>
  <c r="H35" i="1"/>
  <c r="I34" i="1"/>
  <c r="J34" i="1"/>
  <c r="K34" i="1"/>
  <c r="H34" i="1"/>
  <c r="M32" i="1"/>
  <c r="N32" i="1" s="1"/>
  <c r="O32" i="1" s="1"/>
  <c r="I32" i="1"/>
  <c r="J32" i="1"/>
  <c r="K32" i="1"/>
  <c r="H32" i="1"/>
  <c r="M95" i="1"/>
  <c r="N95" i="1" s="1"/>
  <c r="O95" i="1" s="1"/>
  <c r="P95" i="1" s="1"/>
  <c r="Q95" i="1" s="1"/>
  <c r="M20" i="1"/>
  <c r="I20" i="1"/>
  <c r="J20" i="1"/>
  <c r="K20" i="1"/>
  <c r="H20" i="1"/>
  <c r="M21" i="1"/>
  <c r="N21" i="1" s="1"/>
  <c r="O21" i="1" s="1"/>
  <c r="P21" i="1" s="1"/>
  <c r="Q21" i="1" s="1"/>
  <c r="I109" i="1"/>
  <c r="J109" i="1"/>
  <c r="K109" i="1"/>
  <c r="H109" i="1"/>
  <c r="K159" i="1"/>
  <c r="L75" i="3"/>
  <c r="M75" i="3" s="1"/>
  <c r="L74" i="3"/>
  <c r="B3" i="3"/>
  <c r="B60" i="3"/>
  <c r="B94" i="3"/>
  <c r="J164" i="1"/>
  <c r="K164" i="1"/>
  <c r="H164" i="1"/>
  <c r="P18" i="3"/>
  <c r="Q18" i="3"/>
  <c r="M106" i="3"/>
  <c r="L105" i="3"/>
  <c r="M102" i="3"/>
  <c r="N106" i="3" s="1"/>
  <c r="I104" i="3"/>
  <c r="I101" i="3" s="1"/>
  <c r="J104" i="3"/>
  <c r="J101" i="3" s="1"/>
  <c r="K104" i="3"/>
  <c r="K101" i="3" s="1"/>
  <c r="H104" i="3"/>
  <c r="H111" i="3" s="1"/>
  <c r="I96" i="3"/>
  <c r="J96" i="3"/>
  <c r="K96" i="3"/>
  <c r="H96" i="3"/>
  <c r="M25" i="1"/>
  <c r="N25" i="1" s="1"/>
  <c r="O25" i="1" s="1"/>
  <c r="P25" i="1" s="1"/>
  <c r="Q25" i="1" s="1"/>
  <c r="I25" i="1"/>
  <c r="J25" i="1"/>
  <c r="K25" i="1"/>
  <c r="H25" i="1"/>
  <c r="I23" i="1"/>
  <c r="H23" i="1"/>
  <c r="H21" i="1"/>
  <c r="I21" i="1"/>
  <c r="J21" i="1"/>
  <c r="K21" i="1"/>
  <c r="J23" i="1"/>
  <c r="K23" i="1"/>
  <c r="Q38" i="3"/>
  <c r="P38" i="3"/>
  <c r="O38" i="3"/>
  <c r="N38" i="3"/>
  <c r="M38" i="3"/>
  <c r="L38" i="3"/>
  <c r="I24" i="3"/>
  <c r="J24" i="3"/>
  <c r="K24" i="3"/>
  <c r="H24" i="3"/>
  <c r="L35" i="4"/>
  <c r="Q35" i="4" s="1"/>
  <c r="L34" i="4"/>
  <c r="Q34" i="4" s="1"/>
  <c r="L33" i="4"/>
  <c r="Q33" i="4" s="1"/>
  <c r="L32" i="4"/>
  <c r="Q32" i="4" s="1"/>
  <c r="L30" i="4"/>
  <c r="Q30" i="4" s="1"/>
  <c r="G9" i="4"/>
  <c r="G8" i="4"/>
  <c r="O28" i="3"/>
  <c r="O29" i="3"/>
  <c r="P29" i="3" s="1"/>
  <c r="Q29" i="3" s="1"/>
  <c r="O27" i="3"/>
  <c r="P27" i="3" s="1"/>
  <c r="Q27" i="3" s="1"/>
  <c r="H3" i="3"/>
  <c r="H94" i="3" s="1"/>
  <c r="M55" i="3"/>
  <c r="K9" i="12" s="1"/>
  <c r="L55" i="3"/>
  <c r="J9" i="12" s="1"/>
  <c r="K55" i="3"/>
  <c r="I9" i="12" s="1"/>
  <c r="J55" i="3"/>
  <c r="H9" i="12" s="1"/>
  <c r="M54" i="3"/>
  <c r="K6" i="12" s="1"/>
  <c r="L54" i="3"/>
  <c r="J6" i="12" s="1"/>
  <c r="K54" i="3"/>
  <c r="I6" i="12" s="1"/>
  <c r="J54" i="3"/>
  <c r="H6" i="12" s="1"/>
  <c r="I54" i="3"/>
  <c r="H54" i="3"/>
  <c r="M44" i="3"/>
  <c r="L44" i="3"/>
  <c r="K44" i="3"/>
  <c r="M36" i="3"/>
  <c r="L36" i="3"/>
  <c r="K36" i="3"/>
  <c r="J36" i="3"/>
  <c r="M33" i="3"/>
  <c r="L33" i="3"/>
  <c r="K33" i="3"/>
  <c r="J33" i="3"/>
  <c r="I33" i="3"/>
  <c r="O18" i="3"/>
  <c r="N18" i="3"/>
  <c r="M18" i="3"/>
  <c r="L18" i="3"/>
  <c r="K10" i="3"/>
  <c r="K9" i="3"/>
  <c r="J9" i="3"/>
  <c r="I9" i="3"/>
  <c r="H9" i="3"/>
  <c r="K6" i="3"/>
  <c r="J6" i="3"/>
  <c r="I6" i="3"/>
  <c r="L5" i="3"/>
  <c r="M5" i="3" s="1"/>
  <c r="N5" i="3" s="1"/>
  <c r="O5" i="3" s="1"/>
  <c r="P5" i="3" s="1"/>
  <c r="Q5" i="3" s="1"/>
  <c r="Q24" i="3" s="1"/>
  <c r="B3" i="1"/>
  <c r="I63" i="1"/>
  <c r="I65" i="1" s="1"/>
  <c r="I53" i="4" s="1"/>
  <c r="H63" i="1"/>
  <c r="H65" i="1" s="1"/>
  <c r="H53" i="4" s="1"/>
  <c r="H17" i="1"/>
  <c r="B17" i="1"/>
  <c r="I97" i="1"/>
  <c r="I103" i="1" s="1"/>
  <c r="J97" i="1"/>
  <c r="J103" i="1" s="1"/>
  <c r="K97" i="1"/>
  <c r="K103" i="1" s="1"/>
  <c r="H133" i="1"/>
  <c r="H54" i="1"/>
  <c r="H30" i="1" s="1"/>
  <c r="H88" i="1"/>
  <c r="B133" i="1"/>
  <c r="B88" i="1"/>
  <c r="B54" i="1"/>
  <c r="N12" i="1"/>
  <c r="N13" i="1" s="1"/>
  <c r="N14" i="1" s="1"/>
  <c r="C82" i="5" s="1"/>
  <c r="N11" i="1"/>
  <c r="G11" i="4"/>
  <c r="N6" i="1"/>
  <c r="I3" i="1"/>
  <c r="J3" i="1" s="1"/>
  <c r="K3" i="1" s="1"/>
  <c r="L3" i="1" s="1"/>
  <c r="M3" i="1" s="1"/>
  <c r="N3" i="1" s="1"/>
  <c r="O3" i="1" s="1"/>
  <c r="P3" i="1" s="1"/>
  <c r="Q3" i="1" s="1"/>
  <c r="Q3" i="3" s="1"/>
  <c r="Q94" i="3" s="1"/>
  <c r="I171" i="1"/>
  <c r="J171" i="1"/>
  <c r="K171" i="1"/>
  <c r="I159" i="1"/>
  <c r="I126" i="1"/>
  <c r="J126" i="1"/>
  <c r="K126" i="1"/>
  <c r="H126" i="1"/>
  <c r="I70" i="1"/>
  <c r="J70" i="1"/>
  <c r="K70" i="1"/>
  <c r="H70" i="1"/>
  <c r="K63" i="1"/>
  <c r="K65" i="1" s="1"/>
  <c r="K53" i="4" s="1"/>
  <c r="I7" i="12" l="1"/>
  <c r="J7" i="12"/>
  <c r="M64" i="4"/>
  <c r="K26" i="12"/>
  <c r="I57" i="3"/>
  <c r="G6" i="12"/>
  <c r="H57" i="3"/>
  <c r="F6" i="12"/>
  <c r="Q6" i="12" s="1"/>
  <c r="I10" i="12"/>
  <c r="J10" i="12"/>
  <c r="K10" i="12"/>
  <c r="K7" i="12"/>
  <c r="L64" i="4"/>
  <c r="J26" i="12"/>
  <c r="M89" i="5"/>
  <c r="R57" i="5"/>
  <c r="R61" i="5" s="1"/>
  <c r="Q69" i="5" s="1"/>
  <c r="R102" i="5" s="1"/>
  <c r="AG57" i="5"/>
  <c r="AG61" i="5" s="1"/>
  <c r="I19" i="8" s="1"/>
  <c r="W57" i="5"/>
  <c r="W61" i="5" s="1"/>
  <c r="I17" i="8" s="1"/>
  <c r="M57" i="5"/>
  <c r="M61" i="5" s="1"/>
  <c r="I15" i="8" s="1"/>
  <c r="AB57" i="5"/>
  <c r="AB61" i="5" s="1"/>
  <c r="AB62" i="5" s="1"/>
  <c r="I9" i="7"/>
  <c r="T21" i="7"/>
  <c r="N21" i="7"/>
  <c r="D31" i="7"/>
  <c r="M85" i="5"/>
  <c r="L29" i="4"/>
  <c r="Q29" i="4" s="1"/>
  <c r="E25" i="9"/>
  <c r="P28" i="3"/>
  <c r="O26" i="3"/>
  <c r="L31" i="4"/>
  <c r="Q31" i="4" s="1"/>
  <c r="E27" i="9"/>
  <c r="H9" i="7"/>
  <c r="G18" i="8"/>
  <c r="E15" i="8"/>
  <c r="F10" i="7"/>
  <c r="G11" i="7"/>
  <c r="H12" i="7"/>
  <c r="I13" i="7"/>
  <c r="I11" i="7"/>
  <c r="J12" i="7"/>
  <c r="J10" i="7"/>
  <c r="L12" i="7"/>
  <c r="N13" i="7"/>
  <c r="E18" i="8"/>
  <c r="N10" i="7"/>
  <c r="E13" i="7"/>
  <c r="D17" i="8"/>
  <c r="D11" i="7"/>
  <c r="E24" i="8"/>
  <c r="K19" i="8"/>
  <c r="G17" i="8"/>
  <c r="D15" i="8"/>
  <c r="G10" i="7"/>
  <c r="H11" i="7"/>
  <c r="I12" i="7"/>
  <c r="J13" i="7"/>
  <c r="K13" i="7"/>
  <c r="D19" i="8"/>
  <c r="L11" i="7"/>
  <c r="N9" i="7"/>
  <c r="B18" i="8"/>
  <c r="G24" i="8"/>
  <c r="B16" i="8"/>
  <c r="G13" i="7"/>
  <c r="G19" i="8"/>
  <c r="F11" i="7"/>
  <c r="H13" i="7"/>
  <c r="K18" i="8"/>
  <c r="G16" i="8"/>
  <c r="B15" i="8"/>
  <c r="H10" i="7"/>
  <c r="K11" i="7"/>
  <c r="L10" i="7"/>
  <c r="D18" i="8"/>
  <c r="D10" i="7"/>
  <c r="E10" i="7"/>
  <c r="G12" i="7"/>
  <c r="K17" i="8"/>
  <c r="G15" i="8"/>
  <c r="I10" i="7"/>
  <c r="J11" i="7"/>
  <c r="K12" i="7"/>
  <c r="L13" i="7"/>
  <c r="K16" i="8"/>
  <c r="E19" i="8"/>
  <c r="K15" i="8"/>
  <c r="K10" i="7"/>
  <c r="N12" i="7"/>
  <c r="N11" i="7"/>
  <c r="D13" i="7"/>
  <c r="E17" i="8"/>
  <c r="D12" i="7"/>
  <c r="I16" i="8"/>
  <c r="E16" i="8"/>
  <c r="D16" i="8"/>
  <c r="D24" i="8"/>
  <c r="T12" i="7"/>
  <c r="T9" i="7"/>
  <c r="T13" i="7"/>
  <c r="B19" i="8"/>
  <c r="T11" i="7"/>
  <c r="B17" i="8"/>
  <c r="T10" i="7"/>
  <c r="F31" i="7"/>
  <c r="C83" i="5"/>
  <c r="K21" i="7"/>
  <c r="O30" i="5"/>
  <c r="P66" i="5" s="1"/>
  <c r="C75" i="5"/>
  <c r="B10" i="7"/>
  <c r="C77" i="5"/>
  <c r="P5" i="7" s="1"/>
  <c r="C90" i="5"/>
  <c r="AA5" i="7" s="1"/>
  <c r="B40" i="7"/>
  <c r="C96" i="5"/>
  <c r="O23" i="7" s="1"/>
  <c r="B9" i="7"/>
  <c r="D27" i="7"/>
  <c r="B13" i="7"/>
  <c r="K62" i="4"/>
  <c r="U30" i="5"/>
  <c r="V66" i="5" s="1"/>
  <c r="C97" i="5"/>
  <c r="R23" i="7" s="1"/>
  <c r="D9" i="7"/>
  <c r="G21" i="7"/>
  <c r="J9" i="7"/>
  <c r="P30" i="5"/>
  <c r="Q66" i="5" s="1"/>
  <c r="T30" i="5"/>
  <c r="U66" i="5" s="1"/>
  <c r="V30" i="5"/>
  <c r="W66" i="5" s="1"/>
  <c r="C78" i="5"/>
  <c r="S5" i="7" s="1"/>
  <c r="C98" i="5"/>
  <c r="B29" i="7"/>
  <c r="J30" i="5"/>
  <c r="K66" i="5" s="1"/>
  <c r="C73" i="5"/>
  <c r="AE30" i="5"/>
  <c r="AF66" i="5" s="1"/>
  <c r="D28" i="7"/>
  <c r="L30" i="5"/>
  <c r="M66" i="5" s="1"/>
  <c r="AF30" i="5"/>
  <c r="AG66" i="5" s="1"/>
  <c r="C74" i="5"/>
  <c r="F28" i="7"/>
  <c r="L9" i="7"/>
  <c r="B30" i="7"/>
  <c r="C89" i="5"/>
  <c r="Z5" i="7" s="1"/>
  <c r="D30" i="7"/>
  <c r="Q30" i="5"/>
  <c r="R66" i="5" s="1"/>
  <c r="B11" i="7"/>
  <c r="B12" i="7"/>
  <c r="E30" i="5"/>
  <c r="F66" i="5" s="1"/>
  <c r="Y30" i="5"/>
  <c r="Z66" i="5" s="1"/>
  <c r="C100" i="5"/>
  <c r="P23" i="7" s="1"/>
  <c r="D29" i="7"/>
  <c r="AD30" i="5"/>
  <c r="AE66" i="5" s="1"/>
  <c r="I21" i="7"/>
  <c r="B28" i="7"/>
  <c r="I78" i="1"/>
  <c r="I68" i="4" s="1"/>
  <c r="I69" i="4" s="1"/>
  <c r="K30" i="5"/>
  <c r="L66" i="5" s="1"/>
  <c r="J21" i="7"/>
  <c r="K9" i="7"/>
  <c r="L21" i="7"/>
  <c r="B27" i="7"/>
  <c r="H78" i="1"/>
  <c r="H68" i="4" s="1"/>
  <c r="H69" i="4" s="1"/>
  <c r="F30" i="5"/>
  <c r="G66" i="5" s="1"/>
  <c r="Z30" i="5"/>
  <c r="AA66" i="5" s="1"/>
  <c r="C79" i="5"/>
  <c r="C101" i="5"/>
  <c r="S23" i="7" s="1"/>
  <c r="G9" i="7"/>
  <c r="F29" i="7"/>
  <c r="B31" i="7"/>
  <c r="I62" i="4"/>
  <c r="B21" i="7"/>
  <c r="P26" i="7"/>
  <c r="S8" i="7"/>
  <c r="S26" i="7"/>
  <c r="V8" i="7"/>
  <c r="V26" i="7"/>
  <c r="AG89" i="5"/>
  <c r="AG88" i="5"/>
  <c r="AB14" i="5"/>
  <c r="AB88" i="5" s="1"/>
  <c r="W83" i="5"/>
  <c r="W79" i="5"/>
  <c r="W14" i="5"/>
  <c r="W88" i="5" s="1"/>
  <c r="R75" i="5"/>
  <c r="R73" i="5"/>
  <c r="R89" i="5" s="1"/>
  <c r="R14" i="5"/>
  <c r="R88" i="5" s="1"/>
  <c r="M14" i="5"/>
  <c r="M88" i="5" s="1"/>
  <c r="H57" i="5"/>
  <c r="H61" i="5" s="1"/>
  <c r="F40" i="7" s="1"/>
  <c r="H14" i="5"/>
  <c r="H88" i="5" s="1"/>
  <c r="AB74" i="5"/>
  <c r="AB73" i="5"/>
  <c r="AB83" i="5"/>
  <c r="AB79" i="5"/>
  <c r="AG86" i="5"/>
  <c r="AG90" i="5"/>
  <c r="AG62" i="5"/>
  <c r="M13" i="7" s="1"/>
  <c r="AF69" i="5"/>
  <c r="AG102" i="5" s="1"/>
  <c r="AE69" i="5"/>
  <c r="AG98" i="5" s="1"/>
  <c r="AD69" i="5"/>
  <c r="AG94" i="5" s="1"/>
  <c r="AG85" i="5"/>
  <c r="M86" i="5"/>
  <c r="R78" i="5"/>
  <c r="R77" i="5"/>
  <c r="P69" i="5"/>
  <c r="R98" i="5" s="1"/>
  <c r="O69" i="5"/>
  <c r="R94" i="5" s="1"/>
  <c r="R62" i="5"/>
  <c r="M10" i="7" s="1"/>
  <c r="R83" i="5"/>
  <c r="R79" i="5"/>
  <c r="M90" i="5"/>
  <c r="AB75" i="5"/>
  <c r="M83" i="5"/>
  <c r="C93" i="5"/>
  <c r="Q23" i="7" s="1"/>
  <c r="C92" i="5"/>
  <c r="N23" i="7" s="1"/>
  <c r="J62" i="4"/>
  <c r="H51" i="4"/>
  <c r="K51" i="4"/>
  <c r="J51" i="4"/>
  <c r="I51" i="4"/>
  <c r="K49" i="4"/>
  <c r="J69" i="4"/>
  <c r="L149" i="1"/>
  <c r="Q149" i="1"/>
  <c r="P149" i="1"/>
  <c r="L29" i="1"/>
  <c r="M29" i="1" s="1"/>
  <c r="N29" i="1" s="1"/>
  <c r="O29" i="1" s="1"/>
  <c r="P29" i="1" s="1"/>
  <c r="Q29" i="1" s="1"/>
  <c r="O149" i="1"/>
  <c r="L47" i="1"/>
  <c r="M149" i="1"/>
  <c r="O156" i="1"/>
  <c r="N156" i="1"/>
  <c r="N163" i="1"/>
  <c r="O163" i="1" s="1"/>
  <c r="M156" i="1"/>
  <c r="N149" i="1"/>
  <c r="L156" i="1"/>
  <c r="L22" i="1"/>
  <c r="P156" i="1"/>
  <c r="H84" i="3"/>
  <c r="K84" i="3"/>
  <c r="J84" i="3"/>
  <c r="I84" i="3"/>
  <c r="L50" i="1"/>
  <c r="L41" i="1"/>
  <c r="I38" i="1"/>
  <c r="H38" i="1"/>
  <c r="H37" i="1"/>
  <c r="K38" i="1"/>
  <c r="J38" i="1"/>
  <c r="H31" i="1"/>
  <c r="M74" i="3"/>
  <c r="N74" i="3" s="1"/>
  <c r="I79" i="3"/>
  <c r="K117" i="1"/>
  <c r="K128" i="1" s="1"/>
  <c r="K130" i="1" s="1"/>
  <c r="J117" i="1"/>
  <c r="J128" i="1" s="1"/>
  <c r="J130" i="1" s="1"/>
  <c r="N75" i="3"/>
  <c r="L67" i="3"/>
  <c r="L71" i="3" s="1"/>
  <c r="L84" i="3" s="1"/>
  <c r="H87" i="3"/>
  <c r="K87" i="3"/>
  <c r="J87" i="3"/>
  <c r="I87" i="3"/>
  <c r="H79" i="3"/>
  <c r="K79" i="3"/>
  <c r="J79" i="3"/>
  <c r="J49" i="4"/>
  <c r="K69" i="4"/>
  <c r="I49" i="4"/>
  <c r="N44" i="3"/>
  <c r="N43" i="3" s="1"/>
  <c r="O43" i="3" s="1"/>
  <c r="P43" i="3" s="1"/>
  <c r="Q43" i="3" s="1"/>
  <c r="Q55" i="3" s="1"/>
  <c r="O9" i="12" s="1"/>
  <c r="N33" i="3"/>
  <c r="N32" i="3" s="1"/>
  <c r="O32" i="3" s="1"/>
  <c r="P32" i="3" s="1"/>
  <c r="Q32" i="3" s="1"/>
  <c r="L8" i="3"/>
  <c r="L24" i="3"/>
  <c r="H97" i="3"/>
  <c r="I117" i="1"/>
  <c r="I128" i="1" s="1"/>
  <c r="I130" i="1" s="1"/>
  <c r="H117" i="1"/>
  <c r="H128" i="1" s="1"/>
  <c r="H130" i="1" s="1"/>
  <c r="J111" i="3"/>
  <c r="K97" i="3"/>
  <c r="L23" i="1"/>
  <c r="J97" i="3"/>
  <c r="I97" i="3"/>
  <c r="H60" i="3"/>
  <c r="O8" i="3"/>
  <c r="M24" i="3"/>
  <c r="Q8" i="3"/>
  <c r="P8" i="3"/>
  <c r="N8" i="3"/>
  <c r="M8" i="3"/>
  <c r="Q60" i="3"/>
  <c r="K111" i="3"/>
  <c r="M105" i="3"/>
  <c r="O24" i="3"/>
  <c r="N24" i="3"/>
  <c r="H101" i="3"/>
  <c r="L101" i="3" s="1"/>
  <c r="L104" i="3" s="1"/>
  <c r="L111" i="3" s="1"/>
  <c r="L137" i="1" s="1"/>
  <c r="L59" i="4" s="1"/>
  <c r="P24" i="3"/>
  <c r="N102" i="3"/>
  <c r="I111" i="3"/>
  <c r="J3" i="3"/>
  <c r="L3" i="3"/>
  <c r="P3" i="3"/>
  <c r="O3" i="3"/>
  <c r="N3" i="3"/>
  <c r="M3" i="3"/>
  <c r="I3" i="3"/>
  <c r="K3" i="3"/>
  <c r="J57" i="3"/>
  <c r="K57" i="3"/>
  <c r="L57" i="3"/>
  <c r="L56" i="1" s="1"/>
  <c r="M57" i="3"/>
  <c r="M56" i="1" s="1"/>
  <c r="O17" i="1"/>
  <c r="N17" i="1"/>
  <c r="M17" i="1"/>
  <c r="L17" i="1"/>
  <c r="K17" i="1"/>
  <c r="J17" i="1"/>
  <c r="I17" i="1"/>
  <c r="Q17" i="1"/>
  <c r="P17" i="1"/>
  <c r="L88" i="1"/>
  <c r="K88" i="1"/>
  <c r="J88" i="1"/>
  <c r="O54" i="1"/>
  <c r="M54" i="1"/>
  <c r="N88" i="1"/>
  <c r="O88" i="1"/>
  <c r="M88" i="1"/>
  <c r="Q133" i="1"/>
  <c r="Q54" i="1"/>
  <c r="P133" i="1"/>
  <c r="O133" i="1"/>
  <c r="P54" i="1"/>
  <c r="P88" i="1"/>
  <c r="N54" i="1"/>
  <c r="I88" i="1"/>
  <c r="K54" i="1"/>
  <c r="K37" i="1" s="1"/>
  <c r="M133" i="1"/>
  <c r="J133" i="1"/>
  <c r="L54" i="1"/>
  <c r="N133" i="1"/>
  <c r="J54" i="1"/>
  <c r="J37" i="1" s="1"/>
  <c r="L133" i="1"/>
  <c r="I54" i="1"/>
  <c r="I37" i="1" s="1"/>
  <c r="K133" i="1"/>
  <c r="Q88" i="1"/>
  <c r="I133" i="1"/>
  <c r="K173" i="1"/>
  <c r="H173" i="1"/>
  <c r="H175" i="1" s="1"/>
  <c r="I174" i="1" s="1"/>
  <c r="J173" i="1"/>
  <c r="I173" i="1"/>
  <c r="H72" i="1"/>
  <c r="H57" i="4" s="1"/>
  <c r="H66" i="4" s="1"/>
  <c r="K72" i="1"/>
  <c r="I72" i="1"/>
  <c r="J72" i="1"/>
  <c r="V69" i="5" l="1"/>
  <c r="W102" i="5" s="1"/>
  <c r="W62" i="5"/>
  <c r="M29" i="7" s="1"/>
  <c r="T69" i="5"/>
  <c r="W94" i="5" s="1"/>
  <c r="U69" i="5"/>
  <c r="W98" i="5" s="1"/>
  <c r="G7" i="12"/>
  <c r="F31" i="5"/>
  <c r="K17" i="12"/>
  <c r="J17" i="12"/>
  <c r="H7" i="12"/>
  <c r="Q9" i="12"/>
  <c r="Q26" i="12"/>
  <c r="K69" i="5"/>
  <c r="M98" i="5" s="1"/>
  <c r="U27" i="7" s="1"/>
  <c r="F30" i="7"/>
  <c r="F9" i="7"/>
  <c r="I18" i="8"/>
  <c r="J18" i="8" s="1"/>
  <c r="Q12" i="7"/>
  <c r="Q11" i="7"/>
  <c r="M30" i="7"/>
  <c r="M12" i="7"/>
  <c r="M62" i="5"/>
  <c r="M27" i="7" s="1"/>
  <c r="J69" i="5"/>
  <c r="M94" i="5" s="1"/>
  <c r="T27" i="7" s="1"/>
  <c r="E9" i="7"/>
  <c r="F12" i="7"/>
  <c r="F13" i="7"/>
  <c r="L69" i="5"/>
  <c r="M102" i="5" s="1"/>
  <c r="V27" i="7" s="1"/>
  <c r="AG69" i="5"/>
  <c r="M11" i="7"/>
  <c r="AA69" i="5"/>
  <c r="AB102" i="5" s="1"/>
  <c r="V30" i="7" s="1"/>
  <c r="E12" i="7"/>
  <c r="AB69" i="5"/>
  <c r="Y69" i="5"/>
  <c r="AB94" i="5" s="1"/>
  <c r="T30" i="7" s="1"/>
  <c r="Z69" i="5"/>
  <c r="AB98" i="5" s="1"/>
  <c r="U30" i="7" s="1"/>
  <c r="E11" i="7"/>
  <c r="F27" i="7"/>
  <c r="M31" i="7"/>
  <c r="M28" i="7"/>
  <c r="Q21" i="7"/>
  <c r="R85" i="5"/>
  <c r="W10" i="7" s="1"/>
  <c r="Q13" i="7"/>
  <c r="Q10" i="7"/>
  <c r="Q9" i="7"/>
  <c r="Q28" i="3"/>
  <c r="Q26" i="3" s="1"/>
  <c r="Q54" i="3" s="1"/>
  <c r="P26" i="3"/>
  <c r="P54" i="3" s="1"/>
  <c r="N6" i="12" s="1"/>
  <c r="V29" i="7"/>
  <c r="V28" i="7"/>
  <c r="D15" i="7"/>
  <c r="H16" i="8"/>
  <c r="H17" i="8"/>
  <c r="D18" i="7"/>
  <c r="J19" i="8"/>
  <c r="D17" i="7"/>
  <c r="T17" i="7"/>
  <c r="T15" i="7"/>
  <c r="N18" i="7"/>
  <c r="N17" i="7"/>
  <c r="N19" i="7"/>
  <c r="D16" i="7"/>
  <c r="T18" i="7"/>
  <c r="F19" i="8"/>
  <c r="L19" i="8"/>
  <c r="U29" i="7"/>
  <c r="F21" i="7"/>
  <c r="L17" i="8"/>
  <c r="L48" i="4"/>
  <c r="L49" i="4" s="1"/>
  <c r="E31" i="5"/>
  <c r="H73" i="5" s="1"/>
  <c r="R39" i="11" s="1"/>
  <c r="T16" i="7"/>
  <c r="Z13" i="7"/>
  <c r="Z9" i="7"/>
  <c r="Z10" i="7"/>
  <c r="T19" i="7"/>
  <c r="F16" i="8"/>
  <c r="D19" i="7"/>
  <c r="H19" i="8"/>
  <c r="R10" i="7"/>
  <c r="U12" i="7"/>
  <c r="V13" i="7"/>
  <c r="U9" i="7"/>
  <c r="V12" i="7"/>
  <c r="W13" i="7"/>
  <c r="X13" i="7"/>
  <c r="Y9" i="7"/>
  <c r="R13" i="7"/>
  <c r="U13" i="7"/>
  <c r="U11" i="7"/>
  <c r="V9" i="7"/>
  <c r="V11" i="7"/>
  <c r="W9" i="7"/>
  <c r="U10" i="7"/>
  <c r="Y11" i="7"/>
  <c r="R12" i="7"/>
  <c r="V10" i="7"/>
  <c r="Y13" i="7"/>
  <c r="X9" i="7"/>
  <c r="Y12" i="7"/>
  <c r="Y10" i="7"/>
  <c r="R9" i="7"/>
  <c r="O5" i="7"/>
  <c r="U28" i="7"/>
  <c r="T29" i="7"/>
  <c r="T28" i="7"/>
  <c r="T31" i="7"/>
  <c r="AA13" i="7"/>
  <c r="AA9" i="7"/>
  <c r="F17" i="8"/>
  <c r="S13" i="7"/>
  <c r="S10" i="7"/>
  <c r="S9" i="7"/>
  <c r="N15" i="7"/>
  <c r="J16" i="8"/>
  <c r="P13" i="7"/>
  <c r="P9" i="7"/>
  <c r="P10" i="7"/>
  <c r="J17" i="8"/>
  <c r="F15" i="8"/>
  <c r="E22" i="8"/>
  <c r="V31" i="7"/>
  <c r="L34" i="8"/>
  <c r="E21" i="7"/>
  <c r="L16" i="8"/>
  <c r="K22" i="8"/>
  <c r="U31" i="7"/>
  <c r="I24" i="8"/>
  <c r="J24" i="8" s="1"/>
  <c r="J15" i="8"/>
  <c r="N16" i="7"/>
  <c r="G22" i="8"/>
  <c r="H15" i="8"/>
  <c r="L15" i="8"/>
  <c r="D22" i="8"/>
  <c r="AB89" i="5"/>
  <c r="Z12" i="7" s="1"/>
  <c r="W69" i="5"/>
  <c r="H62" i="5"/>
  <c r="M21" i="7" s="1"/>
  <c r="E69" i="5"/>
  <c r="H94" i="5" s="1"/>
  <c r="T40" i="7" s="1"/>
  <c r="R81" i="5"/>
  <c r="R82" i="5"/>
  <c r="R68" i="5"/>
  <c r="R67" i="5"/>
  <c r="Q68" i="5"/>
  <c r="R101" i="5" s="1"/>
  <c r="Q67" i="5"/>
  <c r="R100" i="5" s="1"/>
  <c r="P68" i="5"/>
  <c r="R97" i="5" s="1"/>
  <c r="P67" i="5"/>
  <c r="R96" i="5" s="1"/>
  <c r="O68" i="5"/>
  <c r="R93" i="5" s="1"/>
  <c r="Q28" i="7" s="1"/>
  <c r="O67" i="5"/>
  <c r="R92" i="5" s="1"/>
  <c r="N28" i="7" s="1"/>
  <c r="R86" i="5"/>
  <c r="X10" i="7" s="1"/>
  <c r="R90" i="5"/>
  <c r="AA10" i="7" s="1"/>
  <c r="AB67" i="5"/>
  <c r="AB78" i="5"/>
  <c r="S12" i="7" s="1"/>
  <c r="AB77" i="5"/>
  <c r="AB85" i="5" s="1"/>
  <c r="W12" i="7" s="1"/>
  <c r="W73" i="5"/>
  <c r="W74" i="5"/>
  <c r="R11" i="7" s="1"/>
  <c r="M69" i="5"/>
  <c r="H77" i="5"/>
  <c r="R69" i="5"/>
  <c r="Y68" i="5"/>
  <c r="AB93" i="5" s="1"/>
  <c r="Q30" i="7" s="1"/>
  <c r="Y67" i="5"/>
  <c r="AB92" i="5" s="1"/>
  <c r="N30" i="7" s="1"/>
  <c r="AA68" i="5"/>
  <c r="AB101" i="5" s="1"/>
  <c r="S30" i="7" s="1"/>
  <c r="AA67" i="5"/>
  <c r="AB100" i="5" s="1"/>
  <c r="P30" i="7" s="1"/>
  <c r="Z68" i="5"/>
  <c r="AB97" i="5" s="1"/>
  <c r="R30" i="7" s="1"/>
  <c r="Z67" i="5"/>
  <c r="AB96" i="5" s="1"/>
  <c r="O30" i="7" s="1"/>
  <c r="U67" i="5"/>
  <c r="W96" i="5" s="1"/>
  <c r="O29" i="7" s="1"/>
  <c r="T67" i="5"/>
  <c r="W92" i="5" s="1"/>
  <c r="N29" i="7" s="1"/>
  <c r="T68" i="5"/>
  <c r="W93" i="5" s="1"/>
  <c r="Q29" i="7" s="1"/>
  <c r="AG68" i="5"/>
  <c r="AG67" i="5"/>
  <c r="AF68" i="5"/>
  <c r="AG101" i="5" s="1"/>
  <c r="S31" i="7" s="1"/>
  <c r="AF67" i="5"/>
  <c r="AG100" i="5" s="1"/>
  <c r="P31" i="7" s="1"/>
  <c r="AE68" i="5"/>
  <c r="AG97" i="5" s="1"/>
  <c r="R31" i="7" s="1"/>
  <c r="AE67" i="5"/>
  <c r="AG96" i="5" s="1"/>
  <c r="O31" i="7" s="1"/>
  <c r="AD68" i="5"/>
  <c r="AG93" i="5" s="1"/>
  <c r="Q31" i="7" s="1"/>
  <c r="AD67" i="5"/>
  <c r="AG92" i="5" s="1"/>
  <c r="N31" i="7" s="1"/>
  <c r="M61" i="1"/>
  <c r="M48" i="4"/>
  <c r="J76" i="1"/>
  <c r="J57" i="4"/>
  <c r="J66" i="4" s="1"/>
  <c r="I76" i="1"/>
  <c r="I57" i="4"/>
  <c r="I66" i="4" s="1"/>
  <c r="K76" i="1"/>
  <c r="K57" i="4"/>
  <c r="K66" i="4" s="1"/>
  <c r="L92" i="1"/>
  <c r="L162" i="1" s="1"/>
  <c r="L61" i="1"/>
  <c r="P163" i="1"/>
  <c r="Q163" i="1" s="1"/>
  <c r="Q84" i="3"/>
  <c r="Q83" i="3" s="1"/>
  <c r="L38" i="1"/>
  <c r="M38" i="1" s="1"/>
  <c r="M112" i="1"/>
  <c r="M116" i="1"/>
  <c r="L112" i="1"/>
  <c r="L116" i="1"/>
  <c r="L58" i="1"/>
  <c r="L96" i="1" s="1"/>
  <c r="L102" i="1"/>
  <c r="M107" i="1"/>
  <c r="L37" i="1"/>
  <c r="L107" i="1" s="1"/>
  <c r="M102" i="1"/>
  <c r="O38" i="1"/>
  <c r="P38" i="1" s="1"/>
  <c r="Q38" i="1" s="1"/>
  <c r="M94" i="1"/>
  <c r="M93" i="1"/>
  <c r="K31" i="1"/>
  <c r="K30" i="1"/>
  <c r="I31" i="1"/>
  <c r="I30" i="1"/>
  <c r="J31" i="1"/>
  <c r="J30" i="1"/>
  <c r="L94" i="1"/>
  <c r="L93" i="1"/>
  <c r="M69" i="1"/>
  <c r="M58" i="1"/>
  <c r="M96" i="1" s="1"/>
  <c r="O74" i="3"/>
  <c r="P74" i="3" s="1"/>
  <c r="O54" i="3"/>
  <c r="M6" i="12" s="1"/>
  <c r="O55" i="3"/>
  <c r="M9" i="12" s="1"/>
  <c r="O75" i="3"/>
  <c r="P75" i="3" s="1"/>
  <c r="L86" i="3"/>
  <c r="L67" i="1" s="1"/>
  <c r="L76" i="3"/>
  <c r="L111" i="1" s="1"/>
  <c r="M67" i="3"/>
  <c r="M71" i="3" s="1"/>
  <c r="M84" i="3" s="1"/>
  <c r="H76" i="1"/>
  <c r="G10" i="1"/>
  <c r="I175" i="1"/>
  <c r="J174" i="1" s="1"/>
  <c r="J175" i="1" s="1"/>
  <c r="K174" i="1" s="1"/>
  <c r="N55" i="3"/>
  <c r="L9" i="12" s="1"/>
  <c r="L10" i="12" s="1"/>
  <c r="P55" i="3"/>
  <c r="N9" i="12" s="1"/>
  <c r="N54" i="3"/>
  <c r="L6" i="12" s="1"/>
  <c r="L7" i="12" s="1"/>
  <c r="L99" i="3"/>
  <c r="L60" i="1"/>
  <c r="O106" i="3"/>
  <c r="O102" i="3"/>
  <c r="N105" i="3"/>
  <c r="M94" i="3"/>
  <c r="M60" i="3"/>
  <c r="L60" i="3"/>
  <c r="L94" i="3"/>
  <c r="J60" i="3"/>
  <c r="J94" i="3"/>
  <c r="K60" i="3"/>
  <c r="K94" i="3"/>
  <c r="I94" i="3"/>
  <c r="I60" i="3"/>
  <c r="N94" i="3"/>
  <c r="N60" i="3"/>
  <c r="O60" i="3"/>
  <c r="O94" i="3"/>
  <c r="P60" i="3"/>
  <c r="P94" i="3"/>
  <c r="L62" i="1"/>
  <c r="L69" i="1"/>
  <c r="M59" i="1"/>
  <c r="M141" i="1" s="1"/>
  <c r="M169" i="1" s="1"/>
  <c r="M62" i="1"/>
  <c r="L59" i="1"/>
  <c r="L141" i="1" s="1"/>
  <c r="L169" i="1" s="1"/>
  <c r="O28" i="7" l="1"/>
  <c r="X35" i="11"/>
  <c r="R28" i="7"/>
  <c r="AA35" i="11"/>
  <c r="P28" i="7"/>
  <c r="X45" i="11"/>
  <c r="Y35" i="11"/>
  <c r="S28" i="7"/>
  <c r="AB35" i="11"/>
  <c r="AA45" i="11"/>
  <c r="L18" i="8"/>
  <c r="L22" i="8" s="1"/>
  <c r="D30" i="8" s="1"/>
  <c r="M7" i="12"/>
  <c r="N10" i="12"/>
  <c r="F35" i="7"/>
  <c r="Q57" i="3"/>
  <c r="Q56" i="1" s="1"/>
  <c r="Q102" i="1" s="1"/>
  <c r="O6" i="12"/>
  <c r="O7" i="12" s="1"/>
  <c r="O10" i="12"/>
  <c r="N7" i="12"/>
  <c r="P21" i="7"/>
  <c r="S39" i="11"/>
  <c r="L167" i="1"/>
  <c r="J34" i="12"/>
  <c r="J20" i="12"/>
  <c r="J21" i="12" s="1"/>
  <c r="J18" i="12"/>
  <c r="K20" i="12"/>
  <c r="M10" i="12"/>
  <c r="K18" i="12"/>
  <c r="Q17" i="12"/>
  <c r="F18" i="8"/>
  <c r="F22" i="8" s="1"/>
  <c r="F30" i="8" s="1"/>
  <c r="E30" i="8" s="1"/>
  <c r="I22" i="8"/>
  <c r="H18" i="8"/>
  <c r="H22" i="8" s="1"/>
  <c r="L67" i="5"/>
  <c r="M100" i="5" s="1"/>
  <c r="M68" i="5"/>
  <c r="L68" i="5"/>
  <c r="M101" i="5" s="1"/>
  <c r="M35" i="7"/>
  <c r="J67" i="5"/>
  <c r="M92" i="5" s="1"/>
  <c r="N27" i="7" s="1"/>
  <c r="N37" i="7" s="1"/>
  <c r="K68" i="5"/>
  <c r="M97" i="5" s="1"/>
  <c r="Q15" i="7"/>
  <c r="M34" i="7"/>
  <c r="M38" i="7"/>
  <c r="F18" i="7"/>
  <c r="F36" i="7"/>
  <c r="F38" i="7"/>
  <c r="F17" i="7"/>
  <c r="F16" i="7"/>
  <c r="M37" i="7"/>
  <c r="M36" i="7"/>
  <c r="J68" i="5"/>
  <c r="M93" i="5" s="1"/>
  <c r="Q27" i="7" s="1"/>
  <c r="Q36" i="7" s="1"/>
  <c r="K67" i="5"/>
  <c r="M96" i="5" s="1"/>
  <c r="F34" i="7"/>
  <c r="Q17" i="7"/>
  <c r="F37" i="7"/>
  <c r="F19" i="7"/>
  <c r="F15" i="7"/>
  <c r="Q19" i="7"/>
  <c r="M9" i="7"/>
  <c r="M19" i="7" s="1"/>
  <c r="M67" i="5"/>
  <c r="Q16" i="7"/>
  <c r="O21" i="7"/>
  <c r="Q18" i="7"/>
  <c r="P12" i="7"/>
  <c r="H85" i="5"/>
  <c r="R49" i="11" s="1"/>
  <c r="V16" i="7"/>
  <c r="V36" i="7"/>
  <c r="V38" i="7"/>
  <c r="V19" i="7"/>
  <c r="V37" i="7"/>
  <c r="V18" i="7"/>
  <c r="R19" i="7"/>
  <c r="U35" i="7"/>
  <c r="R15" i="7"/>
  <c r="U38" i="7"/>
  <c r="U34" i="7"/>
  <c r="V35" i="7"/>
  <c r="V15" i="7"/>
  <c r="T37" i="7"/>
  <c r="T35" i="7"/>
  <c r="T38" i="7"/>
  <c r="T34" i="7"/>
  <c r="T36" i="7"/>
  <c r="M40" i="7"/>
  <c r="Y18" i="7"/>
  <c r="U37" i="7"/>
  <c r="G13" i="4"/>
  <c r="H16" i="5"/>
  <c r="H21" i="7" s="1"/>
  <c r="U36" i="7"/>
  <c r="R18" i="7"/>
  <c r="R17" i="7"/>
  <c r="L24" i="8"/>
  <c r="D29" i="8" s="1"/>
  <c r="L29" i="8" s="1"/>
  <c r="L32" i="8" s="1"/>
  <c r="U18" i="7"/>
  <c r="U16" i="7"/>
  <c r="U17" i="7"/>
  <c r="U15" i="7"/>
  <c r="U19" i="7"/>
  <c r="H24" i="8"/>
  <c r="O13" i="7"/>
  <c r="O12" i="7"/>
  <c r="O9" i="7"/>
  <c r="O11" i="7"/>
  <c r="O10" i="7"/>
  <c r="V17" i="7"/>
  <c r="V34" i="7"/>
  <c r="R16" i="7"/>
  <c r="J22" i="8"/>
  <c r="J30" i="8" s="1"/>
  <c r="I30" i="8" s="1"/>
  <c r="Y16" i="7"/>
  <c r="Y15" i="7"/>
  <c r="Y21" i="7" s="1"/>
  <c r="Y17" i="7"/>
  <c r="Y19" i="7"/>
  <c r="F24" i="8"/>
  <c r="U68" i="5"/>
  <c r="W97" i="5" s="1"/>
  <c r="R29" i="7" s="1"/>
  <c r="E67" i="5"/>
  <c r="H92" i="5" s="1"/>
  <c r="N40" i="7" s="1"/>
  <c r="G67" i="5"/>
  <c r="H100" i="5" s="1"/>
  <c r="E68" i="5"/>
  <c r="H93" i="5" s="1"/>
  <c r="Q40" i="7" s="1"/>
  <c r="F67" i="5"/>
  <c r="H96" i="5" s="1"/>
  <c r="X40" i="11" s="1"/>
  <c r="W77" i="5"/>
  <c r="AB86" i="5"/>
  <c r="X12" i="7" s="1"/>
  <c r="AB90" i="5"/>
  <c r="AA12" i="7" s="1"/>
  <c r="AB81" i="5"/>
  <c r="V67" i="5"/>
  <c r="W100" i="5" s="1"/>
  <c r="P29" i="7" s="1"/>
  <c r="W89" i="5"/>
  <c r="Z11" i="7" s="1"/>
  <c r="Z16" i="7" s="1"/>
  <c r="M49" i="4"/>
  <c r="L139" i="1"/>
  <c r="M150" i="1"/>
  <c r="L150" i="1"/>
  <c r="L151" i="1"/>
  <c r="M151" i="1"/>
  <c r="L158" i="1"/>
  <c r="L155" i="1"/>
  <c r="M158" i="1"/>
  <c r="M155" i="1"/>
  <c r="M147" i="1"/>
  <c r="L153" i="1"/>
  <c r="M148" i="1"/>
  <c r="L148" i="1"/>
  <c r="M153" i="1"/>
  <c r="L147" i="1"/>
  <c r="Q112" i="1"/>
  <c r="Q30" i="1"/>
  <c r="P30" i="1"/>
  <c r="O30" i="1"/>
  <c r="O57" i="3"/>
  <c r="O56" i="1" s="1"/>
  <c r="N57" i="3"/>
  <c r="N56" i="1" s="1"/>
  <c r="L70" i="1"/>
  <c r="N67" i="3"/>
  <c r="N71" i="3" s="1"/>
  <c r="N84" i="3" s="1"/>
  <c r="M76" i="3"/>
  <c r="M86" i="3"/>
  <c r="M67" i="1" s="1"/>
  <c r="M70" i="1" s="1"/>
  <c r="P57" i="3"/>
  <c r="P56" i="1" s="1"/>
  <c r="M104" i="3"/>
  <c r="M111" i="3" s="1"/>
  <c r="M137" i="1" s="1"/>
  <c r="M59" i="4" s="1"/>
  <c r="L99" i="1"/>
  <c r="O105" i="3"/>
  <c r="P106" i="3"/>
  <c r="P102" i="3"/>
  <c r="L63" i="1"/>
  <c r="Q116" i="1" l="1"/>
  <c r="Q107" i="1"/>
  <c r="Q48" i="4"/>
  <c r="Q61" i="1"/>
  <c r="Y40" i="11"/>
  <c r="X50" i="11"/>
  <c r="S27" i="7"/>
  <c r="AB34" i="11"/>
  <c r="AA44" i="11"/>
  <c r="P27" i="7"/>
  <c r="P35" i="7" s="1"/>
  <c r="Y34" i="11"/>
  <c r="X44" i="11"/>
  <c r="O27" i="7"/>
  <c r="O34" i="7" s="1"/>
  <c r="X34" i="11"/>
  <c r="R27" i="7"/>
  <c r="R38" i="7" s="1"/>
  <c r="AA34" i="11"/>
  <c r="I53" i="12" a="1"/>
  <c r="I53" i="12" s="1"/>
  <c r="Q69" i="1"/>
  <c r="Q94" i="1"/>
  <c r="Q58" i="1"/>
  <c r="Q96" i="1" s="1"/>
  <c r="Q59" i="1"/>
  <c r="Q141" i="1" s="1"/>
  <c r="Q169" i="1" s="1"/>
  <c r="Q93" i="1"/>
  <c r="Q62" i="1"/>
  <c r="P40" i="7"/>
  <c r="Y39" i="11"/>
  <c r="X49" i="11"/>
  <c r="O40" i="7"/>
  <c r="X39" i="11"/>
  <c r="G31" i="5"/>
  <c r="H81" i="5" s="1"/>
  <c r="L17" i="12"/>
  <c r="L27" i="12" s="1"/>
  <c r="M17" i="12"/>
  <c r="N17" i="12"/>
  <c r="K21" i="12"/>
  <c r="Q20" i="12"/>
  <c r="O17" i="12"/>
  <c r="N34" i="7"/>
  <c r="N35" i="7"/>
  <c r="N38" i="7"/>
  <c r="N36" i="7"/>
  <c r="M16" i="7"/>
  <c r="Q35" i="7"/>
  <c r="Q34" i="7"/>
  <c r="Q37" i="7"/>
  <c r="Q38" i="7"/>
  <c r="M15" i="7"/>
  <c r="Z17" i="7"/>
  <c r="M18" i="7"/>
  <c r="M17" i="7"/>
  <c r="Z15" i="7"/>
  <c r="Z21" i="7" s="1"/>
  <c r="Z18" i="7"/>
  <c r="Z19" i="7"/>
  <c r="W85" i="5"/>
  <c r="W11" i="7" s="1"/>
  <c r="P11" i="7"/>
  <c r="L30" i="8"/>
  <c r="L33" i="8" s="1"/>
  <c r="O17" i="7"/>
  <c r="O15" i="7"/>
  <c r="O19" i="7"/>
  <c r="O16" i="7"/>
  <c r="O18" i="7"/>
  <c r="AB82" i="5"/>
  <c r="AB68" i="5"/>
  <c r="W78" i="5"/>
  <c r="S11" i="7" s="1"/>
  <c r="V68" i="5"/>
  <c r="W101" i="5" s="1"/>
  <c r="S29" i="7" s="1"/>
  <c r="W81" i="5"/>
  <c r="W67" i="5"/>
  <c r="L108" i="1"/>
  <c r="L154" i="1" s="1"/>
  <c r="L51" i="4"/>
  <c r="O61" i="1"/>
  <c r="O48" i="4"/>
  <c r="P61" i="1"/>
  <c r="P48" i="4"/>
  <c r="N61" i="1"/>
  <c r="N48" i="4"/>
  <c r="M111" i="1"/>
  <c r="M78" i="3"/>
  <c r="M168" i="1" s="1"/>
  <c r="P112" i="1"/>
  <c r="P116" i="1"/>
  <c r="L113" i="1"/>
  <c r="L115" i="1"/>
  <c r="N112" i="1"/>
  <c r="N155" i="1" s="1"/>
  <c r="N116" i="1"/>
  <c r="N158" i="1" s="1"/>
  <c r="O112" i="1"/>
  <c r="O116" i="1"/>
  <c r="P94" i="1"/>
  <c r="P102" i="1"/>
  <c r="Q151" i="1" s="1"/>
  <c r="P107" i="1"/>
  <c r="N102" i="1"/>
  <c r="N107" i="1"/>
  <c r="N153" i="1" s="1"/>
  <c r="O94" i="1"/>
  <c r="O102" i="1"/>
  <c r="O107" i="1"/>
  <c r="N94" i="1"/>
  <c r="N93" i="1"/>
  <c r="O93" i="1"/>
  <c r="P93" i="1"/>
  <c r="Q147" i="1" s="1"/>
  <c r="P69" i="1"/>
  <c r="P58" i="1"/>
  <c r="P96" i="1" s="1"/>
  <c r="N69" i="1"/>
  <c r="N58" i="1"/>
  <c r="N96" i="1" s="1"/>
  <c r="O62" i="1"/>
  <c r="O58" i="1"/>
  <c r="O96" i="1" s="1"/>
  <c r="N62" i="1"/>
  <c r="N59" i="1"/>
  <c r="N141" i="1" s="1"/>
  <c r="N169" i="1" s="1"/>
  <c r="O69" i="1"/>
  <c r="O59" i="1"/>
  <c r="O141" i="1" s="1"/>
  <c r="O169" i="1" s="1"/>
  <c r="O67" i="3"/>
  <c r="O71" i="3" s="1"/>
  <c r="O84" i="3" s="1"/>
  <c r="N76" i="3"/>
  <c r="N86" i="3"/>
  <c r="N67" i="1" s="1"/>
  <c r="M99" i="3"/>
  <c r="N104" i="3" s="1"/>
  <c r="P59" i="1"/>
  <c r="P141" i="1" s="1"/>
  <c r="P169" i="1" s="1"/>
  <c r="P62" i="1"/>
  <c r="L97" i="3"/>
  <c r="L65" i="1"/>
  <c r="L78" i="1" s="1"/>
  <c r="J37" i="12" s="1"/>
  <c r="M60" i="1"/>
  <c r="M63" i="1" s="1"/>
  <c r="Q102" i="3"/>
  <c r="Q105" i="3" s="1"/>
  <c r="P105" i="3"/>
  <c r="Q106" i="3"/>
  <c r="Q150" i="1" l="1"/>
  <c r="P34" i="7"/>
  <c r="P36" i="7"/>
  <c r="P38" i="7"/>
  <c r="Q148" i="1"/>
  <c r="P37" i="7"/>
  <c r="R37" i="7"/>
  <c r="R35" i="7"/>
  <c r="R34" i="7"/>
  <c r="O35" i="7"/>
  <c r="O36" i="7"/>
  <c r="R36" i="7"/>
  <c r="O37" i="7"/>
  <c r="O38" i="7"/>
  <c r="O20" i="12"/>
  <c r="I44" i="12" a="1"/>
  <c r="I44" i="12" s="1"/>
  <c r="H67" i="5"/>
  <c r="M18" i="12"/>
  <c r="M20" i="12"/>
  <c r="O18" i="12"/>
  <c r="L18" i="12"/>
  <c r="R7" i="11" a="1"/>
  <c r="L20" i="12"/>
  <c r="L21" i="12" s="1"/>
  <c r="J38" i="12"/>
  <c r="N20" i="12"/>
  <c r="M167" i="1"/>
  <c r="K34" i="12"/>
  <c r="Q34" i="12" s="1"/>
  <c r="N18" i="12"/>
  <c r="S37" i="7"/>
  <c r="S38" i="7"/>
  <c r="S36" i="7"/>
  <c r="S35" i="7"/>
  <c r="S34" i="7"/>
  <c r="P19" i="7"/>
  <c r="P15" i="7"/>
  <c r="P16" i="7"/>
  <c r="P18" i="7"/>
  <c r="P17" i="7"/>
  <c r="W15" i="7"/>
  <c r="W21" i="7" s="1"/>
  <c r="W19" i="7"/>
  <c r="W16" i="7"/>
  <c r="W17" i="7"/>
  <c r="K45" i="12" s="1"/>
  <c r="W18" i="7"/>
  <c r="S18" i="7"/>
  <c r="S17" i="7"/>
  <c r="S15" i="7"/>
  <c r="S16" i="7"/>
  <c r="S19" i="7"/>
  <c r="M171" i="1"/>
  <c r="K31" i="12" s="1"/>
  <c r="Q31" i="12" s="1"/>
  <c r="L109" i="1"/>
  <c r="L117" i="1" s="1"/>
  <c r="L68" i="4"/>
  <c r="L69" i="4" s="1"/>
  <c r="E32" i="5"/>
  <c r="W82" i="5"/>
  <c r="W68" i="5"/>
  <c r="W86" i="5"/>
  <c r="X11" i="7" s="1"/>
  <c r="W90" i="5"/>
  <c r="AA11" i="7" s="1"/>
  <c r="M108" i="1"/>
  <c r="M154" i="1" s="1"/>
  <c r="M51" i="4"/>
  <c r="L72" i="1"/>
  <c r="L57" i="4" s="1"/>
  <c r="L53" i="4"/>
  <c r="N49" i="4"/>
  <c r="Q49" i="4"/>
  <c r="P49" i="4"/>
  <c r="O49" i="4"/>
  <c r="P150" i="1"/>
  <c r="P151" i="1"/>
  <c r="O153" i="1"/>
  <c r="O150" i="1"/>
  <c r="N150" i="1"/>
  <c r="O151" i="1"/>
  <c r="N151" i="1"/>
  <c r="P148" i="1"/>
  <c r="P158" i="1"/>
  <c r="P155" i="1"/>
  <c r="O158" i="1"/>
  <c r="O148" i="1"/>
  <c r="N148" i="1"/>
  <c r="L157" i="1"/>
  <c r="P153" i="1"/>
  <c r="Q153" i="1"/>
  <c r="Q158" i="1"/>
  <c r="P147" i="1"/>
  <c r="O155" i="1"/>
  <c r="Q155" i="1"/>
  <c r="O147" i="1"/>
  <c r="N147" i="1"/>
  <c r="N111" i="1"/>
  <c r="N78" i="3"/>
  <c r="N168" i="1" s="1"/>
  <c r="N70" i="1"/>
  <c r="P67" i="3"/>
  <c r="P71" i="3" s="1"/>
  <c r="P84" i="3" s="1"/>
  <c r="O86" i="3"/>
  <c r="O67" i="1" s="1"/>
  <c r="O70" i="1" s="1"/>
  <c r="O76" i="3"/>
  <c r="M99" i="1"/>
  <c r="M97" i="3"/>
  <c r="M65" i="1"/>
  <c r="M78" i="1" s="1"/>
  <c r="K37" i="12" s="1"/>
  <c r="N96" i="3"/>
  <c r="N161" i="1" s="1"/>
  <c r="I43" i="12" l="1" a="1"/>
  <c r="I43" i="12" s="1"/>
  <c r="O21" i="12"/>
  <c r="I48" i="12" a="1"/>
  <c r="I48" i="12" s="1"/>
  <c r="L11" i="4"/>
  <c r="N21" i="12"/>
  <c r="R7" i="11"/>
  <c r="R24" i="11" s="1"/>
  <c r="R27" i="11"/>
  <c r="R25" i="11"/>
  <c r="R26" i="11"/>
  <c r="N64" i="4"/>
  <c r="L26" i="12"/>
  <c r="M21" i="12"/>
  <c r="K38" i="12"/>
  <c r="Q37" i="12"/>
  <c r="N167" i="1"/>
  <c r="N171" i="1" s="1"/>
  <c r="L31" i="12" s="1"/>
  <c r="L34" i="12"/>
  <c r="C12" i="9" a="1"/>
  <c r="X18" i="7"/>
  <c r="X16" i="7"/>
  <c r="X19" i="7"/>
  <c r="X17" i="7"/>
  <c r="K50" i="12" s="1"/>
  <c r="X15" i="7"/>
  <c r="X21" i="7" s="1"/>
  <c r="K51" i="12" s="1"/>
  <c r="AA18" i="7"/>
  <c r="AA15" i="7"/>
  <c r="AA21" i="7" s="1"/>
  <c r="AA19" i="7"/>
  <c r="AA16" i="7"/>
  <c r="AA17" i="7"/>
  <c r="L74" i="1"/>
  <c r="L55" i="4" s="1"/>
  <c r="H74" i="5"/>
  <c r="F68" i="5"/>
  <c r="H97" i="5" s="1"/>
  <c r="AA40" i="11" s="1"/>
  <c r="M109" i="1"/>
  <c r="M68" i="4"/>
  <c r="M69" i="4" s="1"/>
  <c r="F32" i="5"/>
  <c r="M72" i="1"/>
  <c r="M57" i="4" s="1"/>
  <c r="M53" i="4"/>
  <c r="O111" i="1"/>
  <c r="O78" i="3"/>
  <c r="O168" i="1" s="1"/>
  <c r="M113" i="1"/>
  <c r="M115" i="1"/>
  <c r="M157" i="1" s="1"/>
  <c r="M100" i="1"/>
  <c r="Q67" i="3"/>
  <c r="Q71" i="3" s="1"/>
  <c r="Q86" i="3" s="1"/>
  <c r="Q67" i="1" s="1"/>
  <c r="Q70" i="1" s="1"/>
  <c r="P76" i="3"/>
  <c r="P86" i="3"/>
  <c r="P67" i="1" s="1"/>
  <c r="P70" i="1" s="1"/>
  <c r="Q107" i="3"/>
  <c r="P107" i="3"/>
  <c r="O107" i="3"/>
  <c r="N107" i="3"/>
  <c r="N111" i="3" s="1"/>
  <c r="N137" i="1" s="1"/>
  <c r="N59" i="4" s="1"/>
  <c r="C12" i="9" l="1"/>
  <c r="O167" i="1"/>
  <c r="M34" i="12"/>
  <c r="R21" i="7"/>
  <c r="U39" i="11"/>
  <c r="R40" i="7"/>
  <c r="AA39" i="11"/>
  <c r="O171" i="1"/>
  <c r="M31" i="12" s="1"/>
  <c r="M74" i="1"/>
  <c r="M55" i="4" s="1"/>
  <c r="L76" i="1"/>
  <c r="H78" i="5"/>
  <c r="G68" i="5"/>
  <c r="H101" i="5" s="1"/>
  <c r="H89" i="5"/>
  <c r="P111" i="1"/>
  <c r="P78" i="3"/>
  <c r="P168" i="1" s="1"/>
  <c r="M117" i="1"/>
  <c r="Q75" i="3"/>
  <c r="Q74" i="3"/>
  <c r="N60" i="1"/>
  <c r="N63" i="1" s="1"/>
  <c r="N51" i="4" s="1"/>
  <c r="N99" i="3"/>
  <c r="N99" i="1" s="1"/>
  <c r="AB40" i="11" l="1"/>
  <c r="AA50" i="11"/>
  <c r="S21" i="7"/>
  <c r="V39" i="11"/>
  <c r="P167" i="1"/>
  <c r="N34" i="12"/>
  <c r="S40" i="7"/>
  <c r="AA49" i="11"/>
  <c r="AB39" i="11"/>
  <c r="L81" i="1"/>
  <c r="J23" i="12"/>
  <c r="P171" i="1"/>
  <c r="N31" i="12" s="1"/>
  <c r="E33" i="5"/>
  <c r="H75" i="5" s="1"/>
  <c r="U21" i="7" s="1"/>
  <c r="M76" i="1"/>
  <c r="L135" i="1"/>
  <c r="L80" i="1"/>
  <c r="H90" i="5"/>
  <c r="H86" i="5"/>
  <c r="U49" i="11" s="1"/>
  <c r="N113" i="1"/>
  <c r="N115" i="1"/>
  <c r="N157" i="1" s="1"/>
  <c r="N100" i="1"/>
  <c r="N65" i="1"/>
  <c r="N78" i="1" s="1"/>
  <c r="L37" i="12" s="1"/>
  <c r="N108" i="1"/>
  <c r="N154" i="1" s="1"/>
  <c r="Q76" i="3"/>
  <c r="O96" i="3"/>
  <c r="O161" i="1" s="1"/>
  <c r="O104" i="3"/>
  <c r="I49" i="12" l="1" a="1"/>
  <c r="I49" i="12" s="1"/>
  <c r="L12" i="4"/>
  <c r="L38" i="12"/>
  <c r="O64" i="4"/>
  <c r="M26" i="12"/>
  <c r="M27" i="12" s="1"/>
  <c r="M81" i="1"/>
  <c r="K23" i="12"/>
  <c r="F33" i="5"/>
  <c r="H79" i="5" s="1"/>
  <c r="V21" i="7" s="1"/>
  <c r="H12" i="9" s="1" a="1"/>
  <c r="M135" i="1"/>
  <c r="M80" i="1"/>
  <c r="F69" i="5"/>
  <c r="H98" i="5" s="1"/>
  <c r="U40" i="7" s="1"/>
  <c r="N68" i="4"/>
  <c r="N69" i="4" s="1"/>
  <c r="G32" i="5"/>
  <c r="N145" i="1"/>
  <c r="N72" i="1"/>
  <c r="N53" i="4"/>
  <c r="N109" i="1"/>
  <c r="N117" i="1" s="1"/>
  <c r="Q111" i="1"/>
  <c r="Q78" i="3"/>
  <c r="Q168" i="1" s="1"/>
  <c r="Q108" i="3"/>
  <c r="O108" i="3"/>
  <c r="O111" i="3" s="1"/>
  <c r="O137" i="1" s="1"/>
  <c r="O59" i="4" s="1"/>
  <c r="P108" i="3"/>
  <c r="K34" i="9" l="1"/>
  <c r="K20" i="9" s="1"/>
  <c r="J44" i="10" s="1"/>
  <c r="I30" i="9"/>
  <c r="I16" i="9" s="1"/>
  <c r="H40" i="10" s="1"/>
  <c r="M40" i="10" s="1"/>
  <c r="J31" i="9"/>
  <c r="J17" i="9" s="1"/>
  <c r="I41" i="10" s="1"/>
  <c r="I28" i="9"/>
  <c r="L34" i="9"/>
  <c r="L20" i="9" s="1"/>
  <c r="K44" i="10" s="1"/>
  <c r="M27" i="9"/>
  <c r="M13" i="9" s="1"/>
  <c r="L37" i="10" s="1"/>
  <c r="L29" i="9"/>
  <c r="L15" i="9" s="1"/>
  <c r="K39" i="10" s="1"/>
  <c r="I27" i="9"/>
  <c r="I13" i="9" s="1"/>
  <c r="H37" i="10" s="1"/>
  <c r="M37" i="10" s="1"/>
  <c r="J30" i="9"/>
  <c r="J16" i="9" s="1"/>
  <c r="I40" i="10" s="1"/>
  <c r="K32" i="9"/>
  <c r="K18" i="9" s="1"/>
  <c r="J42" i="10" s="1"/>
  <c r="L33" i="9"/>
  <c r="L19" i="9" s="1"/>
  <c r="K43" i="10" s="1"/>
  <c r="K29" i="9"/>
  <c r="K15" i="9" s="1"/>
  <c r="J39" i="10" s="1"/>
  <c r="K33" i="9"/>
  <c r="K19" i="9" s="1"/>
  <c r="J43" i="10" s="1"/>
  <c r="M34" i="9"/>
  <c r="M20" i="9" s="1"/>
  <c r="L44" i="10" s="1"/>
  <c r="I29" i="9"/>
  <c r="I15" i="9" s="1"/>
  <c r="H39" i="10" s="1"/>
  <c r="M39" i="10" s="1"/>
  <c r="M29" i="9"/>
  <c r="M15" i="9" s="1"/>
  <c r="L39" i="10" s="1"/>
  <c r="K28" i="9"/>
  <c r="J29" i="9"/>
  <c r="J15" i="9" s="1"/>
  <c r="I39" i="10" s="1"/>
  <c r="L32" i="9"/>
  <c r="L18" i="9" s="1"/>
  <c r="K42" i="10" s="1"/>
  <c r="L28" i="9"/>
  <c r="L14" i="9" s="1"/>
  <c r="K38" i="10" s="1"/>
  <c r="M28" i="9"/>
  <c r="M14" i="9" s="1"/>
  <c r="L38" i="10" s="1"/>
  <c r="M31" i="9"/>
  <c r="M17" i="9" s="1"/>
  <c r="L41" i="10" s="1"/>
  <c r="K27" i="9"/>
  <c r="K13" i="9" s="1"/>
  <c r="J37" i="10" s="1"/>
  <c r="M30" i="9"/>
  <c r="M16" i="9" s="1"/>
  <c r="L40" i="10" s="1"/>
  <c r="K31" i="9"/>
  <c r="K17" i="9" s="1"/>
  <c r="J41" i="10" s="1"/>
  <c r="J32" i="9"/>
  <c r="J18" i="9" s="1"/>
  <c r="I42" i="10" s="1"/>
  <c r="L31" i="9"/>
  <c r="L17" i="9" s="1"/>
  <c r="K41" i="10" s="1"/>
  <c r="I34" i="9"/>
  <c r="I20" i="9" s="1"/>
  <c r="H44" i="10" s="1"/>
  <c r="J27" i="9"/>
  <c r="J13" i="9" s="1"/>
  <c r="I37" i="10" s="1"/>
  <c r="I32" i="9"/>
  <c r="I18" i="9" s="1"/>
  <c r="H42" i="10" s="1"/>
  <c r="M42" i="10" s="1"/>
  <c r="J34" i="9"/>
  <c r="J20" i="9" s="1"/>
  <c r="I44" i="10" s="1"/>
  <c r="M33" i="9"/>
  <c r="M19" i="9" s="1"/>
  <c r="L43" i="10" s="1"/>
  <c r="J28" i="9"/>
  <c r="J14" i="9" s="1"/>
  <c r="I38" i="10" s="1"/>
  <c r="L30" i="9"/>
  <c r="L16" i="9" s="1"/>
  <c r="K40" i="10" s="1"/>
  <c r="I33" i="9"/>
  <c r="I19" i="9" s="1"/>
  <c r="H43" i="10" s="1"/>
  <c r="M43" i="10" s="1"/>
  <c r="I31" i="9"/>
  <c r="I17" i="9" s="1"/>
  <c r="H41" i="10" s="1"/>
  <c r="M41" i="10" s="1"/>
  <c r="K30" i="9"/>
  <c r="K16" i="9" s="1"/>
  <c r="J40" i="10" s="1"/>
  <c r="J33" i="9"/>
  <c r="J19" i="9" s="1"/>
  <c r="I43" i="10" s="1"/>
  <c r="M32" i="9"/>
  <c r="M18" i="9" s="1"/>
  <c r="L42" i="10" s="1"/>
  <c r="L27" i="9"/>
  <c r="L13" i="9" s="1"/>
  <c r="K37" i="10" s="1"/>
  <c r="Q23" i="12"/>
  <c r="Q167" i="1"/>
  <c r="Q171" i="1" s="1"/>
  <c r="O31" i="12" s="1"/>
  <c r="O34" i="12"/>
  <c r="G69" i="5"/>
  <c r="H102" i="5" s="1"/>
  <c r="V40" i="7" s="1"/>
  <c r="I54" i="12" s="1" a="1"/>
  <c r="I54" i="12" s="1"/>
  <c r="H12" i="9"/>
  <c r="I14" i="9"/>
  <c r="H38" i="10" s="1"/>
  <c r="M38" i="10" s="1"/>
  <c r="H82" i="5"/>
  <c r="H68" i="5"/>
  <c r="N74" i="1"/>
  <c r="N57" i="4"/>
  <c r="O60" i="1"/>
  <c r="O63" i="1" s="1"/>
  <c r="O51" i="4" s="1"/>
  <c r="O99" i="3"/>
  <c r="O99" i="1" s="1"/>
  <c r="I26" i="9" l="1"/>
  <c r="I12" i="9" s="1"/>
  <c r="H36" i="10" s="1"/>
  <c r="M36" i="10" s="1"/>
  <c r="L26" i="9"/>
  <c r="K26" i="9"/>
  <c r="J26" i="9"/>
  <c r="J12" i="9" s="1"/>
  <c r="M26" i="9"/>
  <c r="K14" i="9"/>
  <c r="J38" i="10" s="1"/>
  <c r="O38" i="10" s="1"/>
  <c r="E24" i="9"/>
  <c r="O37" i="10"/>
  <c r="O43" i="10"/>
  <c r="O41" i="10"/>
  <c r="N42" i="10"/>
  <c r="N38" i="10"/>
  <c r="Q41" i="10"/>
  <c r="P37" i="10"/>
  <c r="P39" i="10"/>
  <c r="O40" i="10"/>
  <c r="P44" i="10"/>
  <c r="P43" i="10"/>
  <c r="N40" i="10"/>
  <c r="Q40" i="10"/>
  <c r="Q38" i="10"/>
  <c r="P40" i="10"/>
  <c r="O44" i="10"/>
  <c r="O39" i="10"/>
  <c r="Q44" i="10"/>
  <c r="O42" i="10"/>
  <c r="N39" i="10"/>
  <c r="P41" i="10"/>
  <c r="N43" i="10"/>
  <c r="Q39" i="10"/>
  <c r="Q42" i="10"/>
  <c r="N37" i="10"/>
  <c r="Q43" i="10"/>
  <c r="N44" i="10"/>
  <c r="M44" i="10"/>
  <c r="Q37" i="10"/>
  <c r="N41" i="10"/>
  <c r="P42" i="10"/>
  <c r="N76" i="1"/>
  <c r="L23" i="12" s="1"/>
  <c r="N55" i="4"/>
  <c r="O113" i="1"/>
  <c r="O115" i="1"/>
  <c r="O157" i="1" s="1"/>
  <c r="O100" i="1"/>
  <c r="P96" i="3"/>
  <c r="P161" i="1" s="1"/>
  <c r="O108" i="1"/>
  <c r="O154" i="1" s="1"/>
  <c r="O65" i="1"/>
  <c r="O78" i="1" s="1"/>
  <c r="P104" i="3"/>
  <c r="P111" i="3" s="1"/>
  <c r="P137" i="1" s="1"/>
  <c r="P59" i="4" s="1"/>
  <c r="I36" i="10" l="1"/>
  <c r="N36" i="10" s="1"/>
  <c r="L12" i="9"/>
  <c r="K36" i="10" s="1"/>
  <c r="P64" i="4"/>
  <c r="N26" i="12"/>
  <c r="N27" i="12" s="1"/>
  <c r="O68" i="4"/>
  <c r="O69" i="4" s="1"/>
  <c r="M37" i="12"/>
  <c r="P38" i="10"/>
  <c r="K12" i="9"/>
  <c r="E32" i="9"/>
  <c r="E36" i="9" s="1"/>
  <c r="E37" i="9" s="1"/>
  <c r="N80" i="1"/>
  <c r="N81" i="1"/>
  <c r="L24" i="12" s="1"/>
  <c r="N135" i="1"/>
  <c r="G33" i="5"/>
  <c r="O72" i="1"/>
  <c r="O53" i="4"/>
  <c r="O145" i="1"/>
  <c r="O109" i="1"/>
  <c r="O117" i="1" s="1"/>
  <c r="Q109" i="3"/>
  <c r="P109" i="3"/>
  <c r="P60" i="1"/>
  <c r="P63" i="1" s="1"/>
  <c r="P51" i="4" s="1"/>
  <c r="P99" i="3"/>
  <c r="P99" i="1" s="1"/>
  <c r="J36" i="10" l="1"/>
  <c r="O36" i="10" s="1"/>
  <c r="M12" i="9"/>
  <c r="L36" i="10" s="1"/>
  <c r="M38" i="12"/>
  <c r="H83" i="5"/>
  <c r="H69" i="5"/>
  <c r="O74" i="1"/>
  <c r="O57" i="4"/>
  <c r="P113" i="1"/>
  <c r="P115" i="1"/>
  <c r="P157" i="1" s="1"/>
  <c r="P100" i="1"/>
  <c r="Q96" i="3"/>
  <c r="Q161" i="1" s="1"/>
  <c r="P108" i="1"/>
  <c r="P154" i="1" s="1"/>
  <c r="P65" i="1"/>
  <c r="P78" i="1" s="1"/>
  <c r="Q104" i="3"/>
  <c r="Q111" i="3" s="1"/>
  <c r="Q137" i="1" s="1"/>
  <c r="Q59" i="4" s="1"/>
  <c r="P36" i="10" l="1"/>
  <c r="L48" i="10"/>
  <c r="Q36" i="10"/>
  <c r="Q64" i="4"/>
  <c r="O26" i="12"/>
  <c r="O27" i="12" s="1"/>
  <c r="P68" i="4"/>
  <c r="P69" i="4" s="1"/>
  <c r="N37" i="12"/>
  <c r="O76" i="1"/>
  <c r="M23" i="12" s="1"/>
  <c r="O55" i="4"/>
  <c r="P72" i="1"/>
  <c r="P53" i="4"/>
  <c r="P145" i="1"/>
  <c r="P109" i="1"/>
  <c r="P117" i="1" s="1"/>
  <c r="Q110" i="3"/>
  <c r="Q60" i="1"/>
  <c r="Q63" i="1" s="1"/>
  <c r="Q51" i="4" s="1"/>
  <c r="Q99" i="3"/>
  <c r="Q99" i="1" s="1"/>
  <c r="L79" i="3"/>
  <c r="L78" i="3" s="1"/>
  <c r="L168" i="1" s="1"/>
  <c r="L123" i="1" s="1"/>
  <c r="N38" i="12" l="1"/>
  <c r="O135" i="1"/>
  <c r="O80" i="1"/>
  <c r="O81" i="1"/>
  <c r="M24" i="12" s="1"/>
  <c r="P74" i="1"/>
  <c r="P57" i="4"/>
  <c r="L171" i="1"/>
  <c r="J31" i="12" s="1"/>
  <c r="Q113" i="1"/>
  <c r="Q115" i="1"/>
  <c r="Q157" i="1" s="1"/>
  <c r="Q100" i="1"/>
  <c r="Q65" i="1"/>
  <c r="Q78" i="1" s="1"/>
  <c r="Q108" i="1"/>
  <c r="Q154" i="1" s="1"/>
  <c r="Q68" i="4" l="1"/>
  <c r="Q69" i="4" s="1"/>
  <c r="O37" i="12"/>
  <c r="Q145" i="1"/>
  <c r="P76" i="1"/>
  <c r="N23" i="12" s="1"/>
  <c r="P55" i="4"/>
  <c r="Q72" i="1"/>
  <c r="Q53" i="4"/>
  <c r="L126" i="1"/>
  <c r="L128" i="1" s="1"/>
  <c r="Q109" i="1"/>
  <c r="Q117" i="1" s="1"/>
  <c r="L20" i="4" l="1"/>
  <c r="O38" i="12"/>
  <c r="T7" i="11" s="1" a="1"/>
  <c r="S7" i="11" a="1"/>
  <c r="P135" i="1"/>
  <c r="P80" i="1"/>
  <c r="P81" i="1"/>
  <c r="N24" i="12" s="1"/>
  <c r="Q74" i="1"/>
  <c r="Q57" i="4"/>
  <c r="S7" i="11" l="1"/>
  <c r="S27" i="11"/>
  <c r="S25" i="11"/>
  <c r="S24" i="11"/>
  <c r="S26" i="11"/>
  <c r="T7" i="11"/>
  <c r="T25" i="11"/>
  <c r="T27" i="11"/>
  <c r="T24" i="11"/>
  <c r="T26" i="11"/>
  <c r="Q76" i="1"/>
  <c r="O23" i="12" s="1"/>
  <c r="Q55" i="4"/>
  <c r="Q135" i="1" l="1"/>
  <c r="Q80" i="1"/>
  <c r="Q81" i="1"/>
  <c r="O24" i="12" s="1"/>
  <c r="L100" i="1" l="1"/>
  <c r="M145" i="1" l="1"/>
  <c r="L145" i="1"/>
  <c r="L159" i="1" s="1"/>
  <c r="J29" i="12" s="1"/>
  <c r="L164" i="1"/>
  <c r="J30" i="12" s="1"/>
  <c r="L173" i="1" l="1"/>
  <c r="L175" i="1" s="1"/>
  <c r="M174" i="1" s="1"/>
  <c r="L91" i="1" l="1"/>
  <c r="L61" i="4" l="1"/>
  <c r="L62" i="4" s="1"/>
  <c r="L66" i="4" s="1"/>
  <c r="J35" i="12"/>
  <c r="L97" i="1"/>
  <c r="L103" i="1" s="1"/>
  <c r="M92" i="1"/>
  <c r="M162" i="1" s="1"/>
  <c r="L130" i="1" l="1"/>
  <c r="J33" i="12"/>
  <c r="M139" i="1"/>
  <c r="M164" i="1"/>
  <c r="K30" i="12" s="1"/>
  <c r="Q30" i="12" s="1"/>
  <c r="M159" i="1" l="1"/>
  <c r="M123" i="1"/>
  <c r="M126" i="1" s="1"/>
  <c r="M128" i="1" s="1"/>
  <c r="M173" i="1" l="1"/>
  <c r="M175" i="1" s="1"/>
  <c r="N174" i="1" s="1"/>
  <c r="K29" i="12"/>
  <c r="Q29" i="12" s="1"/>
  <c r="M91" i="1" l="1"/>
  <c r="M61" i="4" s="1"/>
  <c r="M62" i="4" s="1"/>
  <c r="M66" i="4" s="1"/>
  <c r="M97" i="1" l="1"/>
  <c r="M103" i="1" s="1"/>
  <c r="M130" i="1" s="1"/>
  <c r="N92" i="1"/>
  <c r="K35" i="12"/>
  <c r="Q35" i="12" s="1"/>
  <c r="K33" i="12"/>
  <c r="Q33" i="12" s="1"/>
  <c r="N162" i="1"/>
  <c r="N164" i="1" s="1"/>
  <c r="L30" i="12" s="1"/>
  <c r="N139" i="1"/>
  <c r="N159" i="1" l="1"/>
  <c r="N123" i="1"/>
  <c r="N126" i="1" s="1"/>
  <c r="N128" i="1" s="1"/>
  <c r="N173" i="1" l="1"/>
  <c r="N175" i="1" s="1"/>
  <c r="O174" i="1" s="1"/>
  <c r="L29" i="12"/>
  <c r="N91" i="1" l="1"/>
  <c r="N61" i="4" s="1"/>
  <c r="O92" i="1" l="1"/>
  <c r="O162" i="1" s="1"/>
  <c r="O164" i="1" s="1"/>
  <c r="M30" i="12" s="1"/>
  <c r="N97" i="1"/>
  <c r="N103" i="1" s="1"/>
  <c r="N130" i="1" s="1"/>
  <c r="L35" i="12"/>
  <c r="N62" i="4"/>
  <c r="N66" i="4" s="1"/>
  <c r="L33" i="12" l="1"/>
  <c r="O139" i="1"/>
  <c r="O123" i="1" s="1"/>
  <c r="O126" i="1" s="1"/>
  <c r="O128" i="1" s="1"/>
  <c r="O159" i="1" l="1"/>
  <c r="O173" i="1" s="1"/>
  <c r="O175" i="1" s="1"/>
  <c r="P174" i="1" l="1"/>
  <c r="O91" i="1"/>
  <c r="O61" i="4" s="1"/>
  <c r="M29" i="12"/>
  <c r="O97" i="1" l="1"/>
  <c r="O103" i="1" s="1"/>
  <c r="O130" i="1" s="1"/>
  <c r="P92" i="1"/>
  <c r="P162" i="1" s="1"/>
  <c r="P164" i="1" s="1"/>
  <c r="N30" i="12" s="1"/>
  <c r="M35" i="12"/>
  <c r="O62" i="4"/>
  <c r="O66" i="4" s="1"/>
  <c r="P139" i="1" l="1"/>
  <c r="P123" i="1" s="1"/>
  <c r="P126" i="1" s="1"/>
  <c r="P128" i="1" s="1"/>
  <c r="M33" i="12"/>
  <c r="P159" i="1" l="1"/>
  <c r="N29" i="12" s="1"/>
  <c r="P173" i="1" l="1"/>
  <c r="P175" i="1" s="1"/>
  <c r="Q174" i="1" s="1"/>
  <c r="P91" i="1" l="1"/>
  <c r="P61" i="4" s="1"/>
  <c r="P62" i="4" s="1"/>
  <c r="P66" i="4" s="1"/>
  <c r="N35" i="12" l="1"/>
  <c r="P97" i="1"/>
  <c r="P103" i="1" s="1"/>
  <c r="P130" i="1" s="1"/>
  <c r="Q92" i="1"/>
  <c r="Q162" i="1" s="1"/>
  <c r="Q164" i="1" s="1"/>
  <c r="O30" i="12" s="1"/>
  <c r="N33" i="12" l="1"/>
  <c r="Q139" i="1"/>
  <c r="Q159" i="1" s="1"/>
  <c r="Q173" i="1" s="1"/>
  <c r="Q175" i="1" s="1"/>
  <c r="Q91" i="1" s="1"/>
  <c r="Q97" i="1" s="1"/>
  <c r="Q103" i="1" s="1"/>
  <c r="Q123" i="1"/>
  <c r="Q126" i="1" s="1"/>
  <c r="Q128" i="1" s="1"/>
  <c r="O29" i="12" l="1"/>
  <c r="Q130" i="1"/>
  <c r="O33" i="12"/>
  <c r="Q61" i="4"/>
  <c r="Q62" i="4" s="1"/>
  <c r="Q66" i="4" s="1"/>
  <c r="O35" i="12"/>
  <c r="Q34" i="10" l="1"/>
  <c r="N34" i="10"/>
  <c r="M34" i="10"/>
  <c r="P34" i="10" l="1"/>
  <c r="O34" i="10"/>
  <c r="L38" i="8" l="1"/>
  <c r="L36" i="8"/>
  <c r="L37" i="8"/>
  <c r="L40" i="8" l="1"/>
  <c r="G11" i="1" l="1"/>
  <c r="G14" i="4"/>
  <c r="L23" i="4" s="1"/>
  <c r="L21" i="4" l="1"/>
  <c r="L24" i="4"/>
  <c r="Q24" i="4"/>
  <c r="Q20" i="4"/>
  <c r="Q23" i="4" s="1"/>
  <c r="L25" i="4" l="1"/>
  <c r="L37" i="4" s="1"/>
  <c r="L41" i="4" s="1"/>
  <c r="E74" i="4" s="1"/>
  <c r="Q25" i="4"/>
  <c r="Q21" i="4"/>
  <c r="L27" i="4"/>
  <c r="Q27" i="4"/>
  <c r="Q37" i="4" l="1"/>
  <c r="Q41" i="4" s="1"/>
  <c r="Q42" i="4" s="1"/>
  <c r="L42" i="4"/>
  <c r="E8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B34" authorId="0" shapeId="0" xr:uid="{E8EE7DBF-0589-454A-B367-AF7851635E83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current portion</t>
        </r>
      </text>
    </comment>
    <comment ref="B35" authorId="0" shapeId="0" xr:uid="{73142F22-1A7A-415F-BCED-19CB1ED7C381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Cash, Cash equivalents and Investments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C62" authorId="0" shapeId="0" xr:uid="{9D89CA1F-0F6C-47AC-86CA-DE009C8C037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Accretion of asset retirement and environmental obligations, loss on sale or disposal of long lived assets, write down of inventories, other operating costs and expenses</t>
        </r>
      </text>
    </comment>
    <comment ref="C93" authorId="0" shapeId="0" xr:uid="{EA38677A-2A7D-4606-A379-A18C6A1DFB8D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income taxes recievable
</t>
        </r>
      </text>
    </comment>
    <comment ref="C94" authorId="0" shapeId="0" xr:uid="{F402C50A-EE46-4BEC-A6D3-E68CDD9730FC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current, non-current portions</t>
        </r>
      </text>
    </comment>
    <comment ref="C107" authorId="0" shapeId="0" xr:uid="{93C94BDC-49B4-4390-BC6F-0395BE13B66C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income taxes payable
</t>
        </r>
      </text>
    </comment>
    <comment ref="C111" authorId="0" shapeId="0" xr:uid="{BB3866B4-CAA5-4EB5-9A19-E77789DB0EAE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current, noncurrent portions
</t>
        </r>
      </text>
    </comment>
    <comment ref="C112" authorId="0" shapeId="0" xr:uid="{C1B36F1E-9FAD-4FCE-BCE2-FD644DD7AC25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Current, Non-current portions</t>
        </r>
      </text>
    </comment>
    <comment ref="C115" authorId="0" shapeId="0" xr:uid="{2AF0D32F-C4E8-4553-9D09-9D02F9B393C5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deferred investment tax credit</t>
        </r>
      </text>
    </comment>
    <comment ref="C116" authorId="0" shapeId="0" xr:uid="{EC0A2E1C-F7BF-4DF6-9021-C1CF5F1FB7E9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asset retirement obligations, other current liabilities</t>
        </r>
      </text>
    </comment>
    <comment ref="C145" authorId="0" shapeId="0" xr:uid="{2A02D311-2167-412D-9304-669D34D4E159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Linked to ORU Assets &amp; Liabilities</t>
        </r>
      </text>
    </comment>
    <comment ref="C154" authorId="0" shapeId="0" xr:uid="{9A20F566-7694-4692-9A80-3A198C6AFC3E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Formerly part of Accounts payable
</t>
        </r>
      </text>
    </comment>
    <comment ref="C163" authorId="0" shapeId="0" xr:uid="{F71F7157-3B79-4AAF-AE68-438881302D76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Investment in equity method investee, proceeds from sale of PPE, Proceeds from government awards used for construction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  <author>Aditi Pingale</author>
  </authors>
  <commentList>
    <comment ref="C5" authorId="0" shapeId="0" xr:uid="{5BAB7CE9-EA0E-4932-84E9-7DB9827C2CDB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Data from US Geological Survey 
https://pubs.usgs.gov/periodicals/mcs2025/mcs2025-rare-earths.pdf</t>
        </r>
      </text>
    </comment>
    <comment ref="K11" authorId="0" shapeId="0" xr:uid="{42091E9E-9B9F-4B0D-A577-CA777C0187B2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per J.P. Morgan
</t>
        </r>
      </text>
    </comment>
    <comment ref="C18" authorId="0" shapeId="0" xr:uid="{5A20BAD9-2E43-46C5-BFC2-6B9162F358BC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Production Ceiling NdPr 6075 MT per 10K, Investor Presentation</t>
        </r>
      </text>
    </comment>
    <comment ref="C22" authorId="0" shapeId="0" xr:uid="{F78D68A5-473F-4C31-A883-408D987D3505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2025, 2026 forecasts per Bloomberg</t>
        </r>
      </text>
    </comment>
    <comment ref="C23" authorId="0" shapeId="0" xr:uid="{C24666EB-7628-40A9-8C4F-ACB653A67024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Management is targeting 60K MT production by EOY 2027</t>
        </r>
      </text>
    </comment>
    <comment ref="C35" authorId="0" shapeId="0" xr:uid="{5250E500-8401-4964-B12A-A669205B6AED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Management target is 6,075 MT seperation capacity </t>
        </r>
      </text>
    </comment>
    <comment ref="C38" authorId="1" shapeId="0" xr:uid="{0E3BFA9F-C962-4B74-BCC8-BAED541E625B}">
      <text>
        <r>
          <rPr>
            <b/>
            <sz val="9"/>
            <color indexed="81"/>
            <rFont val="Tahoma"/>
            <family val="2"/>
          </rPr>
          <t xml:space="preserve">Glenn Rentrop:
</t>
        </r>
        <r>
          <rPr>
            <sz val="9"/>
            <color indexed="81"/>
            <rFont val="Tahoma"/>
            <family val="2"/>
          </rPr>
          <t xml:space="preserve">1000MT NdFeB should consume around 333MT NdPr reducing sales </t>
        </r>
      </text>
    </comment>
    <comment ref="C47" authorId="1" shapeId="0" xr:uid="{6F9A78BC-ED1A-498B-ADC5-94A7C3CDCBB4}">
      <text>
        <r>
          <rPr>
            <b/>
            <sz val="9"/>
            <color indexed="81"/>
            <rFont val="Tahoma"/>
            <family val="2"/>
          </rPr>
          <t xml:space="preserve">Glenn Rentrop:
</t>
        </r>
        <r>
          <rPr>
            <sz val="9"/>
            <color indexed="81"/>
            <rFont val="Tahoma"/>
            <family val="2"/>
          </rPr>
          <t>Production fully committed under long-term agreement with GM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96" authorId="0" shapeId="0" xr:uid="{03534848-32FD-45DA-848F-8720C10A8D39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2025,2026 capex per Bloomberg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C8" authorId="0" shapeId="0" xr:uid="{04476FE1-F7A5-43BD-A269-583AC82D68E6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All Figures per Capital IQ</t>
        </r>
      </text>
    </comment>
    <comment ref="C31" authorId="0" shapeId="0" xr:uid="{37E7D1D9-5C4B-4B9D-8188-BBA0158FE43E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Projected Financials Via Bloomberg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glenn Rentrop</author>
  </authors>
  <commentList>
    <comment ref="S21" authorId="0" shapeId="0" xr:uid="{92F91460-A696-4E15-A9C5-899B594E0CDA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current portion</t>
        </r>
      </text>
    </comment>
    <comment ref="S22" authorId="0" shapeId="0" xr:uid="{F889CFE2-537E-4D18-B364-2DAFE94818F8}">
      <text>
        <r>
          <rPr>
            <b/>
            <sz val="9"/>
            <color indexed="81"/>
            <rFont val="Tahoma"/>
            <family val="2"/>
          </rPr>
          <t>glenn Rentrop:</t>
        </r>
        <r>
          <rPr>
            <sz val="9"/>
            <color indexed="81"/>
            <rFont val="Tahoma"/>
            <family val="2"/>
          </rPr>
          <t xml:space="preserve">
Consolidated Cash, Cash equivalents and Investments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<sst xmlns="http://schemas.openxmlformats.org/spreadsheetml/2006/main" count="1258" uniqueCount="494">
  <si>
    <t>Revenue (including related party)</t>
  </si>
  <si>
    <t>Selling, general and administrative</t>
  </si>
  <si>
    <t>Depreciation, depletion and amortization</t>
  </si>
  <si>
    <t>Advanced projects, start-up, development and other</t>
  </si>
  <si>
    <t>Total operating costs and expenses</t>
  </si>
  <si>
    <t>Operating income (loss)</t>
  </si>
  <si>
    <t>Interest expense, net</t>
  </si>
  <si>
    <t>Gain on early extinguishment of debt</t>
  </si>
  <si>
    <t>Other income, net</t>
  </si>
  <si>
    <t>Income (loss) before income taxes</t>
  </si>
  <si>
    <t>Income tax benefit (expense)</t>
  </si>
  <si>
    <t>Net income (loss)</t>
  </si>
  <si>
    <t>Earnings (loss) per share - Basic</t>
  </si>
  <si>
    <t>Earnings (loss) per share - Diluted</t>
  </si>
  <si>
    <t>Weighted-average shares outstanding - Basic</t>
  </si>
  <si>
    <t>Weighted-average shares outstanding - Diluted</t>
  </si>
  <si>
    <t>Cash and cash equivalents</t>
  </si>
  <si>
    <t>Accounts receivable (including related party)</t>
  </si>
  <si>
    <t>Government grant receivable</t>
  </si>
  <si>
    <t>Prepaid expenses and other current assets</t>
  </si>
  <si>
    <t>Total current assets</t>
  </si>
  <si>
    <t>Property, plant and equipment, net</t>
  </si>
  <si>
    <t>Operating lease right-of-use assets</t>
  </si>
  <si>
    <t>Intangible assets, net</t>
  </si>
  <si>
    <t>Other non-current assets</t>
  </si>
  <si>
    <t>Total assets</t>
  </si>
  <si>
    <t>Accounts and construction payable</t>
  </si>
  <si>
    <t>Accrued liabilities</t>
  </si>
  <si>
    <t>Total current liabilities</t>
  </si>
  <si>
    <t>Long-term debt, net</t>
  </si>
  <si>
    <t>Operating lease liabilities</t>
  </si>
  <si>
    <t>Deferred government grant</t>
  </si>
  <si>
    <t>Deferred income taxes</t>
  </si>
  <si>
    <t>Other non-current liabilities</t>
  </si>
  <si>
    <t>Total liabilities</t>
  </si>
  <si>
    <t>Common stock</t>
  </si>
  <si>
    <t>Additional paid-in capital</t>
  </si>
  <si>
    <t>Retained earnings</t>
  </si>
  <si>
    <t>Accumulated other comprehensive income</t>
  </si>
  <si>
    <t>Treasury stock</t>
  </si>
  <si>
    <t>Total stockholders’ equity</t>
  </si>
  <si>
    <t>Total liabilities and stockholders’ equity</t>
  </si>
  <si>
    <t>Accretion of discount on short-term investments</t>
  </si>
  <si>
    <t>Stock-based compensation expense</t>
  </si>
  <si>
    <t>Amortization of debt issuance costs</t>
  </si>
  <si>
    <t>Write-downs of inventories</t>
  </si>
  <si>
    <t>Revenue recognized in exchange for debt principal reduction</t>
  </si>
  <si>
    <t>Other non-cash adjustments (loss on sale, forgiveness, misc)</t>
  </si>
  <si>
    <t>Accounts receivable (increase)/decrease</t>
  </si>
  <si>
    <t>Inventories (increase)</t>
  </si>
  <si>
    <t>Government grant receivable (increase)</t>
  </si>
  <si>
    <t>Prepaid/other current and non-current assets (increase)</t>
  </si>
  <si>
    <t>Deferred revenue (increase)</t>
  </si>
  <si>
    <t>Deferred government grant (increase)</t>
  </si>
  <si>
    <t>Other current and non-current liabilities (increase)</t>
  </si>
  <si>
    <t>Net cash provided by operating activities</t>
  </si>
  <si>
    <t>Net cash provided by (used in) investing activities</t>
  </si>
  <si>
    <t>Payment of debt issuance costs</t>
  </si>
  <si>
    <t>Repurchases of common stock</t>
  </si>
  <si>
    <t>Principal payments on debt obligations and finance leases</t>
  </si>
  <si>
    <t>Tax withholding on stock-based awards</t>
  </si>
  <si>
    <t>Net cash used in financing activities</t>
  </si>
  <si>
    <t>Net change in cash, cash equivalents and restricted cash</t>
  </si>
  <si>
    <t>Beginning cash, cash equivalents and restricted cash</t>
  </si>
  <si>
    <t>Ending cash, cash equivalents and restricted cash</t>
  </si>
  <si>
    <t>Other Income (expense)</t>
  </si>
  <si>
    <t>Other</t>
  </si>
  <si>
    <t>Historical</t>
  </si>
  <si>
    <t>Projected:</t>
  </si>
  <si>
    <t>Units:</t>
  </si>
  <si>
    <t>Company Name:</t>
  </si>
  <si>
    <t>Name</t>
  </si>
  <si>
    <t>Last Fiscal Year:</t>
  </si>
  <si>
    <t>Ticker:</t>
  </si>
  <si>
    <t>Next Fiscal Year:</t>
  </si>
  <si>
    <t>Current Share Price:</t>
  </si>
  <si>
    <t>$ / Share</t>
  </si>
  <si>
    <t>Most Recent Quarter End Date:</t>
  </si>
  <si>
    <t>Diluted Shares Outstanding:</t>
  </si>
  <si>
    <t>M Shares</t>
  </si>
  <si>
    <t>Valuation Date:</t>
  </si>
  <si>
    <t>Effective Tax Rate:</t>
  </si>
  <si>
    <t>%</t>
  </si>
  <si>
    <t>Discount Rate (WACC):</t>
  </si>
  <si>
    <t>LTM Period:</t>
  </si>
  <si>
    <t>Forward Year 1:</t>
  </si>
  <si>
    <t>Conversion Units:</t>
  </si>
  <si>
    <t>#</t>
  </si>
  <si>
    <t>Forward Year 2:</t>
  </si>
  <si>
    <t>Forward Year 3:</t>
  </si>
  <si>
    <t>MP</t>
  </si>
  <si>
    <t>MP Materials Corp.</t>
  </si>
  <si>
    <t>Balance Check</t>
  </si>
  <si>
    <t>Assets</t>
  </si>
  <si>
    <t>Liabilities</t>
  </si>
  <si>
    <t>Stockholder's Equity</t>
  </si>
  <si>
    <t>$T</t>
  </si>
  <si>
    <t>$T / OK!</t>
  </si>
  <si>
    <t>Other Operating Expenses</t>
  </si>
  <si>
    <t>MT</t>
  </si>
  <si>
    <t>$ / MT</t>
  </si>
  <si>
    <t>$ / KG</t>
  </si>
  <si>
    <t>NdPr Realized Price</t>
  </si>
  <si>
    <t>NdPr Sales Volume</t>
  </si>
  <si>
    <t>NdPr Production Volume</t>
  </si>
  <si>
    <t>REO Realized Price</t>
  </si>
  <si>
    <t>REO Sales Volume</t>
  </si>
  <si>
    <t>REO Production Volume</t>
  </si>
  <si>
    <t>% Change</t>
  </si>
  <si>
    <t>Global REO Production</t>
  </si>
  <si>
    <t>China</t>
  </si>
  <si>
    <t>REO Refining Penetration</t>
  </si>
  <si>
    <t>Penetration</t>
  </si>
  <si>
    <t>REO Production</t>
  </si>
  <si>
    <t>REO Refining</t>
  </si>
  <si>
    <t>US</t>
  </si>
  <si>
    <t>Imports</t>
  </si>
  <si>
    <t>% Seperated In House</t>
  </si>
  <si>
    <t>REO Revenue</t>
  </si>
  <si>
    <t>NdPr Revenue</t>
  </si>
  <si>
    <t>Total Revenue</t>
  </si>
  <si>
    <t>% Disrupted</t>
  </si>
  <si>
    <t>MP Capture rate</t>
  </si>
  <si>
    <t>Volume Captured</t>
  </si>
  <si>
    <t>Base</t>
  </si>
  <si>
    <t>Downside</t>
  </si>
  <si>
    <t>Upside</t>
  </si>
  <si>
    <t>Scenario:</t>
  </si>
  <si>
    <t>Terminal Value - Multiples Method:</t>
  </si>
  <si>
    <t>Terminal Value - Perpetuity Growth Method:</t>
  </si>
  <si>
    <t>Median CY 26 TEV / EBITDA of Comps:</t>
  </si>
  <si>
    <t>Expected Long-Term GDP Growth:</t>
  </si>
  <si>
    <t>Median CY 26 TEV / EBITDA of Target:</t>
  </si>
  <si>
    <t>Baseline Terminal EBITDA Multiple:</t>
  </si>
  <si>
    <t>Baseline Terminal FCF Growth Rate:</t>
  </si>
  <si>
    <t>Baseline Terminal Value:</t>
  </si>
  <si>
    <t>Current Equity Value:</t>
  </si>
  <si>
    <t>Implied Terminal FCF Growth Rate:</t>
  </si>
  <si>
    <t>Implied Terminal EBITDA Multiple:</t>
  </si>
  <si>
    <t>(-) Cash &amp; Investments:</t>
  </si>
  <si>
    <t>(-) Net Operating Losses:</t>
  </si>
  <si>
    <t xml:space="preserve">(+) Present Value of Terminal Value: </t>
  </si>
  <si>
    <t>(+) Debt &amp; Finance Leases:</t>
  </si>
  <si>
    <t>(+) Present Value of UFCF:</t>
  </si>
  <si>
    <t>(+) Preferred Stock:</t>
  </si>
  <si>
    <t xml:space="preserve">Implied Enterprise Value: </t>
  </si>
  <si>
    <t>(+) Operating Leases:</t>
  </si>
  <si>
    <t>(+) Noncontrolling Interests:</t>
  </si>
  <si>
    <t>% of implied TEV from Terminal Value:</t>
  </si>
  <si>
    <t>(+) Unfunded Pensions:</t>
  </si>
  <si>
    <t>Current Enterprise Value:</t>
  </si>
  <si>
    <t>(+) Cash and Investments:</t>
  </si>
  <si>
    <t>(+) Net Operating Losses:</t>
  </si>
  <si>
    <t>(-)Debt and Finance Leases:</t>
  </si>
  <si>
    <t>(-)Preferred Stock:</t>
  </si>
  <si>
    <t>(-) Operating Leases:</t>
  </si>
  <si>
    <t>(-) Noncontrolling Interests:</t>
  </si>
  <si>
    <t>(-)Unfunded Pensions:</t>
  </si>
  <si>
    <t xml:space="preserve">Implied Equity Value: </t>
  </si>
  <si>
    <t>Implied Share Price from DCF:</t>
  </si>
  <si>
    <t>Premium / (Discount) to Current:</t>
  </si>
  <si>
    <t>Revenue:</t>
  </si>
  <si>
    <t>Depreciation and amortization:</t>
  </si>
  <si>
    <t xml:space="preserve">Capital Expenditures: </t>
  </si>
  <si>
    <t>EBITDA:</t>
  </si>
  <si>
    <t>Sensitivity Analyses</t>
  </si>
  <si>
    <t>Discount Rate: (WACC)</t>
  </si>
  <si>
    <t>TEV / EBITDA Multiple:</t>
  </si>
  <si>
    <t xml:space="preserve">Terminal FCF Growth Rates: </t>
  </si>
  <si>
    <t>% Global Production</t>
  </si>
  <si>
    <t>Income Statement</t>
  </si>
  <si>
    <t>Cost of sales (including related party)</t>
  </si>
  <si>
    <t>Cost of sales (including related party) % Revenue</t>
  </si>
  <si>
    <t>Other income, net % Revenue</t>
  </si>
  <si>
    <t>Cash:</t>
  </si>
  <si>
    <t>Benchmark Interest Rate:</t>
  </si>
  <si>
    <t>Debt Related Expenses &amp; Principal Payments</t>
  </si>
  <si>
    <t>Principal Payments % Debt</t>
  </si>
  <si>
    <t>% Principal:</t>
  </si>
  <si>
    <t>Debt / Total Capital:</t>
  </si>
  <si>
    <t>CapEx:</t>
  </si>
  <si>
    <t>Property, Plant and Equipment, Net:</t>
  </si>
  <si>
    <t>D&amp;A of Existing Net PP&amp;E and Intangibles:</t>
  </si>
  <si>
    <t>D&amp;A of NEW CapEx &amp; Intangible Purchases:</t>
  </si>
  <si>
    <t>D&amp;A - Existing PP&amp;E and Intangibles, Net:</t>
  </si>
  <si>
    <t>D&amp;A - Year 1 CapEx &amp; Intangible Purchases:</t>
  </si>
  <si>
    <t>D&amp;A - Year 2 CapEx &amp; Intangible Purchases:</t>
  </si>
  <si>
    <t>D&amp;A - Year 3 CapEx &amp; Intangible Purchases:</t>
  </si>
  <si>
    <t>D&amp;A - Year 4 CapEx &amp; Intangible Purchases:</t>
  </si>
  <si>
    <t>D&amp;A - Year 5 CapEx &amp; Intangible Purchases:</t>
  </si>
  <si>
    <t>D&amp;A - Year 6 CapEx &amp; Intangible Purchases:</t>
  </si>
  <si>
    <t>Total Depreciation &amp; Amortisation:</t>
  </si>
  <si>
    <t>CapEx % OpEx (Cash only):</t>
  </si>
  <si>
    <t>Bonds &amp; Notes:</t>
  </si>
  <si>
    <t>Other Investing activities</t>
  </si>
  <si>
    <t>New Issuance</t>
  </si>
  <si>
    <t>Unamortized Discount</t>
  </si>
  <si>
    <t>Unamotized Issuance Costs</t>
  </si>
  <si>
    <t>Reported Long Term Debt (Book)</t>
  </si>
  <si>
    <t>Opening Balance</t>
  </si>
  <si>
    <t>Ending Balance</t>
  </si>
  <si>
    <t>Notes - Interest:</t>
  </si>
  <si>
    <t>Repurchases and settlements, Maturities</t>
  </si>
  <si>
    <t>Note Exchange</t>
  </si>
  <si>
    <t>Inventories</t>
  </si>
  <si>
    <t>Balance Sheet</t>
  </si>
  <si>
    <t>Days Recievables Outstanding</t>
  </si>
  <si>
    <t>Days</t>
  </si>
  <si>
    <t>Days Inventory Outstanding</t>
  </si>
  <si>
    <t>Selling, general and administrative % Revenue</t>
  </si>
  <si>
    <t>Advanced projects, start-up, development and other % Revenue</t>
  </si>
  <si>
    <t>Other operating costs and expenses % Revenue</t>
  </si>
  <si>
    <t>Prepaid expenses and other current assets % COGs</t>
  </si>
  <si>
    <t>Operating lease right-of-use assets % PPE</t>
  </si>
  <si>
    <t>Other non-current assets % Revenue</t>
  </si>
  <si>
    <t>Days Payables Outstanding</t>
  </si>
  <si>
    <t>Accrued liabilities % OpEx</t>
  </si>
  <si>
    <t>Deferred revenue (current) % Revenue</t>
  </si>
  <si>
    <t>Operating lease liabilities % PPE</t>
  </si>
  <si>
    <t>Deferred income taxes % PPE</t>
  </si>
  <si>
    <t>Other non-current liabilities % Revenue</t>
  </si>
  <si>
    <t>Cash Flow Statement</t>
  </si>
  <si>
    <t>Deferred revenue</t>
  </si>
  <si>
    <t>Accounts payable (increase)</t>
  </si>
  <si>
    <t>Accrued liabilities (increase)</t>
  </si>
  <si>
    <t>CapEx (Additions to property, plant and equipment)</t>
  </si>
  <si>
    <t>Stock-based compensation expense % SGA</t>
  </si>
  <si>
    <t>Tax withholding on stock-based awards % SBC Expense</t>
  </si>
  <si>
    <t>Short -term Investments</t>
  </si>
  <si>
    <t>Accretion of discount on short-term investments % Short Term Investments</t>
  </si>
  <si>
    <t>Change in short term investments</t>
  </si>
  <si>
    <t>Change in Long-Term Debt</t>
  </si>
  <si>
    <t>Change in Working Capital</t>
  </si>
  <si>
    <t>Operating Net Working Capital</t>
  </si>
  <si>
    <t>Unlevered Free Cash Flow</t>
  </si>
  <si>
    <t>EBITDA</t>
  </si>
  <si>
    <t>EBITDA Margin</t>
  </si>
  <si>
    <t>Net Operating Profit After Taxes (NOPAT)</t>
  </si>
  <si>
    <t>(-) Taxes, Excluding Effect of Interest</t>
  </si>
  <si>
    <t>Operating Income (EBIT)</t>
  </si>
  <si>
    <t>Operating Expenses</t>
  </si>
  <si>
    <t>Revenue</t>
  </si>
  <si>
    <t>Calendarization:</t>
  </si>
  <si>
    <t>N/A</t>
  </si>
  <si>
    <t>Old Partial</t>
  </si>
  <si>
    <t>New Partial</t>
  </si>
  <si>
    <t>FY</t>
  </si>
  <si>
    <t>LTM</t>
  </si>
  <si>
    <t>LTM Revenue:</t>
  </si>
  <si>
    <t>LTM Reported Net Income:</t>
  </si>
  <si>
    <t>LTM Operating Income (EBIT):</t>
  </si>
  <si>
    <t>(+) Non-Recurring Items in EBIT:</t>
  </si>
  <si>
    <t>(+) Depreciation &amp; Amortization:</t>
  </si>
  <si>
    <t>LTM EBITDA:</t>
  </si>
  <si>
    <t>Balance Sheet Data:</t>
  </si>
  <si>
    <t>(-) Cash &amp; Cash-Equivalents:</t>
  </si>
  <si>
    <t>(-) Equity Investments:</t>
  </si>
  <si>
    <t>(-) Other Non-Core Assets, Net:</t>
  </si>
  <si>
    <t>(+) Debt &amp; Capital Leases:</t>
  </si>
  <si>
    <t>(+) Unfunded Pension Obligations:</t>
  </si>
  <si>
    <t>(+) Restructuring &amp; Other Liabilities:</t>
  </si>
  <si>
    <t>Projected Financials:</t>
  </si>
  <si>
    <t>Reported Net Income:</t>
  </si>
  <si>
    <t>Diluted Shares Calculations:</t>
  </si>
  <si>
    <t>Share Price:</t>
  </si>
  <si>
    <t>Common Shares Outstanding:</t>
  </si>
  <si>
    <t>Options and Warrants:</t>
  </si>
  <si>
    <t>Total</t>
  </si>
  <si>
    <t>Strike</t>
  </si>
  <si>
    <t>Dilution</t>
  </si>
  <si>
    <t>Convertible Bonds:</t>
  </si>
  <si>
    <t>$ Amount</t>
  </si>
  <si>
    <t>Par Value</t>
  </si>
  <si>
    <t>Conv. Price</t>
  </si>
  <si>
    <t># RSUs</t>
  </si>
  <si>
    <t>Restricted Stock Units (RSUs):</t>
  </si>
  <si>
    <t>Total Diluted Shares:</t>
  </si>
  <si>
    <t>Valuation Metrics:</t>
  </si>
  <si>
    <t>Equity Value:</t>
  </si>
  <si>
    <t>Enterprise Value:</t>
  </si>
  <si>
    <t>Levered Beta:</t>
  </si>
  <si>
    <t>Valuation Multiples:</t>
  </si>
  <si>
    <t>EV / Revenue:</t>
  </si>
  <si>
    <t>EV / EBITDA:</t>
  </si>
  <si>
    <t>P / E:</t>
  </si>
  <si>
    <t>Lookup Variables:</t>
  </si>
  <si>
    <t>Year 1 Projected Revenue Growth:</t>
  </si>
  <si>
    <t>Year 1 Projected EBITDA Growth:</t>
  </si>
  <si>
    <t>LTM EBITDA Margin:</t>
  </si>
  <si>
    <t>Corporate Website:</t>
  </si>
  <si>
    <t>LYC</t>
  </si>
  <si>
    <t>Lynas Rare Earths Ltd.</t>
  </si>
  <si>
    <t>`</t>
  </si>
  <si>
    <t>MTRN</t>
  </si>
  <si>
    <t>Materion Corporation</t>
  </si>
  <si>
    <t>AME</t>
  </si>
  <si>
    <t>AMETEK Inc.</t>
  </si>
  <si>
    <t>Enterprise</t>
  </si>
  <si>
    <t>Date</t>
  </si>
  <si>
    <t>Value</t>
  </si>
  <si>
    <t>Price</t>
  </si>
  <si>
    <t>Maximum</t>
  </si>
  <si>
    <t>75th Percentile</t>
  </si>
  <si>
    <t>Median</t>
  </si>
  <si>
    <t>25th Percentile</t>
  </si>
  <si>
    <t>Minimum</t>
  </si>
  <si>
    <t>Comparable Companies - Semiconductor Manufacturing Equipment Provisions and Servicing</t>
  </si>
  <si>
    <t>($ USD in Millions Except Per Share Amounts in USD as Stated)</t>
  </si>
  <si>
    <t>Operating Statistics:</t>
  </si>
  <si>
    <t>Capitalization</t>
  </si>
  <si>
    <t>Projected</t>
  </si>
  <si>
    <t>Share</t>
  </si>
  <si>
    <t>Diluted</t>
  </si>
  <si>
    <t>Equity</t>
  </si>
  <si>
    <t>Other &amp;</t>
  </si>
  <si>
    <t>Net Income</t>
  </si>
  <si>
    <t>Company Name</t>
  </si>
  <si>
    <t>Ticker</t>
  </si>
  <si>
    <t>Shares</t>
  </si>
  <si>
    <t xml:space="preserve">Value </t>
  </si>
  <si>
    <t>Beta</t>
  </si>
  <si>
    <t>Tax Rate</t>
  </si>
  <si>
    <t>Cash</t>
  </si>
  <si>
    <t>Debt</t>
  </si>
  <si>
    <t>Preferred</t>
  </si>
  <si>
    <t>NCI</t>
  </si>
  <si>
    <t>Growth</t>
  </si>
  <si>
    <t>LTM P / E:</t>
  </si>
  <si>
    <t>Valuation Statistics:</t>
  </si>
  <si>
    <t>Enterprise Value /</t>
  </si>
  <si>
    <t>P / E Multiple</t>
  </si>
  <si>
    <t>2025-12-31 P / E:</t>
  </si>
  <si>
    <t>2026-12-31 P / E:</t>
  </si>
  <si>
    <t>2025-12-31 EBITDA:</t>
  </si>
  <si>
    <t>2025-12-31 Reported Net Income:</t>
  </si>
  <si>
    <t>2026-12-31 Reported Net Income:</t>
  </si>
  <si>
    <t>Discount Rate Calculations - Assumptions:</t>
  </si>
  <si>
    <t>Risk-Free Rate:</t>
  </si>
  <si>
    <t>Equity Risk Premium:</t>
  </si>
  <si>
    <t>Pre-Tax Cost of Debt:</t>
  </si>
  <si>
    <t>Cost of Preferred Stock:</t>
  </si>
  <si>
    <t>Comparable Companies - Unlevered Beta Calculation:</t>
  </si>
  <si>
    <t>Levered</t>
  </si>
  <si>
    <t>Unlevered</t>
  </si>
  <si>
    <t>% Debt</t>
  </si>
  <si>
    <t>Stock</t>
  </si>
  <si>
    <t>% Preferred</t>
  </si>
  <si>
    <t>% Equity</t>
  </si>
  <si>
    <t>Median:</t>
  </si>
  <si>
    <t>Current Capital Structure:</t>
  </si>
  <si>
    <t>"Optimal" Capital Structure:</t>
  </si>
  <si>
    <t>Cost of Equity Based on Comparables, Current Capital Structure:</t>
  </si>
  <si>
    <t>Cost of Equity Based on Comparables, "Optimal" Capital Structure:</t>
  </si>
  <si>
    <t>Cost of Equity Based on Historical Beta:</t>
  </si>
  <si>
    <t>WACC, Current Capital Structure:</t>
  </si>
  <si>
    <t>WACC, "Optimal" Capital Structure:</t>
  </si>
  <si>
    <t>WACC, Current Capital Structure and Historical Cost of Equity:</t>
  </si>
  <si>
    <t>Average WACC Produced by All Methods:</t>
  </si>
  <si>
    <t>Range of Valuation Multiples / Premiums</t>
  </si>
  <si>
    <t>Implied Per-Share Value Range</t>
  </si>
  <si>
    <t>75th</t>
  </si>
  <si>
    <t>25th</t>
  </si>
  <si>
    <t>Applicable</t>
  </si>
  <si>
    <t>Percentile</t>
  </si>
  <si>
    <t>Company</t>
  </si>
  <si>
    <t>Methodology Name</t>
  </si>
  <si>
    <t>Multiple</t>
  </si>
  <si>
    <t>Figure</t>
  </si>
  <si>
    <t>Public Company Comparables:</t>
  </si>
  <si>
    <t>LTM TEV / Revenue:</t>
  </si>
  <si>
    <t>LTM TEV / EBITDA:</t>
  </si>
  <si>
    <t>Discounted Cash Flow Analysis:</t>
  </si>
  <si>
    <t>(9.9% - 11.9% WACC, 5.5% - 8.5% Free Cash Flow Growth Rate</t>
  </si>
  <si>
    <t>Implied Enterprise Value:</t>
  </si>
  <si>
    <t>Enterprise Value --&gt;</t>
  </si>
  <si>
    <t>Equity Value --&gt;</t>
  </si>
  <si>
    <t>Min</t>
  </si>
  <si>
    <t>Max</t>
  </si>
  <si>
    <t>Min Point</t>
  </si>
  <si>
    <t>25th Point</t>
  </si>
  <si>
    <t>Median Point</t>
  </si>
  <si>
    <t>75th Point</t>
  </si>
  <si>
    <t>Max Point</t>
  </si>
  <si>
    <t>Current Share Price</t>
  </si>
  <si>
    <t>sigma lithium</t>
  </si>
  <si>
    <t>lloyds metals and energy  ltd</t>
  </si>
  <si>
    <t>pilbaa minerals ltd</t>
  </si>
  <si>
    <t>Year</t>
  </si>
  <si>
    <t>Current Region Selected:</t>
  </si>
  <si>
    <t>Status:</t>
  </si>
  <si>
    <t>Rev. Multiples:</t>
  </si>
  <si>
    <t>EBITDA Multiples:</t>
  </si>
  <si>
    <t>Data for Graphs (Sorted by revenue growth in ascending order):</t>
  </si>
  <si>
    <t>Revenue Growth:</t>
  </si>
  <si>
    <t>EBITDA Growth:</t>
  </si>
  <si>
    <t>Year 2 Rev. Multiple:</t>
  </si>
  <si>
    <t>Year 2 EBITDA Multiple:</t>
  </si>
  <si>
    <t>Share Price</t>
  </si>
  <si>
    <t>Volume</t>
  </si>
  <si>
    <t>CAGR:</t>
  </si>
  <si>
    <t>Segment-Level Statistics:</t>
  </si>
  <si>
    <t>Segment</t>
  </si>
  <si>
    <t>% Sales Growth:</t>
  </si>
  <si>
    <t>Company-Wide:</t>
  </si>
  <si>
    <t>Revenue Growth</t>
  </si>
  <si>
    <t>Gross Profit</t>
  </si>
  <si>
    <t>Profit Margin</t>
  </si>
  <si>
    <t>Net income</t>
  </si>
  <si>
    <t>Net income per share: Diluted</t>
  </si>
  <si>
    <t>$ as Stated</t>
  </si>
  <si>
    <t>% Revenue:</t>
  </si>
  <si>
    <t>Net cash provided by (used for) investing activities</t>
  </si>
  <si>
    <t>Net cash used for financing activities</t>
  </si>
  <si>
    <t>Total Assets</t>
  </si>
  <si>
    <t>Long-Term Debt</t>
  </si>
  <si>
    <t>EBITDA Margin:</t>
  </si>
  <si>
    <t>Summary of Valuation Multiples:</t>
  </si>
  <si>
    <t>EV / Revenue - Comparables:</t>
  </si>
  <si>
    <t>x</t>
  </si>
  <si>
    <t>Projected Revenue Growth - Comparables:</t>
  </si>
  <si>
    <t>EV / EBITDA - Comparables:</t>
  </si>
  <si>
    <t>Projected EBITDA Growth - Comparables:</t>
  </si>
  <si>
    <t>P / E - Comparables:</t>
  </si>
  <si>
    <t>% change</t>
  </si>
  <si>
    <t>Capital expenditures</t>
  </si>
  <si>
    <t>NdFeB magnet production volume</t>
  </si>
  <si>
    <t>NdFeB magnet sales volume</t>
  </si>
  <si>
    <t>NdFeB magnet realized price</t>
  </si>
  <si>
    <t>NdFeB Revenue</t>
  </si>
  <si>
    <t>Model Name:</t>
  </si>
  <si>
    <t>Author:</t>
  </si>
  <si>
    <t>Glenn Rentrop</t>
  </si>
  <si>
    <t>File Name:</t>
  </si>
  <si>
    <t>Analysis Date:</t>
  </si>
  <si>
    <t>Navigation, Summary, or Graph Worksheet:</t>
  </si>
  <si>
    <t>Financial Model Worksheet:</t>
  </si>
  <si>
    <t>Data and Back-End Calculation Worksheet:</t>
  </si>
  <si>
    <t>Sheet Name</t>
  </si>
  <si>
    <t>Link to Sheet</t>
  </si>
  <si>
    <t>Model and Valuation Summary</t>
  </si>
  <si>
    <t>Summary</t>
  </si>
  <si>
    <t>Graphs and Dashboard</t>
  </si>
  <si>
    <t>Graphs</t>
  </si>
  <si>
    <t>Operating Scenarios and 3-Statement Model</t>
  </si>
  <si>
    <t>Model</t>
  </si>
  <si>
    <t>Discounted Cash Flow Analysis and Sensitivities</t>
  </si>
  <si>
    <t>DCF</t>
  </si>
  <si>
    <t>Weighted Average Cost of Capital (WACC) Calculations</t>
  </si>
  <si>
    <t>WACC</t>
  </si>
  <si>
    <t>Valuation Summary - Back-End Calculations</t>
  </si>
  <si>
    <t>ValSum</t>
  </si>
  <si>
    <t>Valuation "Football Field" Chart</t>
  </si>
  <si>
    <t>ValGraph</t>
  </si>
  <si>
    <t>Comparable Public Companies - Output</t>
  </si>
  <si>
    <t>PubComps</t>
  </si>
  <si>
    <t>Comparable Public Companies - Data and Calculations</t>
  </si>
  <si>
    <t>Operating Model and Valuation (6-Year Forecast)</t>
  </si>
  <si>
    <t>PubComps_Data</t>
  </si>
  <si>
    <t>Scenario analysis, revenue drivers, debt schedule, D&amp;A</t>
  </si>
  <si>
    <t>Drivers</t>
  </si>
  <si>
    <t>Cover</t>
  </si>
  <si>
    <t>Exit Multiple</t>
  </si>
  <si>
    <t>Premium Case:</t>
  </si>
  <si>
    <t>Premium Uplift:</t>
  </si>
  <si>
    <t>Fair Value / Share</t>
  </si>
  <si>
    <t>Premium Case</t>
  </si>
  <si>
    <t>No Premium</t>
  </si>
  <si>
    <t>Terminal Value - Multiples Method</t>
  </si>
  <si>
    <t>Terminal Value - Perpetuity Growth Method</t>
  </si>
  <si>
    <t>Terminal FCF Growth Rate</t>
  </si>
  <si>
    <r>
      <t>Shares Outstanding (</t>
    </r>
    <r>
      <rPr>
        <i/>
        <sz val="12"/>
        <rFont val="Aptos Narrow"/>
        <family val="2"/>
        <scheme val="minor"/>
      </rPr>
      <t>M</t>
    </r>
    <r>
      <rPr>
        <sz val="12"/>
        <rFont val="Aptos Narrow"/>
        <family val="2"/>
        <scheme val="minor"/>
      </rPr>
      <t>)</t>
    </r>
  </si>
  <si>
    <t xml:space="preserve">Current Price: </t>
  </si>
  <si>
    <t>China Northern Rare Earth High-Tech Co, Ltd.</t>
  </si>
  <si>
    <t>ALK.AX</t>
  </si>
  <si>
    <t>Alkane Resources Ltd.</t>
  </si>
  <si>
    <t>06/31/2024</t>
  </si>
  <si>
    <t>TDK Corporation</t>
  </si>
  <si>
    <t>MP Materials | Rare Earth Materials &amp; Magnetics Producer</t>
  </si>
  <si>
    <t>Home - Lynas Rare Earths</t>
  </si>
  <si>
    <t>reht.com/index</t>
  </si>
  <si>
    <t>Alkane Resources: Gold exploration and production</t>
  </si>
  <si>
    <t>Materion | Advanced Materials Solutions to Drive Innovation</t>
  </si>
  <si>
    <t>AMETEK</t>
  </si>
  <si>
    <t>TDK Corporation | TDK</t>
  </si>
  <si>
    <t>EV/Revenue</t>
  </si>
  <si>
    <t>EV/EBITDA</t>
  </si>
  <si>
    <t>Price / Earnings</t>
  </si>
  <si>
    <t>Valuation Multiples (Base Case + Premium)</t>
  </si>
  <si>
    <t xml:space="preserve">MP  Materials Corp. </t>
  </si>
  <si>
    <t>EV / EBITDA</t>
  </si>
  <si>
    <t>Median (Peers Only)</t>
  </si>
  <si>
    <t>MP Materials Corp. - DCF</t>
  </si>
  <si>
    <t>15x , 18x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</si>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</sst>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FY&quot;\ yy"/>
    <numFmt numFmtId="165" formatCode="_(* #,##0.0_);_(* \(#,##0.0\);_(* &quot;-&quot;?_);_(@_)"/>
    <numFmt numFmtId="166" formatCode="_([$$-409]* #,##0.00_);_([$$-409]* \(#,##0.00\);_([$$-409]* &quot;-&quot;??_);_(@_)"/>
    <numFmt numFmtId="167" formatCode="_(* #,##0_);_(* \(#,##0\);_(* &quot;-&quot;???_);_(@_)"/>
    <numFmt numFmtId="168" formatCode="0.0%;\(0.0%\)"/>
    <numFmt numFmtId="169" formatCode="_(#,##0.00%_);\(#,##0.00%\);_(&quot;–&quot;_)_%;_(@_)_%"/>
    <numFmt numFmtId="170" formatCode="_(* #,##0_);_(* \(#,##0\);_(* &quot;-&quot;????_);_(@_)"/>
    <numFmt numFmtId="171" formatCode="yyyy\-mm\-dd"/>
    <numFmt numFmtId="172" formatCode="#,##0_);\(#,##0\);&quot;OK!&quot;;&quot;Error&quot;"/>
    <numFmt numFmtId="173" formatCode="_(0.0\ \x_);\(0.0\ \x\);_(&quot;–&quot;_);_(@_)"/>
    <numFmt numFmtId="174" formatCode="0.0%"/>
    <numFmt numFmtId="175" formatCode="_(&quot;$&quot;* #,##0.0_);_(&quot;$&quot;* \(#,##0.0\);_(&quot;$&quot;* &quot;-&quot;?_);_(@_)"/>
    <numFmt numFmtId="176" formatCode="0.0\ \x"/>
    <numFmt numFmtId="177" formatCode="_(&quot;$&quot;* #,##0_);_(&quot;$&quot;* \(#,##0\);_(&quot;$&quot;* &quot;-&quot;?_);_(@_)"/>
    <numFmt numFmtId="178" formatCode="0.00%;\(0.00%\)"/>
    <numFmt numFmtId="179" formatCode="_([$$-409]* #,##0_);_([$$-409]* \(#,##0\);_([$$-409]* &quot;-&quot;??_);_(@_)"/>
    <numFmt numFmtId="180" formatCode="_(0.0%_);\(0.0%\);_(&quot;–&quot;_);_(@_)"/>
    <numFmt numFmtId="181" formatCode="_(* #,##0_);_(* \(#,##0\);_(* &quot;-&quot;?_);_(@_)"/>
    <numFmt numFmtId="182" formatCode="_(* #,##0.0_);_(* \(#,##0.0\);_(* &quot;-&quot;_);_(@_)"/>
    <numFmt numFmtId="183" formatCode="_(&quot;$&quot;* #,##0.00_);_(&quot;$&quot;* \(#,##0.00\);_(&quot;$&quot;* &quot;-&quot;?_);_(@_)"/>
    <numFmt numFmtId="184" formatCode="0.0%_);\(0.0%\);\-_%_);@_)"/>
    <numFmt numFmtId="185" formatCode="0.0\ \x;\(0.0\ \x\)"/>
    <numFmt numFmtId="186" formatCode="&quot;B + &quot;\ ##"/>
    <numFmt numFmtId="187" formatCode="0.0%;\(0.0%\);&quot;–&quot;;@"/>
    <numFmt numFmtId="188" formatCode="&quot;Yes&quot;;&quot;ERROR&quot;;&quot;No&quot;;&quot;ERROR&quot;"/>
    <numFmt numFmtId="189" formatCode="_(#,##0.0%_);\(#,##0.0%\);_(&quot;–&quot;_)_%;_(@_)_%"/>
    <numFmt numFmtId="190" formatCode="0.00%;\(0.00%\);&quot;–&quot;;@"/>
    <numFmt numFmtId="191" formatCode="_(0.0%_);\(0.0%\);_(&quot;–&quot;_)_%;_(@_)_%"/>
    <numFmt numFmtId="192" formatCode="#,##0.000"/>
    <numFmt numFmtId="193" formatCode="0.0\ \x;[Red]\ 0.0\ \x"/>
    <numFmt numFmtId="194" formatCode="&quot;FY&quot;yy"/>
    <numFmt numFmtId="195" formatCode="_(* #,##0.00_);_(* \(#,##0.00\);_(* &quot;-&quot;_);_(@_)"/>
    <numFmt numFmtId="196" formatCode="_(&quot;$&quot;* #,##0.0_);_(&quot;$&quot;* \(#,##0.0\);_(&quot;$&quot;* &quot;-&quot;??_);_(@_)"/>
    <numFmt numFmtId="197" formatCode="_(* #,##0.0_);_(* \(#,##0.0\);_(* &quot;-&quot;??_);_(@_)"/>
    <numFmt numFmtId="198" formatCode="_(&quot;$&quot;* #,##0.00_);_(&quot;$&quot;* \(#,##0.00\);_(&quot;$&quot;* &quot;-&quot;_);_(@_)"/>
    <numFmt numFmtId="199" formatCode="_(0.00%_);\(0.00%\);_(&quot;–&quot;_)_%;_(@_)_%"/>
    <numFmt numFmtId="200" formatCode="_(#,##0.00_);\(#,##0.00\);_(&quot;–&quot;_);_(@_)"/>
    <numFmt numFmtId="201" formatCode="_(#,##0.00_)_%;\(#,##0.00\)_%;_(&quot;–&quot;_)_%;_(@_)_%"/>
    <numFmt numFmtId="202" formatCode="_(#,##0_)_%;\(#,##0\)_%;_(&quot;–&quot;_)_%;_(@_)_%"/>
    <numFmt numFmtId="203" formatCode="_(* #,##0.00_);_(* \(#,##0.00\);_(* &quot;-&quot;???_);_(@_)"/>
    <numFmt numFmtId="204" formatCode="m/d/yy;@"/>
    <numFmt numFmtId="205" formatCode="_(&quot;$&quot;* #,##0_);_(&quot;$&quot;* \(#,##0\);_(&quot;$&quot;* &quot;-&quot;??_);_(@_)"/>
  </numFmts>
  <fonts count="7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i/>
      <sz val="12"/>
      <name val="Aptos Narrow"/>
      <family val="2"/>
      <scheme val="minor"/>
    </font>
    <font>
      <sz val="12"/>
      <color rgb="FF0000FF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theme="9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00B050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0"/>
      <name val="Arial"/>
      <family val="2"/>
    </font>
    <font>
      <b/>
      <sz val="12"/>
      <color theme="0"/>
      <name val="Aptos Narrow"/>
      <family val="2"/>
    </font>
    <font>
      <b/>
      <i/>
      <sz val="12"/>
      <color rgb="FF0000FF"/>
      <name val="Aptos Narrow"/>
      <family val="2"/>
      <scheme val="minor"/>
    </font>
    <font>
      <b/>
      <i/>
      <sz val="12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trike/>
      <sz val="12"/>
      <color theme="1"/>
      <name val="Aptos Narrow"/>
      <family val="2"/>
      <scheme val="minor"/>
    </font>
    <font>
      <b/>
      <sz val="12"/>
      <color rgb="FF0000FF"/>
      <name val="Aptos Narrow"/>
      <family val="2"/>
      <scheme val="minor"/>
    </font>
    <font>
      <sz val="11"/>
      <color rgb="FF0000FF"/>
      <name val="Aptos Narrow"/>
      <family val="2"/>
      <scheme val="minor"/>
    </font>
    <font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u/>
      <sz val="12"/>
      <color indexed="9"/>
      <name val="Aptos Narrow"/>
      <family val="2"/>
      <scheme val="minor"/>
    </font>
    <font>
      <u/>
      <sz val="12"/>
      <color indexed="9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 tint="-4.9989318521683403E-2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theme="1"/>
      <name val="Calibri"/>
      <family val="2"/>
    </font>
    <font>
      <u/>
      <sz val="12"/>
      <color theme="10"/>
      <name val="Calibri"/>
      <family val="2"/>
    </font>
    <font>
      <sz val="12"/>
      <color indexed="9"/>
      <name val="Aptos Narrow"/>
      <family val="2"/>
      <scheme val="minor"/>
    </font>
    <font>
      <sz val="8"/>
      <color indexed="8"/>
      <name val="Arial"/>
      <family val="2"/>
    </font>
    <font>
      <sz val="12"/>
      <color rgb="FF000000"/>
      <name val="Calibri"/>
      <family val="2"/>
    </font>
    <font>
      <sz val="11"/>
      <name val="Aptos Narrow"/>
      <family val="2"/>
      <scheme val="minor"/>
    </font>
    <font>
      <sz val="7"/>
      <color rgb="FF232A31"/>
      <name val="Arial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FFFFFF"/>
      <name val="Calibri"/>
      <family val="2"/>
    </font>
    <font>
      <sz val="12"/>
      <color rgb="FFFFFFFF"/>
      <name val="Calibri"/>
      <family val="2"/>
    </font>
    <font>
      <sz val="12"/>
      <color rgb="FF0000FF"/>
      <name val="Calibri"/>
      <family val="2"/>
    </font>
    <font>
      <sz val="12"/>
      <color rgb="FFFF0000"/>
      <name val="Calibri"/>
      <family val="2"/>
    </font>
    <font>
      <sz val="12"/>
      <color rgb="FF00B050"/>
      <name val="Calibri"/>
      <family val="2"/>
    </font>
    <font>
      <sz val="12"/>
      <color rgb="FF232A31"/>
      <name val="Aptos Narrow"/>
      <family val="2"/>
      <scheme val="minor"/>
    </font>
    <font>
      <i/>
      <sz val="12"/>
      <color theme="0"/>
      <name val="Aptos Narrow"/>
      <family val="2"/>
      <scheme val="minor"/>
    </font>
    <font>
      <i/>
      <sz val="12"/>
      <color rgb="FF000000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i/>
      <sz val="12"/>
      <color rgb="FF00B050"/>
      <name val="Aptos Narrow"/>
      <family val="2"/>
      <scheme val="minor"/>
    </font>
    <font>
      <b/>
      <i/>
      <sz val="12"/>
      <color rgb="FF00B050"/>
      <name val="Aptos Narrow"/>
      <family val="2"/>
      <scheme val="minor"/>
    </font>
    <font>
      <sz val="12"/>
      <color theme="7"/>
      <name val="Aptos Narrow"/>
      <family val="2"/>
      <scheme val="minor"/>
    </font>
    <font>
      <sz val="12"/>
      <color rgb="FFFFFF0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16"/>
      <color theme="1"/>
      <name val="Aptos Narrow"/>
      <family val="2"/>
      <scheme val="minor"/>
    </font>
    <font>
      <i/>
      <sz val="16"/>
      <color theme="1"/>
      <name val="Aptos Narrow"/>
      <family val="2"/>
      <scheme val="minor"/>
    </font>
    <font>
      <sz val="16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color rgb="FF00B050"/>
      <name val="Aptos Narrow"/>
      <family val="2"/>
      <scheme val="minor"/>
    </font>
    <font>
      <sz val="16"/>
      <color rgb="FF0000FF"/>
      <name val="Aptos Narrow"/>
      <family val="2"/>
      <scheme val="minor"/>
    </font>
    <font>
      <sz val="16"/>
      <color rgb="FF000000"/>
      <name val="Aptos Narrow"/>
      <family val="2"/>
      <scheme val="minor"/>
    </font>
    <font>
      <i/>
      <sz val="16"/>
      <name val="Aptos Narrow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93F595"/>
        <bgColor indexed="64"/>
      </patternFill>
    </fill>
    <fill>
      <patternFill patternType="solid">
        <fgColor theme="3" tint="0.89999084444715716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4" fillId="0" borderId="0"/>
    <xf numFmtId="0" fontId="20" fillId="0" borderId="0"/>
    <xf numFmtId="0" fontId="29" fillId="0" borderId="0" applyNumberFormat="0" applyFill="0" applyBorder="0" applyAlignment="0" applyProtection="0"/>
    <xf numFmtId="0" fontId="1" fillId="0" borderId="0"/>
    <xf numFmtId="0" fontId="41" fillId="0" borderId="0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</cellStyleXfs>
  <cellXfs count="696">
    <xf numFmtId="0" fontId="0" fillId="0" borderId="0" xfId="0"/>
    <xf numFmtId="0" fontId="4" fillId="0" borderId="0" xfId="0" applyFont="1"/>
    <xf numFmtId="3" fontId="4" fillId="0" borderId="0" xfId="0" applyNumberFormat="1" applyFont="1"/>
    <xf numFmtId="41" fontId="4" fillId="0" borderId="0" xfId="0" applyNumberFormat="1" applyFont="1"/>
    <xf numFmtId="0" fontId="5" fillId="0" borderId="0" xfId="0" applyFont="1"/>
    <xf numFmtId="41" fontId="5" fillId="0" borderId="0" xfId="0" applyNumberFormat="1" applyFont="1"/>
    <xf numFmtId="41" fontId="0" fillId="0" borderId="0" xfId="0" applyNumberFormat="1"/>
    <xf numFmtId="0" fontId="4" fillId="0" borderId="0" xfId="0" applyFont="1" applyAlignment="1">
      <alignment horizontal="left" indent="1"/>
    </xf>
    <xf numFmtId="0" fontId="4" fillId="0" borderId="2" xfId="0" applyFont="1" applyBorder="1" applyAlignment="1">
      <alignment horizontal="left" indent="1"/>
    </xf>
    <xf numFmtId="41" fontId="4" fillId="0" borderId="2" xfId="0" applyNumberFormat="1" applyFont="1" applyBorder="1"/>
    <xf numFmtId="42" fontId="5" fillId="0" borderId="0" xfId="0" applyNumberFormat="1" applyFont="1"/>
    <xf numFmtId="0" fontId="4" fillId="0" borderId="0" xfId="0" applyFont="1" applyAlignment="1">
      <alignment horizontal="left"/>
    </xf>
    <xf numFmtId="0" fontId="4" fillId="3" borderId="0" xfId="0" applyFont="1" applyFill="1"/>
    <xf numFmtId="0" fontId="4" fillId="3" borderId="3" xfId="0" applyFont="1" applyFill="1" applyBorder="1"/>
    <xf numFmtId="0" fontId="6" fillId="3" borderId="3" xfId="0" applyFont="1" applyFill="1" applyBorder="1"/>
    <xf numFmtId="0" fontId="4" fillId="3" borderId="4" xfId="0" applyFont="1" applyFill="1" applyBorder="1"/>
    <xf numFmtId="0" fontId="6" fillId="3" borderId="0" xfId="0" applyFont="1" applyFill="1"/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right"/>
    </xf>
    <xf numFmtId="164" fontId="6" fillId="3" borderId="0" xfId="0" applyNumberFormat="1" applyFont="1" applyFill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0" fontId="7" fillId="0" borderId="0" xfId="3" applyFont="1"/>
    <xf numFmtId="0" fontId="9" fillId="0" borderId="0" xfId="0" applyFont="1"/>
    <xf numFmtId="0" fontId="10" fillId="0" borderId="0" xfId="0" applyFont="1"/>
    <xf numFmtId="165" fontId="10" fillId="0" borderId="0" xfId="0" applyNumberFormat="1" applyFont="1"/>
    <xf numFmtId="0" fontId="11" fillId="0" borderId="0" xfId="3" applyFont="1"/>
    <xf numFmtId="171" fontId="8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3" borderId="6" xfId="0" applyNumberFormat="1" applyFont="1" applyFill="1" applyBorder="1" applyAlignment="1">
      <alignment horizontal="center"/>
    </xf>
    <xf numFmtId="164" fontId="6" fillId="3" borderId="7" xfId="0" applyNumberFormat="1" applyFont="1" applyFill="1" applyBorder="1" applyAlignment="1">
      <alignment horizontal="center"/>
    </xf>
    <xf numFmtId="14" fontId="8" fillId="0" borderId="0" xfId="0" applyNumberFormat="1" applyFont="1" applyAlignment="1">
      <alignment horizontal="center"/>
    </xf>
    <xf numFmtId="0" fontId="3" fillId="0" borderId="0" xfId="0" applyFont="1"/>
    <xf numFmtId="0" fontId="0" fillId="4" borderId="0" xfId="0" applyFill="1"/>
    <xf numFmtId="0" fontId="2" fillId="4" borderId="0" xfId="0" applyFont="1" applyFill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9" fontId="4" fillId="0" borderId="0" xfId="1" applyFont="1"/>
    <xf numFmtId="0" fontId="18" fillId="0" borderId="0" xfId="0" applyFont="1" applyAlignment="1">
      <alignment horizontal="left" indent="1"/>
    </xf>
    <xf numFmtId="41" fontId="4" fillId="5" borderId="0" xfId="0" applyNumberFormat="1" applyFont="1" applyFill="1"/>
    <xf numFmtId="9" fontId="4" fillId="0" borderId="0" xfId="0" applyNumberFormat="1" applyFont="1"/>
    <xf numFmtId="0" fontId="4" fillId="0" borderId="0" xfId="0" applyFont="1" applyAlignment="1">
      <alignment horizontal="left" indent="2"/>
    </xf>
    <xf numFmtId="0" fontId="18" fillId="0" borderId="0" xfId="0" applyFont="1" applyAlignment="1">
      <alignment horizontal="left" indent="2"/>
    </xf>
    <xf numFmtId="9" fontId="18" fillId="0" borderId="0" xfId="1" applyFont="1"/>
    <xf numFmtId="9" fontId="18" fillId="0" borderId="0" xfId="0" applyNumberFormat="1" applyFont="1"/>
    <xf numFmtId="41" fontId="18" fillId="0" borderId="0" xfId="0" applyNumberFormat="1" applyFont="1"/>
    <xf numFmtId="41" fontId="10" fillId="0" borderId="0" xfId="0" applyNumberFormat="1" applyFont="1"/>
    <xf numFmtId="0" fontId="5" fillId="0" borderId="0" xfId="0" applyFont="1" applyAlignment="1">
      <alignment horizontal="left"/>
    </xf>
    <xf numFmtId="9" fontId="18" fillId="0" borderId="0" xfId="1" applyFont="1" applyBorder="1"/>
    <xf numFmtId="0" fontId="6" fillId="0" borderId="0" xfId="0" applyFont="1"/>
    <xf numFmtId="41" fontId="5" fillId="5" borderId="0" xfId="0" applyNumberFormat="1" applyFont="1" applyFill="1"/>
    <xf numFmtId="9" fontId="18" fillId="5" borderId="0" xfId="1" applyFont="1" applyFill="1"/>
    <xf numFmtId="0" fontId="6" fillId="0" borderId="0" xfId="0" applyFont="1" applyAlignment="1">
      <alignment horizontal="left" indent="1"/>
    </xf>
    <xf numFmtId="0" fontId="19" fillId="0" borderId="0" xfId="0" applyFont="1"/>
    <xf numFmtId="0" fontId="5" fillId="6" borderId="2" xfId="0" applyFont="1" applyFill="1" applyBorder="1"/>
    <xf numFmtId="166" fontId="11" fillId="0" borderId="0" xfId="3" applyNumberFormat="1" applyFont="1"/>
    <xf numFmtId="173" fontId="12" fillId="0" borderId="0" xfId="0" applyNumberFormat="1" applyFont="1" applyAlignment="1">
      <alignment horizontal="center"/>
    </xf>
    <xf numFmtId="173" fontId="11" fillId="0" borderId="0" xfId="3" applyNumberFormat="1" applyFont="1"/>
    <xf numFmtId="175" fontId="19" fillId="0" borderId="0" xfId="3" applyNumberFormat="1" applyFont="1"/>
    <xf numFmtId="174" fontId="12" fillId="0" borderId="0" xfId="0" applyNumberFormat="1" applyFont="1" applyAlignment="1">
      <alignment horizontal="center"/>
    </xf>
    <xf numFmtId="176" fontId="8" fillId="0" borderId="0" xfId="3" applyNumberFormat="1" applyFont="1" applyAlignment="1">
      <alignment horizontal="center"/>
    </xf>
    <xf numFmtId="168" fontId="8" fillId="0" borderId="0" xfId="2" applyNumberFormat="1" applyFont="1" applyFill="1" applyBorder="1" applyAlignment="1">
      <alignment horizontal="center"/>
    </xf>
    <xf numFmtId="169" fontId="12" fillId="0" borderId="0" xfId="0" applyNumberFormat="1" applyFont="1"/>
    <xf numFmtId="177" fontId="4" fillId="0" borderId="0" xfId="0" applyNumberFormat="1" applyFont="1"/>
    <xf numFmtId="177" fontId="9" fillId="0" borderId="0" xfId="0" applyNumberFormat="1" applyFont="1"/>
    <xf numFmtId="0" fontId="19" fillId="6" borderId="0" xfId="3" applyFont="1" applyFill="1"/>
    <xf numFmtId="0" fontId="4" fillId="6" borderId="0" xfId="0" applyFont="1" applyFill="1"/>
    <xf numFmtId="0" fontId="7" fillId="6" borderId="0" xfId="3" applyFont="1" applyFill="1"/>
    <xf numFmtId="42" fontId="19" fillId="6" borderId="0" xfId="0" applyNumberFormat="1" applyFont="1" applyFill="1"/>
    <xf numFmtId="178" fontId="9" fillId="0" borderId="0" xfId="4" applyNumberFormat="1" applyFont="1" applyAlignment="1">
      <alignment horizontal="center"/>
    </xf>
    <xf numFmtId="176" fontId="11" fillId="0" borderId="0" xfId="3" applyNumberFormat="1" applyFont="1"/>
    <xf numFmtId="0" fontId="11" fillId="0" borderId="0" xfId="3" applyFont="1" applyAlignment="1">
      <alignment horizontal="left" indent="1"/>
    </xf>
    <xf numFmtId="179" fontId="11" fillId="0" borderId="0" xfId="3" applyNumberFormat="1" applyFont="1"/>
    <xf numFmtId="6" fontId="11" fillId="0" borderId="0" xfId="3" applyNumberFormat="1" applyFont="1"/>
    <xf numFmtId="0" fontId="11" fillId="0" borderId="2" xfId="3" applyFont="1" applyBorder="1" applyAlignment="1">
      <alignment horizontal="left" indent="1"/>
    </xf>
    <xf numFmtId="0" fontId="11" fillId="0" borderId="2" xfId="3" applyFont="1" applyBorder="1"/>
    <xf numFmtId="179" fontId="11" fillId="0" borderId="2" xfId="3" applyNumberFormat="1" applyFont="1" applyBorder="1"/>
    <xf numFmtId="0" fontId="19" fillId="6" borderId="0" xfId="3" applyFont="1" applyFill="1" applyAlignment="1">
      <alignment horizontal="left"/>
    </xf>
    <xf numFmtId="0" fontId="11" fillId="6" borderId="0" xfId="3" applyFont="1" applyFill="1"/>
    <xf numFmtId="179" fontId="5" fillId="6" borderId="0" xfId="0" applyNumberFormat="1" applyFont="1" applyFill="1"/>
    <xf numFmtId="165" fontId="4" fillId="0" borderId="0" xfId="0" applyNumberFormat="1" applyFont="1"/>
    <xf numFmtId="0" fontId="7" fillId="0" borderId="0" xfId="3" applyFont="1" applyAlignment="1">
      <alignment horizontal="left" indent="1"/>
    </xf>
    <xf numFmtId="180" fontId="7" fillId="0" borderId="0" xfId="3" applyNumberFormat="1" applyFont="1"/>
    <xf numFmtId="0" fontId="19" fillId="6" borderId="8" xfId="3" applyFont="1" applyFill="1" applyBorder="1"/>
    <xf numFmtId="42" fontId="19" fillId="6" borderId="8" xfId="3" applyNumberFormat="1" applyFont="1" applyFill="1" applyBorder="1"/>
    <xf numFmtId="0" fontId="11" fillId="0" borderId="0" xfId="3" applyFont="1" applyAlignment="1">
      <alignment horizontal="left"/>
    </xf>
    <xf numFmtId="165" fontId="11" fillId="0" borderId="0" xfId="3" applyNumberFormat="1" applyFont="1"/>
    <xf numFmtId="0" fontId="19" fillId="6" borderId="2" xfId="3" applyFont="1" applyFill="1" applyBorder="1" applyAlignment="1">
      <alignment horizontal="left"/>
    </xf>
    <xf numFmtId="0" fontId="11" fillId="6" borderId="2" xfId="3" applyFont="1" applyFill="1" applyBorder="1"/>
    <xf numFmtId="179" fontId="5" fillId="6" borderId="2" xfId="0" applyNumberFormat="1" applyFont="1" applyFill="1" applyBorder="1"/>
    <xf numFmtId="0" fontId="19" fillId="0" borderId="0" xfId="3" applyFont="1" applyAlignment="1">
      <alignment horizontal="left"/>
    </xf>
    <xf numFmtId="166" fontId="5" fillId="0" borderId="0" xfId="0" applyNumberFormat="1" applyFont="1"/>
    <xf numFmtId="182" fontId="4" fillId="0" borderId="0" xfId="0" applyNumberFormat="1" applyFont="1"/>
    <xf numFmtId="0" fontId="19" fillId="7" borderId="9" xfId="3" applyFont="1" applyFill="1" applyBorder="1"/>
    <xf numFmtId="0" fontId="19" fillId="7" borderId="8" xfId="3" applyFont="1" applyFill="1" applyBorder="1"/>
    <xf numFmtId="183" fontId="5" fillId="7" borderId="10" xfId="0" applyNumberFormat="1" applyFont="1" applyFill="1" applyBorder="1"/>
    <xf numFmtId="0" fontId="19" fillId="7" borderId="11" xfId="3" applyFont="1" applyFill="1" applyBorder="1"/>
    <xf numFmtId="0" fontId="19" fillId="7" borderId="2" xfId="3" applyFont="1" applyFill="1" applyBorder="1"/>
    <xf numFmtId="174" fontId="5" fillId="7" borderId="12" xfId="0" applyNumberFormat="1" applyFont="1" applyFill="1" applyBorder="1"/>
    <xf numFmtId="42" fontId="4" fillId="0" borderId="0" xfId="0" applyNumberFormat="1" applyFont="1"/>
    <xf numFmtId="0" fontId="13" fillId="0" borderId="0" xfId="0" applyFont="1" applyAlignment="1">
      <alignment horizontal="center"/>
    </xf>
    <xf numFmtId="0" fontId="11" fillId="8" borderId="0" xfId="0" applyFont="1" applyFill="1" applyAlignment="1">
      <alignment horizontal="left" vertical="center" indent="1"/>
    </xf>
    <xf numFmtId="0" fontId="19" fillId="0" borderId="0" xfId="3" applyFont="1"/>
    <xf numFmtId="44" fontId="11" fillId="8" borderId="0" xfId="0" applyNumberFormat="1" applyFont="1" applyFill="1" applyAlignment="1">
      <alignment horizontal="left" vertical="center" indent="1"/>
    </xf>
    <xf numFmtId="0" fontId="4" fillId="9" borderId="9" xfId="0" applyFont="1" applyFill="1" applyBorder="1"/>
    <xf numFmtId="0" fontId="4" fillId="9" borderId="8" xfId="0" applyFont="1" applyFill="1" applyBorder="1"/>
    <xf numFmtId="0" fontId="21" fillId="9" borderId="8" xfId="3" applyFont="1" applyFill="1" applyBorder="1" applyAlignment="1">
      <alignment horizontal="center"/>
    </xf>
    <xf numFmtId="0" fontId="6" fillId="9" borderId="8" xfId="0" applyFont="1" applyFill="1" applyBorder="1"/>
    <xf numFmtId="0" fontId="4" fillId="9" borderId="10" xfId="0" applyFont="1" applyFill="1" applyBorder="1"/>
    <xf numFmtId="183" fontId="6" fillId="9" borderId="13" xfId="0" applyNumberFormat="1" applyFont="1" applyFill="1" applyBorder="1" applyAlignment="1">
      <alignment horizontal="center"/>
    </xf>
    <xf numFmtId="184" fontId="22" fillId="9" borderId="0" xfId="0" applyNumberFormat="1" applyFont="1" applyFill="1"/>
    <xf numFmtId="184" fontId="23" fillId="9" borderId="0" xfId="0" applyNumberFormat="1" applyFont="1" applyFill="1"/>
    <xf numFmtId="185" fontId="22" fillId="9" borderId="13" xfId="3" applyNumberFormat="1" applyFont="1" applyFill="1" applyBorder="1" applyAlignment="1">
      <alignment horizontal="center"/>
    </xf>
    <xf numFmtId="43" fontId="4" fillId="0" borderId="0" xfId="0" applyNumberFormat="1" applyFont="1"/>
    <xf numFmtId="43" fontId="5" fillId="6" borderId="0" xfId="0" applyNumberFormat="1" applyFont="1" applyFill="1"/>
    <xf numFmtId="43" fontId="4" fillId="0" borderId="14" xfId="0" applyNumberFormat="1" applyFont="1" applyBorder="1"/>
    <xf numFmtId="185" fontId="23" fillId="9" borderId="13" xfId="3" applyNumberFormat="1" applyFont="1" applyFill="1" applyBorder="1" applyAlignment="1">
      <alignment horizontal="center"/>
    </xf>
    <xf numFmtId="0" fontId="24" fillId="0" borderId="0" xfId="0" applyFont="1"/>
    <xf numFmtId="43" fontId="5" fillId="6" borderId="14" xfId="0" applyNumberFormat="1" applyFont="1" applyFill="1" applyBorder="1"/>
    <xf numFmtId="43" fontId="4" fillId="0" borderId="2" xfId="0" applyNumberFormat="1" applyFont="1" applyBorder="1"/>
    <xf numFmtId="43" fontId="5" fillId="6" borderId="2" xfId="0" applyNumberFormat="1" applyFont="1" applyFill="1" applyBorder="1"/>
    <xf numFmtId="43" fontId="4" fillId="0" borderId="12" xfId="0" applyNumberFormat="1" applyFont="1" applyBorder="1"/>
    <xf numFmtId="174" fontId="22" fillId="9" borderId="13" xfId="0" applyNumberFormat="1" applyFont="1" applyFill="1" applyBorder="1" applyAlignment="1">
      <alignment horizontal="center"/>
    </xf>
    <xf numFmtId="174" fontId="23" fillId="9" borderId="13" xfId="0" applyNumberFormat="1" applyFont="1" applyFill="1" applyBorder="1" applyAlignment="1">
      <alignment horizontal="center"/>
    </xf>
    <xf numFmtId="0" fontId="11" fillId="5" borderId="0" xfId="0" applyFont="1" applyFill="1"/>
    <xf numFmtId="0" fontId="8" fillId="5" borderId="0" xfId="2" applyFont="1" applyFill="1" applyBorder="1" applyAlignment="1">
      <alignment horizontal="left"/>
    </xf>
    <xf numFmtId="0" fontId="8" fillId="5" borderId="0" xfId="2" applyFont="1" applyFill="1" applyBorder="1" applyAlignment="1">
      <alignment horizontal="centerContinuous"/>
    </xf>
    <xf numFmtId="166" fontId="11" fillId="5" borderId="0" xfId="3" applyNumberFormat="1" applyFont="1" applyFill="1"/>
    <xf numFmtId="167" fontId="8" fillId="5" borderId="0" xfId="0" applyNumberFormat="1" applyFont="1" applyFill="1"/>
    <xf numFmtId="0" fontId="8" fillId="5" borderId="0" xfId="2" applyFont="1" applyFill="1" applyBorder="1" applyAlignment="1">
      <alignment horizontal="center"/>
    </xf>
    <xf numFmtId="168" fontId="11" fillId="5" borderId="0" xfId="2" applyNumberFormat="1" applyFont="1" applyFill="1" applyBorder="1" applyAlignment="1">
      <alignment horizontal="center"/>
    </xf>
    <xf numFmtId="174" fontId="12" fillId="5" borderId="0" xfId="0" applyNumberFormat="1" applyFont="1" applyFill="1" applyAlignment="1">
      <alignment horizontal="center"/>
    </xf>
    <xf numFmtId="176" fontId="8" fillId="5" borderId="0" xfId="3" applyNumberFormat="1" applyFont="1" applyFill="1" applyAlignment="1">
      <alignment horizontal="center"/>
    </xf>
    <xf numFmtId="168" fontId="8" fillId="5" borderId="0" xfId="2" applyNumberFormat="1" applyFont="1" applyFill="1" applyBorder="1" applyAlignment="1">
      <alignment horizontal="center"/>
    </xf>
    <xf numFmtId="41" fontId="11" fillId="5" borderId="0" xfId="0" applyNumberFormat="1" applyFont="1" applyFill="1"/>
    <xf numFmtId="181" fontId="11" fillId="5" borderId="0" xfId="3" applyNumberFormat="1" applyFont="1" applyFill="1"/>
    <xf numFmtId="0" fontId="4" fillId="5" borderId="0" xfId="0" applyFont="1" applyFill="1"/>
    <xf numFmtId="169" fontId="12" fillId="5" borderId="0" xfId="0" applyNumberFormat="1" applyFont="1" applyFill="1" applyAlignment="1">
      <alignment horizontal="center"/>
    </xf>
    <xf numFmtId="170" fontId="8" fillId="5" borderId="0" xfId="0" applyNumberFormat="1" applyFont="1" applyFill="1" applyAlignment="1">
      <alignment horizontal="center" vertical="center"/>
    </xf>
    <xf numFmtId="14" fontId="8" fillId="5" borderId="0" xfId="0" applyNumberFormat="1" applyFont="1" applyFill="1" applyAlignment="1">
      <alignment horizontal="center"/>
    </xf>
    <xf numFmtId="41" fontId="4" fillId="5" borderId="2" xfId="0" applyNumberFormat="1" applyFont="1" applyFill="1" applyBorder="1"/>
    <xf numFmtId="9" fontId="11" fillId="5" borderId="0" xfId="0" applyNumberFormat="1" applyFont="1" applyFill="1"/>
    <xf numFmtId="9" fontId="18" fillId="0" borderId="0" xfId="1" applyFont="1" applyFill="1" applyBorder="1"/>
    <xf numFmtId="9" fontId="4" fillId="0" borderId="0" xfId="1" applyFont="1" applyFill="1" applyBorder="1"/>
    <xf numFmtId="0" fontId="4" fillId="4" borderId="0" xfId="0" applyFont="1" applyFill="1"/>
    <xf numFmtId="171" fontId="8" fillId="4" borderId="0" xfId="0" applyNumberFormat="1" applyFont="1" applyFill="1" applyAlignment="1">
      <alignment horizontal="center"/>
    </xf>
    <xf numFmtId="0" fontId="9" fillId="4" borderId="0" xfId="0" applyFont="1" applyFill="1"/>
    <xf numFmtId="0" fontId="10" fillId="4" borderId="0" xfId="0" applyFont="1" applyFill="1"/>
    <xf numFmtId="14" fontId="8" fillId="4" borderId="0" xfId="0" applyNumberFormat="1" applyFont="1" applyFill="1" applyAlignment="1">
      <alignment horizontal="center"/>
    </xf>
    <xf numFmtId="0" fontId="6" fillId="4" borderId="0" xfId="0" applyFont="1" applyFill="1"/>
    <xf numFmtId="9" fontId="18" fillId="5" borderId="0" xfId="1" applyFont="1" applyFill="1" applyBorder="1"/>
    <xf numFmtId="9" fontId="4" fillId="5" borderId="0" xfId="0" applyNumberFormat="1" applyFont="1" applyFill="1"/>
    <xf numFmtId="188" fontId="8" fillId="0" borderId="0" xfId="2" applyNumberFormat="1" applyFont="1" applyFill="1" applyBorder="1" applyAlignment="1">
      <alignment horizontal="center"/>
    </xf>
    <xf numFmtId="189" fontId="4" fillId="0" borderId="0" xfId="0" applyNumberFormat="1" applyFont="1"/>
    <xf numFmtId="174" fontId="8" fillId="0" borderId="0" xfId="0" applyNumberFormat="1" applyFont="1"/>
    <xf numFmtId="41" fontId="8" fillId="0" borderId="0" xfId="0" applyNumberFormat="1" applyFont="1" applyAlignment="1">
      <alignment horizontal="center"/>
    </xf>
    <xf numFmtId="41" fontId="4" fillId="0" borderId="0" xfId="0" applyNumberFormat="1" applyFont="1" applyAlignment="1">
      <alignment horizontal="center"/>
    </xf>
    <xf numFmtId="41" fontId="8" fillId="0" borderId="0" xfId="0" applyNumberFormat="1" applyFont="1"/>
    <xf numFmtId="0" fontId="25" fillId="0" borderId="0" xfId="0" applyFont="1" applyAlignment="1">
      <alignment horizontal="center"/>
    </xf>
    <xf numFmtId="174" fontId="4" fillId="0" borderId="0" xfId="1" applyNumberFormat="1" applyFont="1"/>
    <xf numFmtId="174" fontId="7" fillId="8" borderId="0" xfId="0" applyNumberFormat="1" applyFont="1" applyFill="1" applyAlignment="1">
      <alignment vertical="center"/>
    </xf>
    <xf numFmtId="174" fontId="11" fillId="0" borderId="0" xfId="0" applyNumberFormat="1" applyFont="1"/>
    <xf numFmtId="168" fontId="11" fillId="0" borderId="0" xfId="2" applyNumberFormat="1" applyFont="1" applyFill="1" applyBorder="1" applyAlignment="1">
      <alignment horizontal="center"/>
    </xf>
    <xf numFmtId="41" fontId="11" fillId="0" borderId="0" xfId="0" applyNumberFormat="1" applyFont="1"/>
    <xf numFmtId="41" fontId="11" fillId="0" borderId="0" xfId="2" applyNumberFormat="1" applyFont="1" applyFill="1" applyBorder="1" applyAlignment="1">
      <alignment horizontal="center"/>
    </xf>
    <xf numFmtId="41" fontId="8" fillId="0" borderId="0" xfId="0" applyNumberFormat="1" applyFont="1" applyAlignment="1">
      <alignment vertical="center"/>
    </xf>
    <xf numFmtId="44" fontId="11" fillId="8" borderId="0" xfId="0" applyNumberFormat="1" applyFont="1" applyFill="1" applyAlignment="1">
      <alignment horizontal="left" vertical="center"/>
    </xf>
    <xf numFmtId="168" fontId="11" fillId="0" borderId="0" xfId="2" applyNumberFormat="1" applyFont="1" applyFill="1" applyBorder="1" applyAlignment="1">
      <alignment horizontal="right"/>
    </xf>
    <xf numFmtId="41" fontId="8" fillId="0" borderId="0" xfId="0" applyNumberFormat="1" applyFont="1" applyAlignment="1">
      <alignment vertical="center" wrapText="1"/>
    </xf>
    <xf numFmtId="0" fontId="5" fillId="0" borderId="8" xfId="0" applyFont="1" applyBorder="1"/>
    <xf numFmtId="168" fontId="11" fillId="0" borderId="0" xfId="2" applyNumberFormat="1" applyFont="1" applyFill="1" applyBorder="1" applyAlignment="1"/>
    <xf numFmtId="168" fontId="11" fillId="5" borderId="0" xfId="2" applyNumberFormat="1" applyFont="1" applyFill="1" applyBorder="1" applyAlignment="1">
      <alignment horizontal="right"/>
    </xf>
    <xf numFmtId="41" fontId="11" fillId="0" borderId="0" xfId="0" applyNumberFormat="1" applyFont="1" applyAlignment="1">
      <alignment vertical="center" wrapText="1"/>
    </xf>
    <xf numFmtId="174" fontId="11" fillId="5" borderId="0" xfId="0" applyNumberFormat="1" applyFont="1" applyFill="1"/>
    <xf numFmtId="190" fontId="11" fillId="0" borderId="0" xfId="0" applyNumberFormat="1" applyFont="1"/>
    <xf numFmtId="174" fontId="4" fillId="0" borderId="0" xfId="1" applyNumberFormat="1" applyFont="1" applyFill="1" applyBorder="1"/>
    <xf numFmtId="42" fontId="26" fillId="0" borderId="0" xfId="0" applyNumberFormat="1" applyFont="1"/>
    <xf numFmtId="0" fontId="27" fillId="0" borderId="0" xfId="0" applyFont="1"/>
    <xf numFmtId="41" fontId="8" fillId="0" borderId="2" xfId="0" applyNumberFormat="1" applyFont="1" applyBorder="1"/>
    <xf numFmtId="41" fontId="11" fillId="0" borderId="2" xfId="0" applyNumberFormat="1" applyFont="1" applyBorder="1"/>
    <xf numFmtId="174" fontId="8" fillId="5" borderId="0" xfId="0" applyNumberFormat="1" applyFont="1" applyFill="1"/>
    <xf numFmtId="186" fontId="8" fillId="5" borderId="0" xfId="4" applyNumberFormat="1" applyFont="1" applyFill="1" applyAlignment="1">
      <alignment horizontal="center"/>
    </xf>
    <xf numFmtId="187" fontId="8" fillId="5" borderId="0" xfId="2" applyNumberFormat="1" applyFont="1" applyFill="1" applyBorder="1" applyAlignment="1">
      <alignment horizontal="center"/>
    </xf>
    <xf numFmtId="3" fontId="0" fillId="0" borderId="0" xfId="0" applyNumberFormat="1"/>
    <xf numFmtId="42" fontId="0" fillId="5" borderId="0" xfId="0" applyNumberFormat="1" applyFill="1"/>
    <xf numFmtId="41" fontId="0" fillId="5" borderId="2" xfId="0" applyNumberFormat="1" applyFill="1" applyBorder="1"/>
    <xf numFmtId="41" fontId="11" fillId="5" borderId="0" xfId="0" applyNumberFormat="1" applyFont="1" applyFill="1" applyAlignment="1">
      <alignment horizontal="center"/>
    </xf>
    <xf numFmtId="41" fontId="4" fillId="5" borderId="0" xfId="0" applyNumberFormat="1" applyFont="1" applyFill="1" applyAlignment="1">
      <alignment horizontal="center"/>
    </xf>
    <xf numFmtId="41" fontId="0" fillId="5" borderId="0" xfId="0" applyNumberFormat="1" applyFill="1"/>
    <xf numFmtId="41" fontId="8" fillId="5" borderId="2" xfId="0" applyNumberFormat="1" applyFont="1" applyFill="1" applyBorder="1"/>
    <xf numFmtId="41" fontId="8" fillId="5" borderId="0" xfId="0" applyNumberFormat="1" applyFont="1" applyFill="1"/>
    <xf numFmtId="189" fontId="4" fillId="5" borderId="0" xfId="0" applyNumberFormat="1" applyFont="1" applyFill="1"/>
    <xf numFmtId="174" fontId="4" fillId="5" borderId="0" xfId="1" applyNumberFormat="1" applyFont="1" applyFill="1"/>
    <xf numFmtId="182" fontId="11" fillId="0" borderId="0" xfId="0" applyNumberFormat="1" applyFont="1" applyAlignment="1">
      <alignment horizontal="center"/>
    </xf>
    <xf numFmtId="42" fontId="5" fillId="5" borderId="0" xfId="0" applyNumberFormat="1" applyFont="1" applyFill="1"/>
    <xf numFmtId="42" fontId="0" fillId="5" borderId="2" xfId="0" applyNumberFormat="1" applyFill="1" applyBorder="1"/>
    <xf numFmtId="172" fontId="13" fillId="0" borderId="0" xfId="0" applyNumberFormat="1" applyFont="1" applyAlignment="1">
      <alignment horizontal="center"/>
    </xf>
    <xf numFmtId="0" fontId="0" fillId="0" borderId="0" xfId="0" applyAlignment="1">
      <alignment horizontal="left" indent="1"/>
    </xf>
    <xf numFmtId="0" fontId="4" fillId="0" borderId="2" xfId="0" applyFont="1" applyBorder="1"/>
    <xf numFmtId="41" fontId="11" fillId="5" borderId="2" xfId="0" applyNumberFormat="1" applyFont="1" applyFill="1" applyBorder="1"/>
    <xf numFmtId="9" fontId="4" fillId="0" borderId="0" xfId="1" applyFont="1" applyFill="1"/>
    <xf numFmtId="42" fontId="0" fillId="0" borderId="2" xfId="0" applyNumberFormat="1" applyBorder="1"/>
    <xf numFmtId="42" fontId="0" fillId="0" borderId="0" xfId="0" applyNumberFormat="1"/>
    <xf numFmtId="0" fontId="30" fillId="0" borderId="0" xfId="6" applyFont="1" applyAlignment="1">
      <alignment horizontal="center"/>
    </xf>
    <xf numFmtId="0" fontId="9" fillId="0" borderId="0" xfId="6" applyFont="1"/>
    <xf numFmtId="0" fontId="30" fillId="0" borderId="0" xfId="6" applyFont="1"/>
    <xf numFmtId="0" fontId="31" fillId="3" borderId="0" xfId="6" applyFont="1" applyFill="1" applyAlignment="1">
      <alignment horizontal="left"/>
    </xf>
    <xf numFmtId="0" fontId="32" fillId="3" borderId="0" xfId="6" applyFont="1" applyFill="1" applyAlignment="1">
      <alignment horizontal="left"/>
    </xf>
    <xf numFmtId="0" fontId="33" fillId="3" borderId="0" xfId="6" applyFont="1" applyFill="1" applyAlignment="1">
      <alignment horizontal="right"/>
    </xf>
    <xf numFmtId="0" fontId="4" fillId="0" borderId="0" xfId="6" applyFont="1"/>
    <xf numFmtId="0" fontId="33" fillId="0" borderId="0" xfId="6" applyFont="1" applyAlignment="1">
      <alignment horizontal="right"/>
    </xf>
    <xf numFmtId="0" fontId="34" fillId="3" borderId="0" xfId="3" applyFont="1" applyFill="1" applyAlignment="1">
      <alignment horizontal="right"/>
    </xf>
    <xf numFmtId="0" fontId="34" fillId="0" borderId="0" xfId="3" applyFont="1" applyAlignment="1">
      <alignment horizontal="right"/>
    </xf>
    <xf numFmtId="0" fontId="19" fillId="4" borderId="0" xfId="6" applyFont="1" applyFill="1" applyAlignment="1">
      <alignment horizontal="centerContinuous"/>
    </xf>
    <xf numFmtId="0" fontId="4" fillId="4" borderId="0" xfId="6" applyFont="1" applyFill="1" applyAlignment="1">
      <alignment horizontal="centerContinuous"/>
    </xf>
    <xf numFmtId="0" fontId="4" fillId="0" borderId="0" xfId="6" applyFont="1" applyAlignment="1">
      <alignment horizontal="centerContinuous"/>
    </xf>
    <xf numFmtId="14" fontId="11" fillId="4" borderId="0" xfId="0" applyNumberFormat="1" applyFont="1" applyFill="1" applyAlignment="1">
      <alignment horizontal="center"/>
    </xf>
    <xf numFmtId="14" fontId="11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 vertical="center"/>
    </xf>
    <xf numFmtId="171" fontId="9" fillId="0" borderId="0" xfId="0" applyNumberFormat="1" applyFont="1" applyAlignment="1">
      <alignment horizontal="center"/>
    </xf>
    <xf numFmtId="181" fontId="8" fillId="0" borderId="0" xfId="6" applyNumberFormat="1" applyFont="1"/>
    <xf numFmtId="177" fontId="9" fillId="0" borderId="0" xfId="6" applyNumberFormat="1" applyFont="1"/>
    <xf numFmtId="0" fontId="9" fillId="0" borderId="0" xfId="6" applyFont="1" applyAlignment="1">
      <alignment horizontal="left"/>
    </xf>
    <xf numFmtId="0" fontId="30" fillId="0" borderId="0" xfId="6" applyFont="1" applyAlignment="1">
      <alignment horizontal="left" indent="1"/>
    </xf>
    <xf numFmtId="181" fontId="9" fillId="0" borderId="0" xfId="6" applyNumberFormat="1" applyFont="1"/>
    <xf numFmtId="41" fontId="9" fillId="0" borderId="0" xfId="6" applyNumberFormat="1" applyFont="1"/>
    <xf numFmtId="9" fontId="30" fillId="0" borderId="0" xfId="1" applyFont="1" applyBorder="1"/>
    <xf numFmtId="181" fontId="30" fillId="0" borderId="0" xfId="6" applyNumberFormat="1" applyFont="1"/>
    <xf numFmtId="0" fontId="9" fillId="0" borderId="0" xfId="6" applyFont="1" applyAlignment="1">
      <alignment horizontal="left" indent="1"/>
    </xf>
    <xf numFmtId="181" fontId="9" fillId="0" borderId="2" xfId="6" applyNumberFormat="1" applyFont="1" applyBorder="1"/>
    <xf numFmtId="0" fontId="35" fillId="0" borderId="8" xfId="6" applyFont="1" applyBorder="1" applyAlignment="1">
      <alignment horizontal="left"/>
    </xf>
    <xf numFmtId="0" fontId="30" fillId="0" borderId="8" xfId="6" applyFont="1" applyBorder="1" applyAlignment="1">
      <alignment horizontal="left" indent="1"/>
    </xf>
    <xf numFmtId="177" fontId="36" fillId="0" borderId="0" xfId="6" applyNumberFormat="1" applyFont="1"/>
    <xf numFmtId="177" fontId="35" fillId="0" borderId="0" xfId="6" applyNumberFormat="1" applyFont="1"/>
    <xf numFmtId="0" fontId="30" fillId="0" borderId="0" xfId="6" applyFont="1" applyAlignment="1">
      <alignment horizontal="left"/>
    </xf>
    <xf numFmtId="165" fontId="30" fillId="0" borderId="0" xfId="6" applyNumberFormat="1" applyFont="1"/>
    <xf numFmtId="9" fontId="30" fillId="0" borderId="0" xfId="6" applyNumberFormat="1" applyFont="1"/>
    <xf numFmtId="191" fontId="9" fillId="0" borderId="0" xfId="6" applyNumberFormat="1" applyFont="1"/>
    <xf numFmtId="174" fontId="4" fillId="0" borderId="0" xfId="6" applyNumberFormat="1" applyFont="1"/>
    <xf numFmtId="6" fontId="30" fillId="0" borderId="0" xfId="6" applyNumberFormat="1" applyFont="1"/>
    <xf numFmtId="0" fontId="6" fillId="3" borderId="0" xfId="6" applyFont="1" applyFill="1" applyAlignment="1">
      <alignment horizontal="centerContinuous"/>
    </xf>
    <xf numFmtId="0" fontId="28" fillId="3" borderId="0" xfId="6" applyFont="1" applyFill="1" applyAlignment="1">
      <alignment horizontal="centerContinuous"/>
    </xf>
    <xf numFmtId="0" fontId="28" fillId="0" borderId="0" xfId="6" applyFont="1" applyAlignment="1">
      <alignment horizontal="centerContinuous"/>
    </xf>
    <xf numFmtId="0" fontId="36" fillId="0" borderId="0" xfId="6" applyFont="1" applyAlignment="1">
      <alignment horizontal="centerContinuous"/>
    </xf>
    <xf numFmtId="0" fontId="30" fillId="0" borderId="0" xfId="6" applyFont="1" applyAlignment="1">
      <alignment horizontal="centerContinuous"/>
    </xf>
    <xf numFmtId="177" fontId="8" fillId="0" borderId="0" xfId="6" applyNumberFormat="1" applyFont="1"/>
    <xf numFmtId="41" fontId="8" fillId="0" borderId="0" xfId="6" applyNumberFormat="1" applyFont="1"/>
    <xf numFmtId="165" fontId="4" fillId="0" borderId="0" xfId="6" applyNumberFormat="1" applyFont="1"/>
    <xf numFmtId="0" fontId="37" fillId="3" borderId="0" xfId="6" applyFont="1" applyFill="1" applyAlignment="1">
      <alignment horizontal="centerContinuous"/>
    </xf>
    <xf numFmtId="0" fontId="30" fillId="3" borderId="0" xfId="6" applyFont="1" applyFill="1" applyAlignment="1">
      <alignment horizontal="centerContinuous"/>
    </xf>
    <xf numFmtId="0" fontId="30" fillId="10" borderId="0" xfId="6" applyFont="1" applyFill="1" applyAlignment="1">
      <alignment horizontal="centerContinuous"/>
    </xf>
    <xf numFmtId="42" fontId="9" fillId="0" borderId="0" xfId="6" applyNumberFormat="1" applyFont="1"/>
    <xf numFmtId="0" fontId="4" fillId="0" borderId="0" xfId="6" applyFont="1" applyAlignment="1">
      <alignment horizontal="center"/>
    </xf>
    <xf numFmtId="9" fontId="4" fillId="0" borderId="0" xfId="1" applyFont="1" applyBorder="1"/>
    <xf numFmtId="0" fontId="37" fillId="0" borderId="0" xfId="6" applyFont="1" applyAlignment="1">
      <alignment horizontal="centerContinuous"/>
    </xf>
    <xf numFmtId="0" fontId="4" fillId="0" borderId="0" xfId="6" applyFont="1" applyAlignment="1">
      <alignment horizontal="left" indent="1"/>
    </xf>
    <xf numFmtId="0" fontId="5" fillId="0" borderId="0" xfId="6" applyFont="1" applyAlignment="1">
      <alignment horizontal="centerContinuous"/>
    </xf>
    <xf numFmtId="44" fontId="8" fillId="0" borderId="0" xfId="6" applyNumberFormat="1" applyFont="1"/>
    <xf numFmtId="3" fontId="8" fillId="0" borderId="0" xfId="6" applyNumberFormat="1" applyFont="1" applyAlignment="1">
      <alignment horizontal="right"/>
    </xf>
    <xf numFmtId="4" fontId="8" fillId="0" borderId="0" xfId="6" applyNumberFormat="1" applyFont="1" applyAlignment="1">
      <alignment horizontal="right"/>
    </xf>
    <xf numFmtId="0" fontId="5" fillId="4" borderId="0" xfId="6" applyFont="1" applyFill="1" applyAlignment="1">
      <alignment horizontal="center"/>
    </xf>
    <xf numFmtId="0" fontId="5" fillId="0" borderId="0" xfId="6" applyFont="1" applyAlignment="1">
      <alignment horizontal="center"/>
    </xf>
    <xf numFmtId="192" fontId="8" fillId="0" borderId="0" xfId="6" applyNumberFormat="1" applyFont="1"/>
    <xf numFmtId="44" fontId="8" fillId="0" borderId="0" xfId="6" applyNumberFormat="1" applyFont="1" applyAlignment="1">
      <alignment horizontal="right"/>
    </xf>
    <xf numFmtId="192" fontId="4" fillId="0" borderId="0" xfId="6" applyNumberFormat="1" applyFont="1"/>
    <xf numFmtId="4" fontId="4" fillId="0" borderId="0" xfId="6" applyNumberFormat="1" applyFont="1"/>
    <xf numFmtId="0" fontId="6" fillId="3" borderId="0" xfId="6" applyFont="1" applyFill="1" applyAlignment="1">
      <alignment horizontal="center"/>
    </xf>
    <xf numFmtId="0" fontId="6" fillId="0" borderId="0" xfId="6" applyFont="1" applyAlignment="1">
      <alignment horizontal="center"/>
    </xf>
    <xf numFmtId="175" fontId="8" fillId="0" borderId="0" xfId="6" applyNumberFormat="1" applyFont="1"/>
    <xf numFmtId="42" fontId="8" fillId="0" borderId="0" xfId="6" applyNumberFormat="1" applyFont="1"/>
    <xf numFmtId="44" fontId="4" fillId="0" borderId="0" xfId="6" applyNumberFormat="1" applyFont="1"/>
    <xf numFmtId="4" fontId="5" fillId="0" borderId="0" xfId="6" applyNumberFormat="1" applyFont="1"/>
    <xf numFmtId="44" fontId="4" fillId="0" borderId="0" xfId="6" applyNumberFormat="1" applyFont="1" applyAlignment="1">
      <alignment horizontal="centerContinuous"/>
    </xf>
    <xf numFmtId="42" fontId="4" fillId="0" borderId="0" xfId="6" applyNumberFormat="1" applyFont="1"/>
    <xf numFmtId="41" fontId="4" fillId="0" borderId="0" xfId="6" applyNumberFormat="1" applyFont="1"/>
    <xf numFmtId="4" fontId="8" fillId="0" borderId="0" xfId="6" applyNumberFormat="1" applyFont="1"/>
    <xf numFmtId="171" fontId="11" fillId="4" borderId="0" xfId="0" applyNumberFormat="1" applyFont="1" applyFill="1" applyAlignment="1">
      <alignment horizontal="center"/>
    </xf>
    <xf numFmtId="171" fontId="11" fillId="0" borderId="0" xfId="0" applyNumberFormat="1" applyFont="1" applyAlignment="1">
      <alignment horizontal="center"/>
    </xf>
    <xf numFmtId="193" fontId="11" fillId="0" borderId="0" xfId="6" applyNumberFormat="1" applyFont="1"/>
    <xf numFmtId="0" fontId="4" fillId="10" borderId="0" xfId="6" applyFont="1" applyFill="1"/>
    <xf numFmtId="177" fontId="11" fillId="0" borderId="0" xfId="6" applyNumberFormat="1" applyFont="1"/>
    <xf numFmtId="181" fontId="11" fillId="0" borderId="0" xfId="6" applyNumberFormat="1" applyFont="1"/>
    <xf numFmtId="41" fontId="11" fillId="0" borderId="0" xfId="6" applyNumberFormat="1" applyFont="1"/>
    <xf numFmtId="191" fontId="11" fillId="0" borderId="0" xfId="6" applyNumberFormat="1" applyFont="1"/>
    <xf numFmtId="0" fontId="38" fillId="0" borderId="0" xfId="0" applyFont="1"/>
    <xf numFmtId="0" fontId="39" fillId="0" borderId="0" xfId="5" applyFont="1"/>
    <xf numFmtId="0" fontId="39" fillId="0" borderId="0" xfId="5" applyFont="1" applyAlignment="1">
      <alignment horizontal="right"/>
    </xf>
    <xf numFmtId="0" fontId="39" fillId="0" borderId="0" xfId="5" applyFont="1" applyFill="1" applyBorder="1" applyAlignment="1">
      <alignment horizontal="right"/>
    </xf>
    <xf numFmtId="177" fontId="30" fillId="0" borderId="0" xfId="1" applyNumberFormat="1" applyFont="1" applyBorder="1"/>
    <xf numFmtId="177" fontId="9" fillId="0" borderId="2" xfId="6" applyNumberFormat="1" applyFont="1" applyBorder="1"/>
    <xf numFmtId="41" fontId="30" fillId="0" borderId="0" xfId="1" applyNumberFormat="1" applyFont="1" applyBorder="1"/>
    <xf numFmtId="0" fontId="9" fillId="0" borderId="0" xfId="4" applyFont="1"/>
    <xf numFmtId="0" fontId="5" fillId="0" borderId="0" xfId="3" applyFont="1"/>
    <xf numFmtId="0" fontId="42" fillId="0" borderId="0" xfId="0" applyFont="1"/>
    <xf numFmtId="1" fontId="9" fillId="0" borderId="0" xfId="4" applyNumberFormat="1" applyFont="1"/>
    <xf numFmtId="0" fontId="35" fillId="0" borderId="0" xfId="6" applyFont="1" applyAlignment="1">
      <alignment horizontal="left"/>
    </xf>
    <xf numFmtId="0" fontId="33" fillId="3" borderId="0" xfId="6" applyFont="1" applyFill="1" applyAlignment="1">
      <alignment horizontal="left"/>
    </xf>
    <xf numFmtId="0" fontId="33" fillId="3" borderId="0" xfId="3" applyFont="1" applyFill="1"/>
    <xf numFmtId="0" fontId="31" fillId="3" borderId="0" xfId="3" applyFont="1" applyFill="1" applyAlignment="1">
      <alignment horizontal="centerContinuous"/>
    </xf>
    <xf numFmtId="0" fontId="32" fillId="3" borderId="0" xfId="3" applyFont="1" applyFill="1" applyAlignment="1">
      <alignment horizontal="centerContinuous"/>
    </xf>
    <xf numFmtId="0" fontId="40" fillId="3" borderId="0" xfId="3" applyFont="1" applyFill="1"/>
    <xf numFmtId="0" fontId="33" fillId="3" borderId="0" xfId="3" applyFont="1" applyFill="1" applyAlignment="1">
      <alignment horizontal="center"/>
    </xf>
    <xf numFmtId="0" fontId="40" fillId="3" borderId="0" xfId="3" applyFont="1" applyFill="1" applyAlignment="1">
      <alignment horizontal="centerContinuous"/>
    </xf>
    <xf numFmtId="0" fontId="33" fillId="3" borderId="2" xfId="3" applyFont="1" applyFill="1" applyBorder="1"/>
    <xf numFmtId="0" fontId="33" fillId="3" borderId="2" xfId="3" applyFont="1" applyFill="1" applyBorder="1" applyAlignment="1">
      <alignment horizontal="center"/>
    </xf>
    <xf numFmtId="14" fontId="33" fillId="3" borderId="2" xfId="3" applyNumberFormat="1" applyFont="1" applyFill="1" applyBorder="1" applyAlignment="1">
      <alignment horizontal="center"/>
    </xf>
    <xf numFmtId="194" fontId="6" fillId="3" borderId="2" xfId="0" applyNumberFormat="1" applyFont="1" applyFill="1" applyBorder="1" applyAlignment="1">
      <alignment horizontal="center"/>
    </xf>
    <xf numFmtId="42" fontId="9" fillId="0" borderId="0" xfId="4" applyNumberFormat="1" applyFont="1"/>
    <xf numFmtId="195" fontId="9" fillId="0" borderId="0" xfId="4" applyNumberFormat="1" applyFont="1"/>
    <xf numFmtId="174" fontId="9" fillId="0" borderId="0" xfId="1" applyNumberFormat="1" applyFont="1"/>
    <xf numFmtId="41" fontId="9" fillId="0" borderId="0" xfId="4" applyNumberFormat="1" applyFont="1"/>
    <xf numFmtId="189" fontId="11" fillId="0" borderId="0" xfId="3" applyNumberFormat="1" applyFont="1"/>
    <xf numFmtId="0" fontId="11" fillId="0" borderId="9" xfId="3" applyFont="1" applyBorder="1"/>
    <xf numFmtId="0" fontId="11" fillId="0" borderId="8" xfId="3" applyFont="1" applyBorder="1"/>
    <xf numFmtId="44" fontId="11" fillId="0" borderId="8" xfId="3" applyNumberFormat="1" applyFont="1" applyBorder="1"/>
    <xf numFmtId="196" fontId="11" fillId="0" borderId="8" xfId="3" applyNumberFormat="1" applyFont="1" applyBorder="1"/>
    <xf numFmtId="189" fontId="11" fillId="0" borderId="8" xfId="3" applyNumberFormat="1" applyFont="1" applyBorder="1"/>
    <xf numFmtId="189" fontId="11" fillId="0" borderId="10" xfId="3" applyNumberFormat="1" applyFont="1" applyBorder="1"/>
    <xf numFmtId="0" fontId="11" fillId="0" borderId="13" xfId="3" applyFont="1" applyBorder="1"/>
    <xf numFmtId="43" fontId="11" fillId="0" borderId="0" xfId="3" applyNumberFormat="1" applyFont="1"/>
    <xf numFmtId="197" fontId="11" fillId="0" borderId="0" xfId="3" applyNumberFormat="1" applyFont="1"/>
    <xf numFmtId="189" fontId="11" fillId="0" borderId="14" xfId="3" applyNumberFormat="1" applyFont="1" applyBorder="1"/>
    <xf numFmtId="0" fontId="19" fillId="9" borderId="15" xfId="3" applyFont="1" applyFill="1" applyBorder="1"/>
    <xf numFmtId="0" fontId="19" fillId="9" borderId="16" xfId="3" applyFont="1" applyFill="1" applyBorder="1"/>
    <xf numFmtId="44" fontId="19" fillId="9" borderId="16" xfId="3" applyNumberFormat="1" applyFont="1" applyFill="1" applyBorder="1"/>
    <xf numFmtId="165" fontId="19" fillId="9" borderId="16" xfId="3" applyNumberFormat="1" applyFont="1" applyFill="1" applyBorder="1"/>
    <xf numFmtId="196" fontId="19" fillId="9" borderId="16" xfId="3" applyNumberFormat="1" applyFont="1" applyFill="1" applyBorder="1"/>
    <xf numFmtId="189" fontId="19" fillId="9" borderId="16" xfId="3" applyNumberFormat="1" applyFont="1" applyFill="1" applyBorder="1"/>
    <xf numFmtId="189" fontId="19" fillId="9" borderId="17" xfId="3" applyNumberFormat="1" applyFont="1" applyFill="1" applyBorder="1"/>
    <xf numFmtId="0" fontId="11" fillId="0" borderId="11" xfId="3" applyFont="1" applyBorder="1"/>
    <xf numFmtId="0" fontId="19" fillId="0" borderId="2" xfId="3" applyFont="1" applyBorder="1"/>
    <xf numFmtId="43" fontId="11" fillId="0" borderId="2" xfId="3" applyNumberFormat="1" applyFont="1" applyBorder="1"/>
    <xf numFmtId="197" fontId="11" fillId="0" borderId="2" xfId="3" applyNumberFormat="1" applyFont="1" applyBorder="1"/>
    <xf numFmtId="189" fontId="11" fillId="0" borderId="2" xfId="3" applyNumberFormat="1" applyFont="1" applyBorder="1"/>
    <xf numFmtId="189" fontId="11" fillId="0" borderId="12" xfId="3" applyNumberFormat="1" applyFont="1" applyBorder="1"/>
    <xf numFmtId="0" fontId="43" fillId="0" borderId="0" xfId="0" applyFont="1"/>
    <xf numFmtId="42" fontId="6" fillId="4" borderId="15" xfId="4" applyNumberFormat="1" applyFont="1" applyFill="1" applyBorder="1"/>
    <xf numFmtId="0" fontId="6" fillId="4" borderId="16" xfId="3" applyFont="1" applyFill="1" applyBorder="1"/>
    <xf numFmtId="198" fontId="6" fillId="4" borderId="16" xfId="4" applyNumberFormat="1" applyFont="1" applyFill="1" applyBorder="1"/>
    <xf numFmtId="0" fontId="6" fillId="4" borderId="16" xfId="4" applyFont="1" applyFill="1" applyBorder="1"/>
    <xf numFmtId="42" fontId="6" fillId="4" borderId="16" xfId="4" applyNumberFormat="1" applyFont="1" applyFill="1" applyBorder="1"/>
    <xf numFmtId="195" fontId="6" fillId="4" borderId="16" xfId="4" applyNumberFormat="1" applyFont="1" applyFill="1" applyBorder="1"/>
    <xf numFmtId="9" fontId="6" fillId="4" borderId="16" xfId="1" applyFont="1" applyFill="1" applyBorder="1"/>
    <xf numFmtId="189" fontId="6" fillId="4" borderId="16" xfId="3" applyNumberFormat="1" applyFont="1" applyFill="1" applyBorder="1"/>
    <xf numFmtId="189" fontId="6" fillId="4" borderId="17" xfId="3" applyNumberFormat="1" applyFont="1" applyFill="1" applyBorder="1"/>
    <xf numFmtId="0" fontId="6" fillId="0" borderId="0" xfId="3" applyFont="1"/>
    <xf numFmtId="44" fontId="6" fillId="0" borderId="0" xfId="3" applyNumberFormat="1" applyFont="1"/>
    <xf numFmtId="197" fontId="6" fillId="0" borderId="0" xfId="3" applyNumberFormat="1" applyFont="1"/>
    <xf numFmtId="175" fontId="6" fillId="0" borderId="0" xfId="3" applyNumberFormat="1" applyFont="1"/>
    <xf numFmtId="43" fontId="6" fillId="0" borderId="0" xfId="3" applyNumberFormat="1" applyFont="1" applyAlignment="1">
      <alignment horizontal="center"/>
    </xf>
    <xf numFmtId="189" fontId="6" fillId="0" borderId="0" xfId="3" applyNumberFormat="1" applyFont="1" applyAlignment="1">
      <alignment horizontal="center"/>
    </xf>
    <xf numFmtId="174" fontId="6" fillId="0" borderId="0" xfId="3" applyNumberFormat="1" applyFont="1"/>
    <xf numFmtId="0" fontId="11" fillId="0" borderId="0" xfId="3" applyFont="1" applyAlignment="1">
      <alignment horizontal="center"/>
    </xf>
    <xf numFmtId="43" fontId="11" fillId="0" borderId="0" xfId="3" applyNumberFormat="1" applyFont="1" applyAlignment="1">
      <alignment horizontal="center"/>
    </xf>
    <xf numFmtId="14" fontId="33" fillId="3" borderId="0" xfId="3" applyNumberFormat="1" applyFont="1" applyFill="1" applyAlignment="1">
      <alignment horizontal="center"/>
    </xf>
    <xf numFmtId="194" fontId="6" fillId="3" borderId="0" xfId="0" applyNumberFormat="1" applyFont="1" applyFill="1" applyAlignment="1">
      <alignment horizontal="center"/>
    </xf>
    <xf numFmtId="0" fontId="19" fillId="0" borderId="0" xfId="3" applyFont="1" applyAlignment="1">
      <alignment horizontal="center"/>
    </xf>
    <xf numFmtId="3" fontId="44" fillId="0" borderId="0" xfId="0" applyNumberFormat="1" applyFont="1" applyAlignment="1">
      <alignment vertical="center"/>
    </xf>
    <xf numFmtId="176" fontId="11" fillId="0" borderId="8" xfId="3" applyNumberFormat="1" applyFont="1" applyBorder="1"/>
    <xf numFmtId="176" fontId="11" fillId="0" borderId="10" xfId="3" applyNumberFormat="1" applyFont="1" applyBorder="1"/>
    <xf numFmtId="176" fontId="11" fillId="0" borderId="14" xfId="3" applyNumberFormat="1" applyFont="1" applyBorder="1"/>
    <xf numFmtId="0" fontId="19" fillId="4" borderId="15" xfId="3" applyFont="1" applyFill="1" applyBorder="1"/>
    <xf numFmtId="0" fontId="19" fillId="4" borderId="16" xfId="3" applyFont="1" applyFill="1" applyBorder="1"/>
    <xf numFmtId="44" fontId="19" fillId="4" borderId="16" xfId="3" applyNumberFormat="1" applyFont="1" applyFill="1" applyBorder="1"/>
    <xf numFmtId="165" fontId="19" fillId="4" borderId="16" xfId="3" applyNumberFormat="1" applyFont="1" applyFill="1" applyBorder="1"/>
    <xf numFmtId="196" fontId="19" fillId="4" borderId="16" xfId="3" applyNumberFormat="1" applyFont="1" applyFill="1" applyBorder="1"/>
    <xf numFmtId="176" fontId="19" fillId="4" borderId="16" xfId="3" applyNumberFormat="1" applyFont="1" applyFill="1" applyBorder="1"/>
    <xf numFmtId="176" fontId="19" fillId="4" borderId="17" xfId="3" applyNumberFormat="1" applyFont="1" applyFill="1" applyBorder="1"/>
    <xf numFmtId="176" fontId="11" fillId="0" borderId="2" xfId="3" applyNumberFormat="1" applyFont="1" applyBorder="1"/>
    <xf numFmtId="176" fontId="11" fillId="0" borderId="12" xfId="3" applyNumberFormat="1" applyFont="1" applyBorder="1"/>
    <xf numFmtId="185" fontId="6" fillId="4" borderId="15" xfId="4" applyNumberFormat="1" applyFont="1" applyFill="1" applyBorder="1"/>
    <xf numFmtId="44" fontId="6" fillId="4" borderId="16" xfId="3" applyNumberFormat="1" applyFont="1" applyFill="1" applyBorder="1"/>
    <xf numFmtId="185" fontId="6" fillId="4" borderId="16" xfId="4" applyNumberFormat="1" applyFont="1" applyFill="1" applyBorder="1"/>
    <xf numFmtId="185" fontId="6" fillId="4" borderId="17" xfId="4" applyNumberFormat="1" applyFont="1" applyFill="1" applyBorder="1"/>
    <xf numFmtId="176" fontId="11" fillId="0" borderId="0" xfId="3" applyNumberFormat="1" applyFont="1" applyAlignment="1">
      <alignment horizontal="center"/>
    </xf>
    <xf numFmtId="41" fontId="9" fillId="0" borderId="0" xfId="4" applyNumberFormat="1" applyFont="1" applyAlignment="1">
      <alignment horizontal="center"/>
    </xf>
    <xf numFmtId="9" fontId="9" fillId="0" borderId="0" xfId="1" applyFont="1" applyAlignment="1">
      <alignment horizontal="center"/>
    </xf>
    <xf numFmtId="0" fontId="0" fillId="0" borderId="0" xfId="0" applyAlignment="1">
      <alignment wrapText="1"/>
    </xf>
    <xf numFmtId="0" fontId="45" fillId="0" borderId="0" xfId="0" applyFont="1"/>
    <xf numFmtId="0" fontId="46" fillId="0" borderId="0" xfId="0" applyFont="1"/>
    <xf numFmtId="0" fontId="47" fillId="11" borderId="0" xfId="0" applyFont="1" applyFill="1"/>
    <xf numFmtId="0" fontId="48" fillId="11" borderId="0" xfId="0" applyFont="1" applyFill="1"/>
    <xf numFmtId="0" fontId="48" fillId="0" borderId="0" xfId="0" applyFont="1"/>
    <xf numFmtId="199" fontId="8" fillId="12" borderId="0" xfId="0" applyNumberFormat="1" applyFont="1" applyFill="1" applyAlignment="1">
      <alignment horizontal="center"/>
    </xf>
    <xf numFmtId="199" fontId="49" fillId="0" borderId="0" xfId="0" applyNumberFormat="1" applyFont="1"/>
    <xf numFmtId="199" fontId="11" fillId="12" borderId="0" xfId="0" applyNumberFormat="1" applyFont="1" applyFill="1" applyAlignment="1">
      <alignment horizontal="center"/>
    </xf>
    <xf numFmtId="0" fontId="50" fillId="0" borderId="0" xfId="0" applyFont="1"/>
    <xf numFmtId="0" fontId="51" fillId="0" borderId="0" xfId="0" applyFont="1"/>
    <xf numFmtId="1" fontId="51" fillId="0" borderId="0" xfId="0" applyNumberFormat="1" applyFont="1"/>
    <xf numFmtId="0" fontId="33" fillId="11" borderId="0" xfId="3" applyFont="1" applyFill="1"/>
    <xf numFmtId="0" fontId="33" fillId="11" borderId="0" xfId="3" applyFont="1" applyFill="1" applyAlignment="1">
      <alignment horizontal="center"/>
    </xf>
    <xf numFmtId="174" fontId="11" fillId="0" borderId="0" xfId="1" applyNumberFormat="1" applyFont="1"/>
    <xf numFmtId="9" fontId="11" fillId="0" borderId="0" xfId="1" applyFont="1"/>
    <xf numFmtId="200" fontId="42" fillId="0" borderId="0" xfId="0" applyNumberFormat="1" applyFont="1"/>
    <xf numFmtId="174" fontId="11" fillId="0" borderId="0" xfId="3" applyNumberFormat="1" applyFont="1"/>
    <xf numFmtId="0" fontId="4" fillId="0" borderId="0" xfId="0" applyFont="1" applyAlignment="1">
      <alignment horizontal="center"/>
    </xf>
    <xf numFmtId="0" fontId="19" fillId="9" borderId="0" xfId="3" applyFont="1" applyFill="1" applyAlignment="1">
      <alignment horizontal="left"/>
    </xf>
    <xf numFmtId="0" fontId="19" fillId="9" borderId="0" xfId="3" applyFont="1" applyFill="1"/>
    <xf numFmtId="201" fontId="19" fillId="9" borderId="0" xfId="3" applyNumberFormat="1" applyFont="1" applyFill="1"/>
    <xf numFmtId="202" fontId="19" fillId="9" borderId="0" xfId="3" applyNumberFormat="1" applyFont="1" applyFill="1" applyAlignment="1">
      <alignment horizontal="right"/>
    </xf>
    <xf numFmtId="174" fontId="19" fillId="9" borderId="0" xfId="1" applyNumberFormat="1" applyFont="1" applyFill="1"/>
    <xf numFmtId="9" fontId="19" fillId="9" borderId="0" xfId="1" applyFont="1" applyFill="1"/>
    <xf numFmtId="202" fontId="19" fillId="9" borderId="0" xfId="3" applyNumberFormat="1" applyFont="1" applyFill="1"/>
    <xf numFmtId="201" fontId="19" fillId="9" borderId="0" xfId="3" applyNumberFormat="1" applyFont="1" applyFill="1" applyAlignment="1">
      <alignment horizontal="right"/>
    </xf>
    <xf numFmtId="0" fontId="6" fillId="4" borderId="0" xfId="3" applyFont="1" applyFill="1"/>
    <xf numFmtId="174" fontId="6" fillId="4" borderId="0" xfId="1" applyNumberFormat="1" applyFont="1" applyFill="1"/>
    <xf numFmtId="9" fontId="6" fillId="4" borderId="0" xfId="1" applyFont="1" applyFill="1"/>
    <xf numFmtId="174" fontId="6" fillId="4" borderId="0" xfId="3" applyNumberFormat="1" applyFont="1" applyFill="1"/>
    <xf numFmtId="43" fontId="6" fillId="4" borderId="0" xfId="3" applyNumberFormat="1" applyFont="1" applyFill="1"/>
    <xf numFmtId="201" fontId="11" fillId="0" borderId="0" xfId="3" applyNumberFormat="1" applyFont="1"/>
    <xf numFmtId="191" fontId="11" fillId="0" borderId="0" xfId="3" applyNumberFormat="1" applyFont="1"/>
    <xf numFmtId="174" fontId="11" fillId="0" borderId="0" xfId="3" applyNumberFormat="1" applyFont="1" applyAlignment="1">
      <alignment horizontal="center"/>
    </xf>
    <xf numFmtId="191" fontId="11" fillId="0" borderId="0" xfId="3" applyNumberFormat="1" applyFont="1" applyAlignment="1">
      <alignment horizontal="center"/>
    </xf>
    <xf numFmtId="201" fontId="4" fillId="0" borderId="0" xfId="0" applyNumberFormat="1" applyFont="1"/>
    <xf numFmtId="0" fontId="6" fillId="9" borderId="0" xfId="3" applyFont="1" applyFill="1"/>
    <xf numFmtId="178" fontId="6" fillId="9" borderId="0" xfId="3" applyNumberFormat="1" applyFont="1" applyFill="1"/>
    <xf numFmtId="199" fontId="6" fillId="9" borderId="0" xfId="3" applyNumberFormat="1" applyFont="1" applyFill="1"/>
    <xf numFmtId="41" fontId="6" fillId="4" borderId="0" xfId="3" applyNumberFormat="1" applyFont="1" applyFill="1"/>
    <xf numFmtId="195" fontId="8" fillId="0" borderId="0" xfId="0" applyNumberFormat="1" applyFont="1"/>
    <xf numFmtId="0" fontId="45" fillId="0" borderId="0" xfId="9" applyFont="1"/>
    <xf numFmtId="0" fontId="4" fillId="0" borderId="0" xfId="9" applyFont="1"/>
    <xf numFmtId="176" fontId="12" fillId="0" borderId="0" xfId="0" applyNumberFormat="1" applyFont="1" applyAlignment="1">
      <alignment horizontal="center"/>
    </xf>
    <xf numFmtId="42" fontId="12" fillId="0" borderId="0" xfId="0" applyNumberFormat="1" applyFont="1" applyAlignment="1">
      <alignment horizontal="center"/>
    </xf>
    <xf numFmtId="41" fontId="12" fillId="0" borderId="0" xfId="0" applyNumberFormat="1" applyFont="1" applyAlignment="1">
      <alignment horizontal="center"/>
    </xf>
    <xf numFmtId="44" fontId="0" fillId="0" borderId="0" xfId="0" applyNumberFormat="1"/>
    <xf numFmtId="44" fontId="9" fillId="0" borderId="0" xfId="4" applyNumberFormat="1" applyFont="1"/>
    <xf numFmtId="175" fontId="11" fillId="0" borderId="0" xfId="3" applyNumberFormat="1" applyFont="1"/>
    <xf numFmtId="176" fontId="19" fillId="0" borderId="0" xfId="3" applyNumberFormat="1" applyFont="1"/>
    <xf numFmtId="166" fontId="12" fillId="0" borderId="0" xfId="0" applyNumberFormat="1" applyFont="1" applyAlignment="1">
      <alignment horizontal="center"/>
    </xf>
    <xf numFmtId="0" fontId="19" fillId="6" borderId="2" xfId="3" applyFont="1" applyFill="1" applyBorder="1"/>
    <xf numFmtId="0" fontId="4" fillId="6" borderId="2" xfId="0" applyFont="1" applyFill="1" applyBorder="1"/>
    <xf numFmtId="175" fontId="5" fillId="6" borderId="2" xfId="0" applyNumberFormat="1" applyFont="1" applyFill="1" applyBorder="1"/>
    <xf numFmtId="165" fontId="12" fillId="0" borderId="0" xfId="0" applyNumberFormat="1" applyFont="1"/>
    <xf numFmtId="0" fontId="4" fillId="0" borderId="0" xfId="0" applyFont="1" applyAlignment="1">
      <alignment wrapText="1"/>
    </xf>
    <xf numFmtId="165" fontId="12" fillId="0" borderId="2" xfId="0" applyNumberFormat="1" applyFont="1" applyBorder="1"/>
    <xf numFmtId="0" fontId="19" fillId="6" borderId="8" xfId="3" applyFont="1" applyFill="1" applyBorder="1" applyAlignment="1">
      <alignment horizontal="left"/>
    </xf>
    <xf numFmtId="0" fontId="11" fillId="6" borderId="8" xfId="3" applyFont="1" applyFill="1" applyBorder="1"/>
    <xf numFmtId="165" fontId="19" fillId="6" borderId="0" xfId="3" applyNumberFormat="1" applyFont="1" applyFill="1"/>
    <xf numFmtId="203" fontId="12" fillId="0" borderId="0" xfId="0" applyNumberFormat="1" applyFont="1"/>
    <xf numFmtId="0" fontId="19" fillId="13" borderId="9" xfId="3" applyFont="1" applyFill="1" applyBorder="1"/>
    <xf numFmtId="0" fontId="11" fillId="13" borderId="8" xfId="3" applyFont="1" applyFill="1" applyBorder="1"/>
    <xf numFmtId="44" fontId="19" fillId="13" borderId="10" xfId="3" applyNumberFormat="1" applyFont="1" applyFill="1" applyBorder="1"/>
    <xf numFmtId="0" fontId="19" fillId="13" borderId="11" xfId="3" applyFont="1" applyFill="1" applyBorder="1"/>
    <xf numFmtId="0" fontId="11" fillId="13" borderId="2" xfId="3" applyFont="1" applyFill="1" applyBorder="1"/>
    <xf numFmtId="168" fontId="19" fillId="13" borderId="12" xfId="3" applyNumberFormat="1" applyFont="1" applyFill="1" applyBorder="1"/>
    <xf numFmtId="0" fontId="4" fillId="0" borderId="0" xfId="10" applyFont="1"/>
    <xf numFmtId="0" fontId="4" fillId="0" borderId="0" xfId="10" applyFont="1" applyAlignment="1">
      <alignment horizontal="center"/>
    </xf>
    <xf numFmtId="166" fontId="0" fillId="0" borderId="0" xfId="0" applyNumberFormat="1"/>
    <xf numFmtId="0" fontId="12" fillId="0" borderId="0" xfId="10" applyFont="1"/>
    <xf numFmtId="43" fontId="0" fillId="0" borderId="0" xfId="0" applyNumberFormat="1"/>
    <xf numFmtId="0" fontId="33" fillId="3" borderId="2" xfId="11" applyFont="1" applyFill="1" applyBorder="1" applyAlignment="1">
      <alignment horizontal="left"/>
    </xf>
    <xf numFmtId="0" fontId="33" fillId="0" borderId="0" xfId="11" applyFont="1" applyAlignment="1">
      <alignment horizontal="left"/>
    </xf>
    <xf numFmtId="0" fontId="5" fillId="0" borderId="2" xfId="11" applyFont="1" applyBorder="1" applyAlignment="1">
      <alignment horizontal="center"/>
    </xf>
    <xf numFmtId="204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174" fontId="0" fillId="0" borderId="0" xfId="0" applyNumberFormat="1" applyAlignment="1">
      <alignment horizontal="center"/>
    </xf>
    <xf numFmtId="204" fontId="0" fillId="0" borderId="0" xfId="0" applyNumberFormat="1"/>
    <xf numFmtId="0" fontId="5" fillId="0" borderId="0" xfId="11" applyFont="1"/>
    <xf numFmtId="0" fontId="4" fillId="0" borderId="0" xfId="11" applyFont="1" applyAlignment="1">
      <alignment horizontal="center"/>
    </xf>
    <xf numFmtId="0" fontId="4" fillId="0" borderId="0" xfId="11" applyFont="1"/>
    <xf numFmtId="0" fontId="4" fillId="0" borderId="15" xfId="11" applyFont="1" applyBorder="1"/>
    <xf numFmtId="0" fontId="4" fillId="0" borderId="18" xfId="11" applyFont="1" applyBorder="1"/>
    <xf numFmtId="0" fontId="4" fillId="0" borderId="17" xfId="11" applyFont="1" applyBorder="1"/>
    <xf numFmtId="171" fontId="4" fillId="0" borderId="0" xfId="11" applyNumberFormat="1" applyFont="1" applyAlignment="1">
      <alignment horizontal="center"/>
    </xf>
    <xf numFmtId="0" fontId="5" fillId="0" borderId="0" xfId="11" applyFont="1" applyAlignment="1">
      <alignment horizontal="centerContinuous"/>
    </xf>
    <xf numFmtId="0" fontId="4" fillId="0" borderId="0" xfId="11" applyFont="1" applyAlignment="1">
      <alignment horizontal="centerContinuous"/>
    </xf>
    <xf numFmtId="14" fontId="12" fillId="0" borderId="2" xfId="11" applyNumberFormat="1" applyFont="1" applyBorder="1"/>
    <xf numFmtId="1" fontId="12" fillId="0" borderId="2" xfId="4" applyNumberFormat="1" applyFont="1" applyBorder="1"/>
    <xf numFmtId="42" fontId="4" fillId="0" borderId="0" xfId="11" applyNumberFormat="1" applyFont="1"/>
    <xf numFmtId="9" fontId="4" fillId="0" borderId="0" xfId="11" applyNumberFormat="1" applyFont="1"/>
    <xf numFmtId="0" fontId="12" fillId="0" borderId="2" xfId="4" applyFont="1" applyBorder="1"/>
    <xf numFmtId="0" fontId="4" fillId="0" borderId="2" xfId="11" applyFont="1" applyBorder="1" applyAlignment="1">
      <alignment horizontal="center"/>
    </xf>
    <xf numFmtId="191" fontId="11" fillId="0" borderId="0" xfId="6" applyNumberFormat="1" applyFont="1" applyAlignment="1">
      <alignment horizontal="center"/>
    </xf>
    <xf numFmtId="176" fontId="11" fillId="0" borderId="0" xfId="12" applyNumberFormat="1" applyFont="1" applyAlignment="1">
      <alignment horizontal="center"/>
    </xf>
    <xf numFmtId="0" fontId="4" fillId="0" borderId="0" xfId="11" applyFont="1" applyAlignment="1">
      <alignment horizontal="right"/>
    </xf>
    <xf numFmtId="0" fontId="37" fillId="3" borderId="0" xfId="0" applyFont="1" applyFill="1"/>
    <xf numFmtId="0" fontId="53" fillId="3" borderId="0" xfId="0" applyFont="1" applyFill="1"/>
    <xf numFmtId="0" fontId="6" fillId="3" borderId="3" xfId="0" applyFont="1" applyFill="1" applyBorder="1" applyAlignment="1">
      <alignment horizontal="centerContinuous"/>
    </xf>
    <xf numFmtId="0" fontId="6" fillId="3" borderId="0" xfId="0" applyFont="1" applyFill="1" applyAlignment="1">
      <alignment horizontal="centerContinuous"/>
    </xf>
    <xf numFmtId="0" fontId="19" fillId="14" borderId="0" xfId="0" applyFont="1" applyFill="1"/>
    <xf numFmtId="0" fontId="7" fillId="14" borderId="0" xfId="0" applyFont="1" applyFill="1"/>
    <xf numFmtId="194" fontId="19" fillId="14" borderId="0" xfId="0" applyNumberFormat="1" applyFont="1" applyFill="1" applyAlignment="1">
      <alignment horizontal="center"/>
    </xf>
    <xf numFmtId="0" fontId="11" fillId="8" borderId="0" xfId="0" applyFont="1" applyFill="1" applyAlignment="1">
      <alignment horizontal="center" vertical="center"/>
    </xf>
    <xf numFmtId="42" fontId="9" fillId="0" borderId="0" xfId="0" applyNumberFormat="1" applyFont="1"/>
    <xf numFmtId="0" fontId="54" fillId="0" borderId="0" xfId="0" applyFont="1" applyAlignment="1">
      <alignment horizontal="center"/>
    </xf>
    <xf numFmtId="205" fontId="55" fillId="0" borderId="0" xfId="0" applyNumberFormat="1" applyFont="1" applyAlignment="1">
      <alignment horizontal="right"/>
    </xf>
    <xf numFmtId="191" fontId="18" fillId="0" borderId="0" xfId="0" applyNumberFormat="1" applyFont="1" applyAlignment="1">
      <alignment horizontal="center"/>
    </xf>
    <xf numFmtId="0" fontId="7" fillId="8" borderId="0" xfId="0" applyFont="1" applyFill="1" applyAlignment="1">
      <alignment horizontal="left" vertical="center" indent="1"/>
    </xf>
    <xf numFmtId="9" fontId="56" fillId="0" borderId="0" xfId="1" applyFont="1"/>
    <xf numFmtId="9" fontId="12" fillId="0" borderId="0" xfId="1" applyFont="1"/>
    <xf numFmtId="0" fontId="30" fillId="0" borderId="0" xfId="11" applyFont="1"/>
    <xf numFmtId="41" fontId="9" fillId="0" borderId="0" xfId="0" applyNumberFormat="1" applyFont="1"/>
    <xf numFmtId="0" fontId="7" fillId="0" borderId="0" xfId="0" applyFont="1"/>
    <xf numFmtId="194" fontId="19" fillId="0" borderId="0" xfId="0" applyNumberFormat="1" applyFont="1" applyAlignment="1">
      <alignment horizontal="center"/>
    </xf>
    <xf numFmtId="0" fontId="5" fillId="0" borderId="0" xfId="0" applyFont="1" applyAlignment="1">
      <alignment vertical="center" wrapText="1"/>
    </xf>
    <xf numFmtId="42" fontId="55" fillId="0" borderId="0" xfId="0" applyNumberFormat="1" applyFont="1"/>
    <xf numFmtId="0" fontId="54" fillId="0" borderId="0" xfId="11" applyFont="1" applyAlignment="1">
      <alignment horizontal="left" indent="1"/>
    </xf>
    <xf numFmtId="174" fontId="57" fillId="0" borderId="0" xfId="1" applyNumberFormat="1" applyFont="1"/>
    <xf numFmtId="0" fontId="58" fillId="0" borderId="0" xfId="11" applyFont="1"/>
    <xf numFmtId="0" fontId="59" fillId="0" borderId="0" xfId="11" applyFont="1"/>
    <xf numFmtId="174" fontId="55" fillId="0" borderId="0" xfId="1" applyNumberFormat="1" applyFont="1"/>
    <xf numFmtId="42" fontId="55" fillId="0" borderId="0" xfId="1" applyNumberFormat="1" applyFont="1"/>
    <xf numFmtId="0" fontId="4" fillId="0" borderId="0" xfId="0" applyFont="1" applyAlignment="1">
      <alignment vertical="center" wrapText="1"/>
    </xf>
    <xf numFmtId="0" fontId="9" fillId="0" borderId="0" xfId="11" applyFont="1"/>
    <xf numFmtId="198" fontId="55" fillId="0" borderId="0" xfId="1" applyNumberFormat="1" applyFont="1"/>
    <xf numFmtId="0" fontId="4" fillId="0" borderId="0" xfId="0" applyFont="1" applyAlignment="1">
      <alignment horizontal="left" vertical="center" indent="1"/>
    </xf>
    <xf numFmtId="174" fontId="7" fillId="0" borderId="0" xfId="1" applyNumberFormat="1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54" fillId="0" borderId="0" xfId="11" applyFont="1" applyAlignment="1">
      <alignment horizontal="center"/>
    </xf>
    <xf numFmtId="176" fontId="12" fillId="0" borderId="0" xfId="4" applyNumberFormat="1" applyFont="1"/>
    <xf numFmtId="0" fontId="7" fillId="8" borderId="0" xfId="0" applyFont="1" applyFill="1" applyAlignment="1">
      <alignment horizontal="left" vertical="center" indent="2"/>
    </xf>
    <xf numFmtId="164" fontId="4" fillId="0" borderId="0" xfId="11" applyNumberFormat="1" applyFont="1" applyAlignment="1">
      <alignment horizontal="center"/>
    </xf>
    <xf numFmtId="0" fontId="52" fillId="0" borderId="0" xfId="0" applyFont="1" applyAlignment="1">
      <alignment horizontal="right" vertical="center"/>
    </xf>
    <xf numFmtId="15" fontId="52" fillId="0" borderId="0" xfId="0" applyNumberFormat="1" applyFont="1" applyAlignment="1">
      <alignment horizontal="left" vertical="center"/>
    </xf>
    <xf numFmtId="3" fontId="52" fillId="0" borderId="0" xfId="0" applyNumberFormat="1" applyFont="1" applyAlignment="1">
      <alignment horizontal="right" vertical="center"/>
    </xf>
    <xf numFmtId="0" fontId="52" fillId="0" borderId="0" xfId="0" applyFont="1" applyAlignment="1">
      <alignment horizontal="center" vertical="center"/>
    </xf>
    <xf numFmtId="9" fontId="18" fillId="0" borderId="0" xfId="1" applyFont="1" applyFill="1"/>
    <xf numFmtId="9" fontId="11" fillId="0" borderId="0" xfId="0" applyNumberFormat="1" applyFont="1"/>
    <xf numFmtId="0" fontId="11" fillId="0" borderId="0" xfId="0" applyFont="1"/>
    <xf numFmtId="4" fontId="4" fillId="0" borderId="0" xfId="11" applyNumberFormat="1" applyFont="1"/>
    <xf numFmtId="171" fontId="11" fillId="0" borderId="0" xfId="0" applyNumberFormat="1" applyFont="1" applyAlignment="1">
      <alignment horizontal="left"/>
    </xf>
    <xf numFmtId="0" fontId="4" fillId="15" borderId="0" xfId="11" applyFont="1" applyFill="1"/>
    <xf numFmtId="0" fontId="4" fillId="12" borderId="0" xfId="11" applyFont="1" applyFill="1"/>
    <xf numFmtId="0" fontId="4" fillId="16" borderId="0" xfId="11" applyFont="1" applyFill="1"/>
    <xf numFmtId="0" fontId="5" fillId="14" borderId="2" xfId="11" applyFont="1" applyFill="1" applyBorder="1" applyAlignment="1">
      <alignment horizontal="center"/>
    </xf>
    <xf numFmtId="0" fontId="5" fillId="14" borderId="2" xfId="11" applyFont="1" applyFill="1" applyBorder="1"/>
    <xf numFmtId="176" fontId="12" fillId="0" borderId="0" xfId="4" applyNumberFormat="1" applyFont="1" applyAlignment="1">
      <alignment horizontal="center"/>
    </xf>
    <xf numFmtId="191" fontId="56" fillId="0" borderId="0" xfId="0" applyNumberFormat="1" applyFont="1" applyAlignment="1">
      <alignment horizontal="center"/>
    </xf>
    <xf numFmtId="205" fontId="55" fillId="0" borderId="0" xfId="0" applyNumberFormat="1" applyFont="1"/>
    <xf numFmtId="9" fontId="56" fillId="0" borderId="0" xfId="1" applyFont="1" applyAlignment="1"/>
    <xf numFmtId="174" fontId="7" fillId="0" borderId="0" xfId="1" applyNumberFormat="1" applyFont="1" applyAlignment="1"/>
    <xf numFmtId="9" fontId="12" fillId="0" borderId="0" xfId="1" applyFont="1" applyAlignment="1"/>
    <xf numFmtId="194" fontId="19" fillId="14" borderId="0" xfId="0" applyNumberFormat="1" applyFont="1" applyFill="1"/>
    <xf numFmtId="194" fontId="19" fillId="0" borderId="0" xfId="0" applyNumberFormat="1" applyFont="1"/>
    <xf numFmtId="174" fontId="57" fillId="0" borderId="0" xfId="1" applyNumberFormat="1" applyFont="1" applyAlignment="1"/>
    <xf numFmtId="174" fontId="55" fillId="0" borderId="0" xfId="1" applyNumberFormat="1" applyFont="1" applyAlignment="1"/>
    <xf numFmtId="42" fontId="55" fillId="0" borderId="0" xfId="1" applyNumberFormat="1" applyFont="1" applyAlignment="1"/>
    <xf numFmtId="198" fontId="55" fillId="0" borderId="0" xfId="1" applyNumberFormat="1" applyFont="1" applyAlignment="1"/>
    <xf numFmtId="0" fontId="6" fillId="3" borderId="4" xfId="0" applyFont="1" applyFill="1" applyBorder="1" applyAlignment="1">
      <alignment horizontal="centerContinuous"/>
    </xf>
    <xf numFmtId="0" fontId="4" fillId="3" borderId="3" xfId="0" applyFont="1" applyFill="1" applyBorder="1" applyAlignment="1">
      <alignment horizontal="centerContinuous"/>
    </xf>
    <xf numFmtId="0" fontId="23" fillId="3" borderId="0" xfId="0" applyFont="1" applyFill="1" applyAlignment="1">
      <alignment horizontal="center"/>
    </xf>
    <xf numFmtId="194" fontId="6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191" fontId="18" fillId="0" borderId="0" xfId="0" applyNumberFormat="1" applyFont="1"/>
    <xf numFmtId="43" fontId="8" fillId="0" borderId="0" xfId="0" applyNumberFormat="1" applyFont="1"/>
    <xf numFmtId="176" fontId="11" fillId="5" borderId="0" xfId="3" applyNumberFormat="1" applyFont="1" applyFill="1" applyAlignment="1">
      <alignment horizontal="center"/>
    </xf>
    <xf numFmtId="164" fontId="11" fillId="0" borderId="0" xfId="0" applyNumberFormat="1" applyFont="1" applyAlignment="1">
      <alignment horizontal="center"/>
    </xf>
    <xf numFmtId="9" fontId="8" fillId="5" borderId="0" xfId="0" applyNumberFormat="1" applyFont="1" applyFill="1"/>
    <xf numFmtId="0" fontId="3" fillId="4" borderId="10" xfId="0" applyFont="1" applyFill="1" applyBorder="1" applyAlignment="1">
      <alignment horizontal="centerContinuous"/>
    </xf>
    <xf numFmtId="0" fontId="3" fillId="4" borderId="8" xfId="0" applyFont="1" applyFill="1" applyBorder="1" applyAlignment="1">
      <alignment horizontal="centerContinuous"/>
    </xf>
    <xf numFmtId="176" fontId="11" fillId="0" borderId="9" xfId="3" applyNumberFormat="1" applyFont="1" applyBorder="1" applyAlignment="1">
      <alignment horizontal="center"/>
    </xf>
    <xf numFmtId="176" fontId="11" fillId="0" borderId="11" xfId="3" applyNumberFormat="1" applyFont="1" applyBorder="1" applyAlignment="1">
      <alignment horizontal="center"/>
    </xf>
    <xf numFmtId="0" fontId="5" fillId="4" borderId="9" xfId="0" applyFont="1" applyFill="1" applyBorder="1" applyAlignment="1">
      <alignment horizontal="centerContinuous"/>
    </xf>
    <xf numFmtId="0" fontId="4" fillId="4" borderId="2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176" fontId="11" fillId="6" borderId="13" xfId="3" applyNumberFormat="1" applyFont="1" applyFill="1" applyBorder="1" applyAlignment="1">
      <alignment horizontal="center"/>
    </xf>
    <xf numFmtId="0" fontId="5" fillId="4" borderId="0" xfId="0" applyFont="1" applyFill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5" fillId="4" borderId="14" xfId="0" applyFont="1" applyFill="1" applyBorder="1" applyAlignment="1">
      <alignment horizontal="centerContinuous"/>
    </xf>
    <xf numFmtId="9" fontId="11" fillId="0" borderId="9" xfId="1" applyFont="1" applyBorder="1" applyAlignment="1">
      <alignment horizontal="center"/>
    </xf>
    <xf numFmtId="9" fontId="11" fillId="6" borderId="13" xfId="1" applyFont="1" applyFill="1" applyBorder="1" applyAlignment="1">
      <alignment horizontal="center"/>
    </xf>
    <xf numFmtId="9" fontId="11" fillId="0" borderId="11" xfId="1" applyFont="1" applyBorder="1" applyAlignment="1">
      <alignment horizontal="center"/>
    </xf>
    <xf numFmtId="165" fontId="8" fillId="5" borderId="0" xfId="0" applyNumberFormat="1" applyFont="1" applyFill="1"/>
    <xf numFmtId="0" fontId="29" fillId="0" borderId="0" xfId="5"/>
    <xf numFmtId="42" fontId="11" fillId="0" borderId="0" xfId="3" applyNumberFormat="1" applyFont="1"/>
    <xf numFmtId="0" fontId="4" fillId="0" borderId="0" xfId="11" applyFont="1" applyAlignment="1">
      <alignment horizontal="left"/>
    </xf>
    <xf numFmtId="0" fontId="19" fillId="6" borderId="9" xfId="3" applyFont="1" applyFill="1" applyBorder="1"/>
    <xf numFmtId="0" fontId="4" fillId="6" borderId="8" xfId="0" applyFont="1" applyFill="1" applyBorder="1"/>
    <xf numFmtId="0" fontId="7" fillId="6" borderId="8" xfId="3" applyFont="1" applyFill="1" applyBorder="1"/>
    <xf numFmtId="42" fontId="19" fillId="6" borderId="10" xfId="0" applyNumberFormat="1" applyFont="1" applyFill="1" applyBorder="1"/>
    <xf numFmtId="0" fontId="4" fillId="4" borderId="13" xfId="0" applyFont="1" applyFill="1" applyBorder="1"/>
    <xf numFmtId="0" fontId="11" fillId="0" borderId="13" xfId="3" applyFont="1" applyBorder="1" applyAlignment="1">
      <alignment horizontal="left"/>
    </xf>
    <xf numFmtId="41" fontId="11" fillId="5" borderId="14" xfId="0" applyNumberFormat="1" applyFont="1" applyFill="1" applyBorder="1"/>
    <xf numFmtId="0" fontId="4" fillId="4" borderId="19" xfId="0" applyFont="1" applyFill="1" applyBorder="1"/>
    <xf numFmtId="8" fontId="4" fillId="0" borderId="10" xfId="0" applyNumberFormat="1" applyFont="1" applyBorder="1" applyAlignment="1">
      <alignment horizontal="center" vertical="center"/>
    </xf>
    <xf numFmtId="0" fontId="19" fillId="6" borderId="13" xfId="3" applyFont="1" applyFill="1" applyBorder="1"/>
    <xf numFmtId="42" fontId="19" fillId="6" borderId="14" xfId="3" applyNumberFormat="1" applyFont="1" applyFill="1" applyBorder="1"/>
    <xf numFmtId="8" fontId="4" fillId="6" borderId="14" xfId="0" applyNumberFormat="1" applyFont="1" applyFill="1" applyBorder="1" applyAlignment="1">
      <alignment horizontal="center" vertical="center"/>
    </xf>
    <xf numFmtId="8" fontId="5" fillId="17" borderId="14" xfId="0" applyNumberFormat="1" applyFont="1" applyFill="1" applyBorder="1" applyAlignment="1">
      <alignment horizontal="center" vertical="center"/>
    </xf>
    <xf numFmtId="0" fontId="11" fillId="0" borderId="11" xfId="3" applyFont="1" applyBorder="1" applyAlignment="1">
      <alignment horizontal="left"/>
    </xf>
    <xf numFmtId="0" fontId="7" fillId="0" borderId="2" xfId="3" applyFont="1" applyBorder="1"/>
    <xf numFmtId="165" fontId="11" fillId="0" borderId="12" xfId="0" applyNumberFormat="1" applyFont="1" applyBorder="1"/>
    <xf numFmtId="0" fontId="4" fillId="4" borderId="20" xfId="0" applyFont="1" applyFill="1" applyBorder="1"/>
    <xf numFmtId="8" fontId="4" fillId="0" borderId="12" xfId="0" applyNumberFormat="1" applyFont="1" applyBorder="1" applyAlignment="1">
      <alignment horizontal="center" vertical="center"/>
    </xf>
    <xf numFmtId="8" fontId="4" fillId="0" borderId="8" xfId="0" applyNumberFormat="1" applyFont="1" applyBorder="1" applyAlignment="1">
      <alignment horizontal="center" vertical="center"/>
    </xf>
    <xf numFmtId="8" fontId="4" fillId="6" borderId="0" xfId="0" applyNumberFormat="1" applyFont="1" applyFill="1" applyAlignment="1">
      <alignment horizontal="center" vertical="center"/>
    </xf>
    <xf numFmtId="8" fontId="5" fillId="6" borderId="14" xfId="0" applyNumberFormat="1" applyFont="1" applyFill="1" applyBorder="1" applyAlignment="1">
      <alignment horizontal="center" vertical="center"/>
    </xf>
    <xf numFmtId="8" fontId="4" fillId="0" borderId="2" xfId="0" applyNumberFormat="1" applyFont="1" applyBorder="1" applyAlignment="1">
      <alignment horizontal="center" vertical="center"/>
    </xf>
    <xf numFmtId="174" fontId="57" fillId="0" borderId="0" xfId="1" applyNumberFormat="1" applyFont="1" applyBorder="1" applyAlignment="1"/>
    <xf numFmtId="174" fontId="7" fillId="0" borderId="0" xfId="1" applyNumberFormat="1" applyFont="1" applyBorder="1" applyAlignment="1"/>
    <xf numFmtId="174" fontId="55" fillId="0" borderId="0" xfId="1" applyNumberFormat="1" applyFont="1" applyBorder="1" applyAlignment="1"/>
    <xf numFmtId="42" fontId="55" fillId="0" borderId="0" xfId="1" applyNumberFormat="1" applyFont="1" applyBorder="1" applyAlignment="1"/>
    <xf numFmtId="198" fontId="55" fillId="0" borderId="0" xfId="1" applyNumberFormat="1" applyFont="1" applyBorder="1" applyAlignment="1"/>
    <xf numFmtId="0" fontId="5" fillId="0" borderId="0" xfId="0" applyFont="1" applyAlignment="1">
      <alignment vertical="center"/>
    </xf>
    <xf numFmtId="0" fontId="7" fillId="8" borderId="0" xfId="0" applyFont="1" applyFill="1" applyAlignment="1">
      <alignment horizontal="left" vertical="center"/>
    </xf>
    <xf numFmtId="0" fontId="54" fillId="0" borderId="0" xfId="11" applyFont="1" applyAlignment="1">
      <alignment horizontal="left"/>
    </xf>
    <xf numFmtId="9" fontId="0" fillId="0" borderId="0" xfId="1" applyFont="1"/>
    <xf numFmtId="0" fontId="60" fillId="3" borderId="0" xfId="0" applyFont="1" applyFill="1"/>
    <xf numFmtId="0" fontId="60" fillId="3" borderId="3" xfId="0" applyFont="1" applyFill="1" applyBorder="1"/>
    <xf numFmtId="0" fontId="61" fillId="3" borderId="3" xfId="0" applyFont="1" applyFill="1" applyBorder="1"/>
    <xf numFmtId="0" fontId="60" fillId="3" borderId="4" xfId="0" applyFont="1" applyFill="1" applyBorder="1"/>
    <xf numFmtId="0" fontId="61" fillId="3" borderId="0" xfId="0" applyFont="1" applyFill="1"/>
    <xf numFmtId="0" fontId="61" fillId="3" borderId="0" xfId="0" applyFont="1" applyFill="1" applyAlignment="1">
      <alignment horizontal="center"/>
    </xf>
    <xf numFmtId="0" fontId="61" fillId="3" borderId="0" xfId="0" applyFont="1" applyFill="1" applyAlignment="1">
      <alignment horizontal="right"/>
    </xf>
    <xf numFmtId="164" fontId="61" fillId="3" borderId="0" xfId="0" applyNumberFormat="1" applyFont="1" applyFill="1" applyAlignment="1">
      <alignment horizontal="center"/>
    </xf>
    <xf numFmtId="164" fontId="61" fillId="3" borderId="7" xfId="0" applyNumberFormat="1" applyFont="1" applyFill="1" applyBorder="1" applyAlignment="1">
      <alignment horizontal="center"/>
    </xf>
    <xf numFmtId="164" fontId="61" fillId="3" borderId="6" xfId="0" applyNumberFormat="1" applyFont="1" applyFill="1" applyBorder="1" applyAlignment="1">
      <alignment horizontal="center"/>
    </xf>
    <xf numFmtId="0" fontId="60" fillId="0" borderId="0" xfId="0" applyFont="1"/>
    <xf numFmtId="0" fontId="62" fillId="0" borderId="0" xfId="0" applyFont="1"/>
    <xf numFmtId="0" fontId="63" fillId="0" borderId="0" xfId="0" applyFont="1" applyAlignment="1">
      <alignment horizontal="center"/>
    </xf>
    <xf numFmtId="42" fontId="62" fillId="0" borderId="0" xfId="0" applyNumberFormat="1" applyFont="1"/>
    <xf numFmtId="0" fontId="64" fillId="0" borderId="0" xfId="0" applyFont="1" applyAlignment="1">
      <alignment horizontal="left" indent="1"/>
    </xf>
    <xf numFmtId="0" fontId="64" fillId="0" borderId="0" xfId="0" applyFont="1" applyAlignment="1">
      <alignment horizontal="center"/>
    </xf>
    <xf numFmtId="9" fontId="60" fillId="0" borderId="0" xfId="1" applyFont="1"/>
    <xf numFmtId="0" fontId="65" fillId="8" borderId="0" xfId="0" applyFont="1" applyFill="1" applyAlignment="1">
      <alignment horizontal="left" vertical="center" indent="1"/>
    </xf>
    <xf numFmtId="42" fontId="60" fillId="0" borderId="0" xfId="0" applyNumberFormat="1" applyFont="1"/>
    <xf numFmtId="0" fontId="65" fillId="0" borderId="0" xfId="3" applyFont="1"/>
    <xf numFmtId="41" fontId="60" fillId="0" borderId="0" xfId="0" applyNumberFormat="1" applyFont="1"/>
    <xf numFmtId="0" fontId="66" fillId="0" borderId="0" xfId="3" applyFont="1"/>
    <xf numFmtId="44" fontId="65" fillId="8" borderId="0" xfId="0" applyNumberFormat="1" applyFont="1" applyFill="1" applyAlignment="1">
      <alignment horizontal="left" vertical="center" indent="1"/>
    </xf>
    <xf numFmtId="0" fontId="60" fillId="0" borderId="0" xfId="0" applyFont="1" applyAlignment="1">
      <alignment horizontal="left" indent="2"/>
    </xf>
    <xf numFmtId="0" fontId="60" fillId="0" borderId="0" xfId="0" applyFont="1" applyAlignment="1">
      <alignment horizontal="left" indent="1"/>
    </xf>
    <xf numFmtId="9" fontId="64" fillId="0" borderId="0" xfId="1" applyFont="1"/>
    <xf numFmtId="0" fontId="62" fillId="6" borderId="2" xfId="0" applyFont="1" applyFill="1" applyBorder="1"/>
    <xf numFmtId="173" fontId="67" fillId="0" borderId="0" xfId="0" applyNumberFormat="1" applyFont="1" applyAlignment="1">
      <alignment horizontal="center"/>
    </xf>
    <xf numFmtId="168" fontId="68" fillId="5" borderId="0" xfId="2" applyNumberFormat="1" applyFont="1" applyFill="1" applyBorder="1" applyAlignment="1">
      <alignment horizontal="center"/>
    </xf>
    <xf numFmtId="173" fontId="65" fillId="0" borderId="0" xfId="3" applyNumberFormat="1" applyFont="1"/>
    <xf numFmtId="175" fontId="66" fillId="0" borderId="0" xfId="3" applyNumberFormat="1" applyFont="1"/>
    <xf numFmtId="176" fontId="65" fillId="5" borderId="0" xfId="3" applyNumberFormat="1" applyFont="1" applyFill="1" applyAlignment="1">
      <alignment horizontal="center"/>
    </xf>
    <xf numFmtId="168" fontId="65" fillId="5" borderId="0" xfId="2" applyNumberFormat="1" applyFont="1" applyFill="1" applyBorder="1" applyAlignment="1">
      <alignment horizontal="center"/>
    </xf>
    <xf numFmtId="176" fontId="68" fillId="5" borderId="0" xfId="3" applyNumberFormat="1" applyFont="1" applyFill="1" applyAlignment="1">
      <alignment horizontal="center"/>
    </xf>
    <xf numFmtId="176" fontId="68" fillId="0" borderId="0" xfId="3" applyNumberFormat="1" applyFont="1" applyAlignment="1">
      <alignment horizontal="center"/>
    </xf>
    <xf numFmtId="168" fontId="68" fillId="0" borderId="0" xfId="2" applyNumberFormat="1" applyFont="1" applyFill="1" applyBorder="1" applyAlignment="1">
      <alignment horizontal="center"/>
    </xf>
    <xf numFmtId="177" fontId="60" fillId="0" borderId="0" xfId="0" applyNumberFormat="1" applyFont="1"/>
    <xf numFmtId="177" fontId="69" fillId="0" borderId="0" xfId="0" applyNumberFormat="1" applyFont="1"/>
    <xf numFmtId="178" fontId="69" fillId="0" borderId="0" xfId="4" applyNumberFormat="1" applyFont="1" applyAlignment="1">
      <alignment horizontal="center"/>
    </xf>
    <xf numFmtId="176" fontId="65" fillId="0" borderId="0" xfId="3" applyNumberFormat="1" applyFont="1"/>
    <xf numFmtId="0" fontId="65" fillId="0" borderId="0" xfId="3" applyFont="1" applyAlignment="1">
      <alignment horizontal="left" indent="1"/>
    </xf>
    <xf numFmtId="179" fontId="65" fillId="0" borderId="0" xfId="3" applyNumberFormat="1" applyFont="1"/>
    <xf numFmtId="6" fontId="65" fillId="0" borderId="0" xfId="3" applyNumberFormat="1" applyFont="1"/>
    <xf numFmtId="0" fontId="65" fillId="0" borderId="2" xfId="3" applyFont="1" applyBorder="1" applyAlignment="1">
      <alignment horizontal="left" indent="1"/>
    </xf>
    <xf numFmtId="0" fontId="65" fillId="0" borderId="2" xfId="3" applyFont="1" applyBorder="1"/>
    <xf numFmtId="179" fontId="65" fillId="0" borderId="2" xfId="3" applyNumberFormat="1" applyFont="1" applyBorder="1"/>
    <xf numFmtId="0" fontId="66" fillId="6" borderId="0" xfId="3" applyFont="1" applyFill="1" applyAlignment="1">
      <alignment horizontal="left"/>
    </xf>
    <xf numFmtId="0" fontId="65" fillId="6" borderId="0" xfId="3" applyFont="1" applyFill="1"/>
    <xf numFmtId="179" fontId="62" fillId="6" borderId="0" xfId="0" applyNumberFormat="1" applyFont="1" applyFill="1"/>
    <xf numFmtId="165" fontId="60" fillId="0" borderId="0" xfId="0" applyNumberFormat="1" applyFont="1"/>
    <xf numFmtId="0" fontId="70" fillId="0" borderId="0" xfId="3" applyFont="1" applyAlignment="1">
      <alignment horizontal="left" indent="1"/>
    </xf>
    <xf numFmtId="180" fontId="70" fillId="0" borderId="0" xfId="3" applyNumberFormat="1" applyFont="1"/>
    <xf numFmtId="181" fontId="65" fillId="5" borderId="0" xfId="3" applyNumberFormat="1" applyFont="1" applyFill="1"/>
    <xf numFmtId="0" fontId="65" fillId="0" borderId="0" xfId="3" applyFont="1" applyAlignment="1">
      <alignment horizontal="left"/>
    </xf>
    <xf numFmtId="165" fontId="65" fillId="0" borderId="0" xfId="3" applyNumberFormat="1" applyFont="1"/>
    <xf numFmtId="0" fontId="66" fillId="6" borderId="2" xfId="3" applyFont="1" applyFill="1" applyBorder="1" applyAlignment="1">
      <alignment horizontal="left"/>
    </xf>
    <xf numFmtId="0" fontId="65" fillId="6" borderId="2" xfId="3" applyFont="1" applyFill="1" applyBorder="1"/>
    <xf numFmtId="179" fontId="62" fillId="6" borderId="2" xfId="0" applyNumberFormat="1" applyFont="1" applyFill="1" applyBorder="1"/>
    <xf numFmtId="0" fontId="66" fillId="0" borderId="0" xfId="3" applyFont="1" applyAlignment="1">
      <alignment horizontal="left"/>
    </xf>
    <xf numFmtId="166" fontId="62" fillId="0" borderId="0" xfId="0" applyNumberFormat="1" applyFont="1"/>
    <xf numFmtId="182" fontId="60" fillId="0" borderId="0" xfId="0" applyNumberFormat="1" applyFont="1"/>
    <xf numFmtId="0" fontId="66" fillId="7" borderId="9" xfId="3" applyFont="1" applyFill="1" applyBorder="1"/>
    <xf numFmtId="0" fontId="66" fillId="7" borderId="8" xfId="3" applyFont="1" applyFill="1" applyBorder="1"/>
    <xf numFmtId="183" fontId="62" fillId="7" borderId="10" xfId="0" applyNumberFormat="1" applyFont="1" applyFill="1" applyBorder="1"/>
    <xf numFmtId="0" fontId="66" fillId="7" borderId="11" xfId="3" applyFont="1" applyFill="1" applyBorder="1"/>
    <xf numFmtId="0" fontId="66" fillId="7" borderId="2" xfId="3" applyFont="1" applyFill="1" applyBorder="1"/>
    <xf numFmtId="174" fontId="62" fillId="7" borderId="12" xfId="0" applyNumberFormat="1" applyFont="1" applyFill="1" applyBorder="1"/>
    <xf numFmtId="0" fontId="61" fillId="3" borderId="9" xfId="0" applyFont="1" applyFill="1" applyBorder="1"/>
    <xf numFmtId="0" fontId="61" fillId="3" borderId="8" xfId="0" applyFont="1" applyFill="1" applyBorder="1"/>
    <xf numFmtId="0" fontId="61" fillId="3" borderId="10" xfId="0" applyFont="1" applyFill="1" applyBorder="1"/>
    <xf numFmtId="0" fontId="69" fillId="0" borderId="13" xfId="4" applyFont="1" applyBorder="1"/>
    <xf numFmtId="0" fontId="65" fillId="0" borderId="0" xfId="3" applyFont="1" applyAlignment="1">
      <alignment horizontal="center"/>
    </xf>
    <xf numFmtId="176" fontId="65" fillId="0" borderId="0" xfId="3" applyNumberFormat="1" applyFont="1" applyAlignment="1">
      <alignment horizontal="center"/>
    </xf>
    <xf numFmtId="176" fontId="65" fillId="0" borderId="14" xfId="3" applyNumberFormat="1" applyFont="1" applyBorder="1" applyAlignment="1">
      <alignment horizontal="center"/>
    </xf>
    <xf numFmtId="0" fontId="62" fillId="18" borderId="11" xfId="0" applyFont="1" applyFill="1" applyBorder="1"/>
    <xf numFmtId="0" fontId="62" fillId="18" borderId="2" xfId="0" applyFont="1" applyFill="1" applyBorder="1" applyAlignment="1">
      <alignment horizontal="center"/>
    </xf>
    <xf numFmtId="176" fontId="66" fillId="18" borderId="2" xfId="3" applyNumberFormat="1" applyFont="1" applyFill="1" applyBorder="1" applyAlignment="1">
      <alignment horizontal="center"/>
    </xf>
    <xf numFmtId="176" fontId="66" fillId="18" borderId="12" xfId="3" applyNumberFormat="1" applyFont="1" applyFill="1" applyBorder="1" applyAlignment="1">
      <alignment horizontal="center"/>
    </xf>
    <xf numFmtId="0" fontId="62" fillId="0" borderId="13" xfId="0" applyFont="1" applyBorder="1"/>
    <xf numFmtId="0" fontId="62" fillId="0" borderId="0" xfId="0" applyFont="1" applyAlignment="1">
      <alignment horizontal="center"/>
    </xf>
    <xf numFmtId="176" fontId="66" fillId="0" borderId="0" xfId="3" applyNumberFormat="1" applyFont="1" applyAlignment="1">
      <alignment horizontal="center"/>
    </xf>
    <xf numFmtId="176" fontId="66" fillId="0" borderId="14" xfId="3" applyNumberFormat="1" applyFont="1" applyBorder="1" applyAlignment="1">
      <alignment horizontal="center"/>
    </xf>
    <xf numFmtId="0" fontId="62" fillId="6" borderId="13" xfId="0" applyFont="1" applyFill="1" applyBorder="1"/>
    <xf numFmtId="0" fontId="62" fillId="6" borderId="0" xfId="0" applyFont="1" applyFill="1" applyAlignment="1">
      <alignment horizontal="center"/>
    </xf>
    <xf numFmtId="176" fontId="66" fillId="6" borderId="0" xfId="3" applyNumberFormat="1" applyFont="1" applyFill="1" applyAlignment="1">
      <alignment horizontal="center"/>
    </xf>
    <xf numFmtId="0" fontId="60" fillId="0" borderId="13" xfId="0" applyFont="1" applyBorder="1"/>
    <xf numFmtId="0" fontId="60" fillId="0" borderId="14" xfId="0" applyFont="1" applyBorder="1"/>
    <xf numFmtId="0" fontId="61" fillId="4" borderId="13" xfId="4" applyFont="1" applyFill="1" applyBorder="1" applyAlignment="1">
      <alignment horizontal="center"/>
    </xf>
    <xf numFmtId="0" fontId="61" fillId="4" borderId="0" xfId="0" applyFont="1" applyFill="1" applyAlignment="1">
      <alignment horizontal="center"/>
    </xf>
    <xf numFmtId="0" fontId="61" fillId="4" borderId="14" xfId="0" applyFont="1" applyFill="1" applyBorder="1" applyAlignment="1">
      <alignment horizontal="center"/>
    </xf>
    <xf numFmtId="0" fontId="62" fillId="0" borderId="11" xfId="0" applyFont="1" applyBorder="1" applyAlignment="1">
      <alignment horizontal="center"/>
    </xf>
    <xf numFmtId="0" fontId="62" fillId="0" borderId="2" xfId="0" applyFont="1" applyBorder="1" applyAlignment="1">
      <alignment horizontal="center"/>
    </xf>
    <xf numFmtId="0" fontId="60" fillId="0" borderId="2" xfId="0" applyFont="1" applyBorder="1" applyAlignment="1">
      <alignment horizontal="center"/>
    </xf>
    <xf numFmtId="176" fontId="66" fillId="0" borderId="2" xfId="3" applyNumberFormat="1" applyFont="1" applyBorder="1" applyAlignment="1">
      <alignment horizontal="center"/>
    </xf>
    <xf numFmtId="0" fontId="60" fillId="0" borderId="12" xfId="0" applyFont="1" applyBorder="1" applyAlignment="1">
      <alignment horizontal="center"/>
    </xf>
    <xf numFmtId="183" fontId="5" fillId="0" borderId="0" xfId="0" applyNumberFormat="1" applyFont="1"/>
    <xf numFmtId="0" fontId="19" fillId="4" borderId="0" xfId="6" applyFont="1" applyFill="1" applyAlignment="1">
      <alignment horizontal="center"/>
    </xf>
    <xf numFmtId="0" fontId="0" fillId="0" borderId="0" xfId="0" applyAlignment="1">
      <alignment horizontal="center"/>
    </xf>
  </cellXfs>
  <cellStyles count="13">
    <cellStyle name="Hyperlink" xfId="5" builtinId="8"/>
    <cellStyle name="Normal" xfId="0" builtinId="0"/>
    <cellStyle name="Normal 2" xfId="3" xr:uid="{DB7F5E36-732E-4F1B-AC87-35DF7050C34C}"/>
    <cellStyle name="Normal 2 2" xfId="4" xr:uid="{8B9FB157-AE81-44D1-8E67-59CD959E9354}"/>
    <cellStyle name="Normal 2 2 2" xfId="12" xr:uid="{DACACCB2-214E-4B3D-B703-6F7B443A400C}"/>
    <cellStyle name="Normal 3 2" xfId="6" xr:uid="{722F2F54-529F-468C-AF86-6585DBE3401A}"/>
    <cellStyle name="Normal 3 2 2" xfId="11" xr:uid="{1316D863-90AD-4EB7-9290-24FCBE2254AD}"/>
    <cellStyle name="Normal 3 3" xfId="8" xr:uid="{1F2C0F5F-C410-4A2E-8A67-6BAA7FDCE5C2}"/>
    <cellStyle name="Normal 3 4" xfId="10" xr:uid="{090E680F-37EF-4307-BB80-BE6B744D61C6}"/>
    <cellStyle name="Normal 5 2" xfId="9" xr:uid="{73E34AA0-7FC5-4B96-89B9-1DCE8424639B}"/>
    <cellStyle name="Note" xfId="2" builtinId="10"/>
    <cellStyle name="Percent" xfId="1" builtinId="5"/>
    <cellStyle name="TextNormal" xfId="7" xr:uid="{80EEF242-C6F7-490C-A9CD-999A3236E7F9}"/>
  </cellStyles>
  <dxfs count="0"/>
  <tableStyles count="0" defaultTableStyle="TableStyleMedium2" defaultPivotStyle="PivotStyleLight16"/>
  <colors>
    <mruColors>
      <color rgb="FF93F595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Graphs!$Q$30</c:f>
          <c:strCache>
            <c:ptCount val="1"/>
            <c:pt idx="0">
              <c:v>MP Materials Corp.: Revenue, EBITDA, and Margins, FYYear to FY27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Graphs!$R$23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numRef>
              <c:f>Graphs!$Q$24:$Q$27</c:f>
              <c:numCache>
                <c:formatCode>"FY"\ yy</c:formatCode>
                <c:ptCount val="4"/>
                <c:pt idx="0">
                  <c:v>46022</c:v>
                </c:pt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</c:numCache>
            </c:numRef>
          </c:cat>
          <c:val>
            <c:numRef>
              <c:f>Graphs!$R$24:$R$27</c:f>
              <c:numCache>
                <c:formatCode>_("$"* #,##0_);_("$"* \(#,##0\);_("$"* "-"_);_(@_)</c:formatCode>
                <c:ptCount val="4"/>
                <c:pt idx="0">
                  <c:v>314708.40000000002</c:v>
                </c:pt>
                <c:pt idx="1">
                  <c:v>398995</c:v>
                </c:pt>
                <c:pt idx="2">
                  <c:v>522406.17467239487</c:v>
                </c:pt>
                <c:pt idx="3">
                  <c:v>681452.60136240441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C6-4E5B-8C71-6EB82C5D6444}"/>
            </c:ext>
          </c:extLst>
        </c:ser>
        <c:ser>
          <c:idx val="1"/>
          <c:order val="1"/>
          <c:tx>
            <c:strRef>
              <c:f>Graphs!$S$23</c:f>
              <c:strCache>
                <c:ptCount val="1"/>
                <c:pt idx="0">
                  <c:v>EBITDA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Graphs!$Q$24:$Q$27</c:f>
              <c:numCache>
                <c:formatCode>"FY"\ yy</c:formatCode>
                <c:ptCount val="4"/>
                <c:pt idx="0">
                  <c:v>46022</c:v>
                </c:pt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</c:numCache>
            </c:numRef>
          </c:cat>
          <c:val>
            <c:numRef>
              <c:f>Graphs!$S$24:$S$27</c:f>
              <c:numCache>
                <c:formatCode>_("$"* #,##0_);_("$"* \(#,##0\);_("$"* "-"_);_(@_)</c:formatCode>
                <c:ptCount val="4"/>
                <c:pt idx="0">
                  <c:v>94371.40353678129</c:v>
                </c:pt>
                <c:pt idx="1">
                  <c:v>152841.91064587972</c:v>
                </c:pt>
                <c:pt idx="2">
                  <c:v>236685.12008063475</c:v>
                </c:pt>
                <c:pt idx="3">
                  <c:v>327097.24865395413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C6-4E5B-8C71-6EB82C5D6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21487760"/>
        <c:axId val="1721506480"/>
      </c:barChart>
      <c:lineChart>
        <c:grouping val="standard"/>
        <c:varyColors val="0"/>
        <c:ser>
          <c:idx val="2"/>
          <c:order val="2"/>
          <c:tx>
            <c:strRef>
              <c:f>Graphs!$T$23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Graphs!$Q$24:$Q$27</c:f>
              <c:numCache>
                <c:formatCode>"FY"\ yy</c:formatCode>
                <c:ptCount val="4"/>
                <c:pt idx="0">
                  <c:v>46022</c:v>
                </c:pt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</c:numCache>
            </c:numRef>
          </c:cat>
          <c:val>
            <c:numRef>
              <c:f>Graphs!$T$24:$T$27</c:f>
              <c:numCache>
                <c:formatCode>0.0%</c:formatCode>
                <c:ptCount val="4"/>
                <c:pt idx="0">
                  <c:v>0.29986935060132264</c:v>
                </c:pt>
                <c:pt idx="1">
                  <c:v>0.38306723303770651</c:v>
                </c:pt>
                <c:pt idx="2">
                  <c:v>0.45306723303770652</c:v>
                </c:pt>
                <c:pt idx="3">
                  <c:v>0.48000000000000004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C6-4E5B-8C71-6EB82C5D6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2289503"/>
        <c:axId val="1142289983"/>
      </c:lineChart>
      <c:dateAx>
        <c:axId val="1721487760"/>
        <c:scaling>
          <c:orientation val="minMax"/>
        </c:scaling>
        <c:delete val="0"/>
        <c:axPos val="b"/>
        <c:numFmt formatCode="&quot;FY&quot;\ 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506480"/>
        <c:crosses val="autoZero"/>
        <c:auto val="1"/>
        <c:lblOffset val="100"/>
        <c:baseTimeUnit val="years"/>
      </c:dateAx>
      <c:valAx>
        <c:axId val="172150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487760"/>
        <c:crosses val="autoZero"/>
        <c:crossBetween val="between"/>
      </c:valAx>
      <c:valAx>
        <c:axId val="1142289983"/>
        <c:scaling>
          <c:orientation val="minMax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2289503"/>
        <c:crosses val="max"/>
        <c:crossBetween val="between"/>
      </c:valAx>
      <c:dateAx>
        <c:axId val="1142289503"/>
        <c:scaling>
          <c:orientation val="minMax"/>
        </c:scaling>
        <c:delete val="1"/>
        <c:axPos val="t"/>
        <c:numFmt formatCode="&quot;FY&quot;\ yy" sourceLinked="1"/>
        <c:majorTickMark val="out"/>
        <c:minorTickMark val="none"/>
        <c:tickLblPos val="nextTo"/>
        <c:crossAx val="1142289983"/>
        <c:crosses val="max"/>
        <c:auto val="1"/>
        <c:lblOffset val="100"/>
        <c:baseTimeUnit val="year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Graphs!$Q$66</c:f>
          <c:strCache>
            <c:ptCount val="1"/>
            <c:pt idx="0">
              <c:v>FY26 EBITDA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A59-41FA-8566-D476B347ABDD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506-4A31-A206-CA23A960618E}"/>
              </c:ext>
            </c:extLst>
          </c:dPt>
          <c:cat>
            <c:strRef>
              <c:f>Graphs!$Q$44:$Q$50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Graphs!$AA$44:$AA$50</c:f>
              <c:numCache>
                <c:formatCode>0.0\ \x</c:formatCode>
                <c:ptCount val="7"/>
                <c:pt idx="0">
                  <c:v>17.739695652173918</c:v>
                </c:pt>
                <c:pt idx="1">
                  <c:v>22.225022673031031</c:v>
                </c:pt>
                <c:pt idx="2">
                  <c:v>2.6934297520661161</c:v>
                </c:pt>
                <c:pt idx="3">
                  <c:v>8.9311851767068262</c:v>
                </c:pt>
                <c:pt idx="4">
                  <c:v>16.677284162531016</c:v>
                </c:pt>
                <c:pt idx="5">
                  <c:v>13.084254738805969</c:v>
                </c:pt>
                <c:pt idx="6">
                  <c:v>23.322554035973742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59-41FA-8566-D476B347A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0627231"/>
        <c:axId val="550613791"/>
      </c:barChart>
      <c:catAx>
        <c:axId val="550627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13791"/>
        <c:crosses val="autoZero"/>
        <c:auto val="1"/>
        <c:lblAlgn val="ctr"/>
        <c:lblOffset val="100"/>
        <c:noMultiLvlLbl val="0"/>
      </c:catAx>
      <c:valAx>
        <c:axId val="55061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27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ValGraph!$W$1</c:f>
          <c:strCache>
            <c:ptCount val="1"/>
            <c:pt idx="0">
              <c:v>MP Materials Corp. Valuation - Base Case - Range of Implied Share Prices</c:v>
            </c:pt>
          </c:strCache>
        </c:strRef>
      </c:tx>
      <c:layout>
        <c:manualLayout>
          <c:xMode val="edge"/>
          <c:yMode val="edge"/>
          <c:x val="0.25101149895347674"/>
          <c:y val="1.63172888558423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1"/>
          <c:tx>
            <c:strRef>
              <c:f>ValGraph!$H$32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ValGraph!$A$34:$A$44</c:f>
              <c:strCache>
                <c:ptCount val="11"/>
                <c:pt idx="0">
                  <c:v>(9.9% - 11.9% WACC, 5.5% - 8.5% Free Cash Flow Growth Rate</c:v>
                </c:pt>
                <c:pt idx="2">
                  <c:v>LTM TEV / Revenue:</c:v>
                </c:pt>
                <c:pt idx="3">
                  <c:v>CY 25 TEV / Revenue:</c:v>
                </c:pt>
                <c:pt idx="4">
                  <c:v>CY 26 TEV / Revenue:</c:v>
                </c:pt>
                <c:pt idx="5">
                  <c:v>LTM TEV / EBITDA:</c:v>
                </c:pt>
                <c:pt idx="6">
                  <c:v>CY 25 TEV / EBITDA:</c:v>
                </c:pt>
                <c:pt idx="7">
                  <c:v>CY 26 TEV / EBITDA:</c:v>
                </c:pt>
                <c:pt idx="8">
                  <c:v>LTM P / E:</c:v>
                </c:pt>
                <c:pt idx="9">
                  <c:v>CY 25 P / E:</c:v>
                </c:pt>
                <c:pt idx="10">
                  <c:v>CY 26 P / E:</c:v>
                </c:pt>
              </c:strCache>
            </c:strRef>
          </c:cat>
          <c:val>
            <c:numRef>
              <c:f>ValGraph!$M$34:$M$44</c:f>
              <c:numCache>
                <c:formatCode>General</c:formatCode>
                <c:ptCount val="11"/>
                <c:pt idx="0" formatCode="_([$$-409]* #,##0.00_);_([$$-409]* \(#,##0.00\);_([$$-409]* &quot;-&quot;??_);_(@_)">
                  <c:v>37.404453994662788</c:v>
                </c:pt>
                <c:pt idx="2" formatCode="_(* #,##0.00_);_(* \(#,##0.00\);_(* &quot;-&quot;??_);_(@_)">
                  <c:v>1.6225549281503142</c:v>
                </c:pt>
                <c:pt idx="3" formatCode="_(* #,##0.00_);_(* \(#,##0.00\);_(* &quot;-&quot;??_);_(@_)">
                  <c:v>4.1028854418459808</c:v>
                </c:pt>
                <c:pt idx="4" formatCode="_(* #,##0.00_);_(* \(#,##0.00\);_(* &quot;-&quot;??_);_(@_)">
                  <c:v>4.3042616822402007</c:v>
                </c:pt>
                <c:pt idx="5" formatCode="_(* #,##0.00_);_(* \(#,##0.00\);_(* &quot;-&quot;??_);_(@_)">
                  <c:v>14.597594482392482</c:v>
                </c:pt>
                <c:pt idx="6" formatCode="_(* #,##0.00_);_(* \(#,##0.00\);_(* &quot;-&quot;??_);_(@_)">
                  <c:v>2.74001791750521</c:v>
                </c:pt>
                <c:pt idx="7" formatCode="_(* #,##0.00_);_(* \(#,##0.00\);_(* &quot;-&quot;??_);_(@_)">
                  <c:v>2.6691660917716766</c:v>
                </c:pt>
                <c:pt idx="8" formatCode="_(* #,##0.00_);_(* \(#,##0.00\);_(* &quot;-&quot;??_);_(@_)">
                  <c:v>-2.01790616656056</c:v>
                </c:pt>
                <c:pt idx="9" formatCode="_(* #,##0.00_);_(* \(#,##0.00\);_(* &quot;-&quot;??_);_(@_)">
                  <c:v>2.7798177234031494</c:v>
                </c:pt>
                <c:pt idx="10" formatCode="_(* #,##0.00_);_(* \(#,##0.00\);_(* &quot;-&quot;??_);_(@_)">
                  <c:v>2.8026305444133732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F-496D-A1BF-A3A2B3C3CDF3}"/>
            </c:ext>
          </c:extLst>
        </c:ser>
        <c:ser>
          <c:idx val="1"/>
          <c:order val="2"/>
          <c:tx>
            <c:strRef>
              <c:f>ValGraph!$I$32</c:f>
              <c:strCache>
                <c:ptCount val="1"/>
                <c:pt idx="0">
                  <c:v>25th</c:v>
                </c:pt>
              </c:strCache>
            </c:strRef>
          </c:tx>
          <c:spPr>
            <a:solidFill>
              <a:schemeClr val="accent4">
                <a:shade val="7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ValGraph!$A$34:$A$44</c:f>
              <c:strCache>
                <c:ptCount val="11"/>
                <c:pt idx="0">
                  <c:v>(9.9% - 11.9% WACC, 5.5% - 8.5% Free Cash Flow Growth Rate</c:v>
                </c:pt>
                <c:pt idx="2">
                  <c:v>LTM TEV / Revenue:</c:v>
                </c:pt>
                <c:pt idx="3">
                  <c:v>CY 25 TEV / Revenue:</c:v>
                </c:pt>
                <c:pt idx="4">
                  <c:v>CY 26 TEV / Revenue:</c:v>
                </c:pt>
                <c:pt idx="5">
                  <c:v>LTM TEV / EBITDA:</c:v>
                </c:pt>
                <c:pt idx="6">
                  <c:v>CY 25 TEV / EBITDA:</c:v>
                </c:pt>
                <c:pt idx="7">
                  <c:v>CY 26 TEV / EBITDA:</c:v>
                </c:pt>
                <c:pt idx="8">
                  <c:v>LTM P / E:</c:v>
                </c:pt>
                <c:pt idx="9">
                  <c:v>CY 25 P / E:</c:v>
                </c:pt>
                <c:pt idx="10">
                  <c:v>CY 26 P / E:</c:v>
                </c:pt>
              </c:strCache>
            </c:strRef>
          </c:cat>
          <c:val>
            <c:numRef>
              <c:f>ValGraph!$N$34:$N$44</c:f>
              <c:numCache>
                <c:formatCode>General</c:formatCode>
                <c:ptCount val="11"/>
                <c:pt idx="0" formatCode="_([$$-409]* #,##0.00_);_([$$-409]* \(#,##0.00\);_([$$-409]* &quot;-&quot;??_);_(@_)">
                  <c:v>7.4194950585608694</c:v>
                </c:pt>
                <c:pt idx="2" formatCode="_(* #,##0.00_);_(* \(#,##0.00\);_(* &quot;-&quot;??_);_(@_)">
                  <c:v>0.77880615978944268</c:v>
                </c:pt>
                <c:pt idx="3" formatCode="_(* #,##0.00_);_(* \(#,##0.00\);_(* &quot;-&quot;??_);_(@_)">
                  <c:v>1.6879181815423658</c:v>
                </c:pt>
                <c:pt idx="4" formatCode="_(* #,##0.00_);_(* \(#,##0.00\);_(* &quot;-&quot;??_);_(@_)">
                  <c:v>2.5926489475269534</c:v>
                </c:pt>
                <c:pt idx="5" formatCode="_(* #,##0.00_);_(* \(#,##0.00\);_(* &quot;-&quot;??_);_(@_)">
                  <c:v>2.8052384741865222</c:v>
                </c:pt>
                <c:pt idx="6" formatCode="_(* #,##0.00_);_(* \(#,##0.00\);_(* &quot;-&quot;??_);_(@_)">
                  <c:v>4.4850439832833437</c:v>
                </c:pt>
                <c:pt idx="7" formatCode="_(* #,##0.00_);_(* \(#,##0.00\);_(* &quot;-&quot;??_);_(@_)">
                  <c:v>8.1670592091033551</c:v>
                </c:pt>
                <c:pt idx="8" formatCode="_(* #,##0.00_);_(* \(#,##0.00\);_(* &quot;-&quot;??_);_(@_)">
                  <c:v>-5.6178396926824421</c:v>
                </c:pt>
                <c:pt idx="9" formatCode="_(* #,##0.00_);_(* \(#,##0.00\);_(* &quot;-&quot;??_);_(@_)">
                  <c:v>1.7291348425354673</c:v>
                </c:pt>
                <c:pt idx="10" formatCode="_(* #,##0.00_);_(* \(#,##0.00\);_(* &quot;-&quot;??_);_(@_)">
                  <c:v>7.0093979735377587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F-496D-A1BF-A3A2B3C3CDF3}"/>
            </c:ext>
          </c:extLst>
        </c:ser>
        <c:ser>
          <c:idx val="2"/>
          <c:order val="3"/>
          <c:tx>
            <c:strRef>
              <c:f>ValGraph!$J$32</c:f>
              <c:strCache>
                <c:ptCount val="1"/>
                <c:pt idx="0">
                  <c:v>Median</c:v>
                </c:pt>
              </c:strCache>
            </c:strRef>
          </c:tx>
          <c:spPr>
            <a:solidFill>
              <a:schemeClr val="accent4">
                <a:shade val="9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ValGraph!$A$34:$A$44</c:f>
              <c:strCache>
                <c:ptCount val="11"/>
                <c:pt idx="0">
                  <c:v>(9.9% - 11.9% WACC, 5.5% - 8.5% Free Cash Flow Growth Rate</c:v>
                </c:pt>
                <c:pt idx="2">
                  <c:v>LTM TEV / Revenue:</c:v>
                </c:pt>
                <c:pt idx="3">
                  <c:v>CY 25 TEV / Revenue:</c:v>
                </c:pt>
                <c:pt idx="4">
                  <c:v>CY 26 TEV / Revenue:</c:v>
                </c:pt>
                <c:pt idx="5">
                  <c:v>LTM TEV / EBITDA:</c:v>
                </c:pt>
                <c:pt idx="6">
                  <c:v>CY 25 TEV / EBITDA:</c:v>
                </c:pt>
                <c:pt idx="7">
                  <c:v>CY 26 TEV / EBITDA:</c:v>
                </c:pt>
                <c:pt idx="8">
                  <c:v>LTM P / E:</c:v>
                </c:pt>
                <c:pt idx="9">
                  <c:v>CY 25 P / E:</c:v>
                </c:pt>
                <c:pt idx="10">
                  <c:v>CY 26 P / E:</c:v>
                </c:pt>
              </c:strCache>
            </c:strRef>
          </c:cat>
          <c:val>
            <c:numRef>
              <c:f>ValGraph!$O$34:$O$44</c:f>
              <c:numCache>
                <c:formatCode>General</c:formatCode>
                <c:ptCount val="11"/>
                <c:pt idx="0" formatCode="_([$$-409]* #,##0.00_);_([$$-409]* \(#,##0.00\);_([$$-409]* &quot;-&quot;??_);_(@_)">
                  <c:v>17.299663447628632</c:v>
                </c:pt>
                <c:pt idx="2" formatCode="_(* #,##0.00_);_(* \(#,##0.00\);_(* &quot;-&quot;??_);_(@_)">
                  <c:v>2.2524413146158344</c:v>
                </c:pt>
                <c:pt idx="3" formatCode="_(* #,##0.00_);_(* \(#,##0.00\);_(* &quot;-&quot;??_);_(@_)">
                  <c:v>1.3852251905786668</c:v>
                </c:pt>
                <c:pt idx="4" formatCode="_(* #,##0.00_);_(* \(#,##0.00\);_(* &quot;-&quot;??_);_(@_)">
                  <c:v>1.2266143026318819</c:v>
                </c:pt>
                <c:pt idx="5" formatCode="_(* #,##0.00_);_(* \(#,##0.00\);_(* &quot;-&quot;??_);_(@_)">
                  <c:v>9.7849470618248162</c:v>
                </c:pt>
                <c:pt idx="6" formatCode="_(* #,##0.00_);_(* \(#,##0.00\);_(* &quot;-&quot;??_);_(@_)">
                  <c:v>3.6721987216954846</c:v>
                </c:pt>
                <c:pt idx="7" formatCode="_(* #,##0.00_);_(* \(#,##0.00\);_(* &quot;-&quot;??_);_(@_)">
                  <c:v>5.5127666309806109</c:v>
                </c:pt>
                <c:pt idx="8" formatCode="_(* #,##0.00_);_(* \(#,##0.00\);_(* &quot;-&quot;??_);_(@_)">
                  <c:v>-5.6178396926824394</c:v>
                </c:pt>
                <c:pt idx="9" formatCode="_(* #,##0.00_);_(* \(#,##0.00\);_(* &quot;-&quot;??_);_(@_)">
                  <c:v>2.9259912587835402</c:v>
                </c:pt>
                <c:pt idx="10" formatCode="_(* #,##0.00_);_(* \(#,##0.00\);_(* &quot;-&quot;??_);_(@_)">
                  <c:v>6.9174290609388844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8F-496D-A1BF-A3A2B3C3CDF3}"/>
            </c:ext>
          </c:extLst>
        </c:ser>
        <c:ser>
          <c:idx val="3"/>
          <c:order val="4"/>
          <c:tx>
            <c:strRef>
              <c:f>ValGraph!$K$32</c:f>
              <c:strCache>
                <c:ptCount val="1"/>
                <c:pt idx="0">
                  <c:v>75th</c:v>
                </c:pt>
              </c:strCache>
            </c:strRef>
          </c:tx>
          <c:spPr>
            <a:solidFill>
              <a:schemeClr val="accent4">
                <a:tint val="9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ValGraph!$A$34:$A$44</c:f>
              <c:strCache>
                <c:ptCount val="11"/>
                <c:pt idx="0">
                  <c:v>(9.9% - 11.9% WACC, 5.5% - 8.5% Free Cash Flow Growth Rate</c:v>
                </c:pt>
                <c:pt idx="2">
                  <c:v>LTM TEV / Revenue:</c:v>
                </c:pt>
                <c:pt idx="3">
                  <c:v>CY 25 TEV / Revenue:</c:v>
                </c:pt>
                <c:pt idx="4">
                  <c:v>CY 26 TEV / Revenue:</c:v>
                </c:pt>
                <c:pt idx="5">
                  <c:v>LTM TEV / EBITDA:</c:v>
                </c:pt>
                <c:pt idx="6">
                  <c:v>CY 25 TEV / EBITDA:</c:v>
                </c:pt>
                <c:pt idx="7">
                  <c:v>CY 26 TEV / EBITDA:</c:v>
                </c:pt>
                <c:pt idx="8">
                  <c:v>LTM P / E:</c:v>
                </c:pt>
                <c:pt idx="9">
                  <c:v>CY 25 P / E:</c:v>
                </c:pt>
                <c:pt idx="10">
                  <c:v>CY 26 P / E:</c:v>
                </c:pt>
              </c:strCache>
            </c:strRef>
          </c:cat>
          <c:val>
            <c:numRef>
              <c:f>ValGraph!$P$34:$P$44</c:f>
              <c:numCache>
                <c:formatCode>General</c:formatCode>
                <c:ptCount val="11"/>
                <c:pt idx="0" formatCode="_([$$-409]* #,##0.00_);_([$$-409]* \(#,##0.00\);_([$$-409]* &quot;-&quot;??_);_(@_)">
                  <c:v>30.241449525015938</c:v>
                </c:pt>
                <c:pt idx="2" formatCode="_(* #,##0.00_);_(* \(#,##0.00\);_(* &quot;-&quot;??_);_(@_)">
                  <c:v>3.0604315213780531</c:v>
                </c:pt>
                <c:pt idx="3" formatCode="_(* #,##0.00_);_(* \(#,##0.00\);_(* &quot;-&quot;??_);_(@_)">
                  <c:v>4.426107795752074</c:v>
                </c:pt>
                <c:pt idx="4" formatCode="_(* #,##0.00_);_(* \(#,##0.00\);_(* &quot;-&quot;??_);_(@_)">
                  <c:v>5.6820778956740128</c:v>
                </c:pt>
                <c:pt idx="5" formatCode="_(* #,##0.00_);_(* \(#,##0.00\);_(* &quot;-&quot;??_);_(@_)">
                  <c:v>11.477624208161444</c:v>
                </c:pt>
                <c:pt idx="6" formatCode="_(* #,##0.00_);_(* \(#,##0.00\);_(* &quot;-&quot;??_);_(@_)">
                  <c:v>8.223560787101901</c:v>
                </c:pt>
                <c:pt idx="7" formatCode="_(* #,##0.00_);_(* \(#,##0.00\);_(* &quot;-&quot;??_);_(@_)">
                  <c:v>2.9109069219684294</c:v>
                </c:pt>
                <c:pt idx="8" formatCode="_(* #,##0.00_);_(* \(#,##0.00\);_(* &quot;-&quot;??_);_(@_)">
                  <c:v>-0.24721421045971148</c:v>
                </c:pt>
                <c:pt idx="9" formatCode="_(* #,##0.00_);_(* \(#,##0.00\);_(* &quot;-&quot;??_);_(@_)">
                  <c:v>2.5064127256975377</c:v>
                </c:pt>
                <c:pt idx="10" formatCode="_(* #,##0.00_);_(* \(#,##0.00\);_(* &quot;-&quot;??_);_(@_)">
                  <c:v>2.5086620150787091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8F-496D-A1BF-A3A2B3C3CDF3}"/>
            </c:ext>
          </c:extLst>
        </c:ser>
        <c:ser>
          <c:idx val="4"/>
          <c:order val="5"/>
          <c:tx>
            <c:strRef>
              <c:f>ValGraph!$L$32</c:f>
              <c:strCache>
                <c:ptCount val="1"/>
                <c:pt idx="0">
                  <c:v>Max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ValGraph!$A$34:$A$44</c:f>
              <c:strCache>
                <c:ptCount val="11"/>
                <c:pt idx="0">
                  <c:v>(9.9% - 11.9% WACC, 5.5% - 8.5% Free Cash Flow Growth Rate</c:v>
                </c:pt>
                <c:pt idx="2">
                  <c:v>LTM TEV / Revenue:</c:v>
                </c:pt>
                <c:pt idx="3">
                  <c:v>CY 25 TEV / Revenue:</c:v>
                </c:pt>
                <c:pt idx="4">
                  <c:v>CY 26 TEV / Revenue:</c:v>
                </c:pt>
                <c:pt idx="5">
                  <c:v>LTM TEV / EBITDA:</c:v>
                </c:pt>
                <c:pt idx="6">
                  <c:v>CY 25 TEV / EBITDA:</c:v>
                </c:pt>
                <c:pt idx="7">
                  <c:v>CY 26 TEV / EBITDA:</c:v>
                </c:pt>
                <c:pt idx="8">
                  <c:v>LTM P / E:</c:v>
                </c:pt>
                <c:pt idx="9">
                  <c:v>CY 25 P / E:</c:v>
                </c:pt>
                <c:pt idx="10">
                  <c:v>CY 26 P / E:</c:v>
                </c:pt>
              </c:strCache>
            </c:strRef>
          </c:cat>
          <c:val>
            <c:numRef>
              <c:f>ValGraph!$Q$34:$Q$44</c:f>
              <c:numCache>
                <c:formatCode>General</c:formatCode>
                <c:ptCount val="11"/>
                <c:pt idx="0" formatCode="_([$$-409]* #,##0.00_);_([$$-409]* \(#,##0.00\);_([$$-409]* &quot;-&quot;??_);_(@_)">
                  <c:v>32.182668507034435</c:v>
                </c:pt>
                <c:pt idx="2" formatCode="_(* #,##0.00_);_(* \(#,##0.00\);_(* &quot;-&quot;??_);_(@_)">
                  <c:v>7.1167161758397359</c:v>
                </c:pt>
                <c:pt idx="3" formatCode="_(* #,##0.00_);_(* \(#,##0.00\);_(* &quot;-&quot;??_);_(@_)">
                  <c:v>18.545093148954919</c:v>
                </c:pt>
                <c:pt idx="4" formatCode="_(* #,##0.00_);_(* \(#,##0.00\);_(* &quot;-&quot;??_);_(@_)">
                  <c:v>7.9802535482359431</c:v>
                </c:pt>
                <c:pt idx="5" formatCode="_(* #,##0.00_);_(* \(#,##0.00\);_(* &quot;-&quot;??_);_(@_)">
                  <c:v>58.07361122726855</c:v>
                </c:pt>
                <c:pt idx="6" formatCode="_(* #,##0.00_);_(* \(#,##0.00\);_(* &quot;-&quot;??_);_(@_)">
                  <c:v>17.012387115311046</c:v>
                </c:pt>
                <c:pt idx="7" formatCode="_(* #,##0.00_);_(* \(#,##0.00\);_(* &quot;-&quot;??_);_(@_)">
                  <c:v>5.3327383272828506</c:v>
                </c:pt>
                <c:pt idx="8" formatCode="_(* #,##0.00_);_(* \(#,##0.00\);_(* &quot;-&quot;??_);_(@_)">
                  <c:v>-0.24721421045971503</c:v>
                </c:pt>
                <c:pt idx="9" formatCode="_(* #,##0.00_);_(* \(#,##0.00\);_(* &quot;-&quot;??_);_(@_)">
                  <c:v>7.5748169653340121</c:v>
                </c:pt>
                <c:pt idx="10" formatCode="_(* #,##0.00_);_(* \(#,##0.00\);_(* &quot;-&quot;??_);_(@_)">
                  <c:v>5.7316170055968172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8F-496D-A1BF-A3A2B3C3CD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7230016"/>
        <c:axId val="167233376"/>
      </c:barChart>
      <c:scatterChart>
        <c:scatterStyle val="smoothMarker"/>
        <c:varyColors val="0"/>
        <c:ser>
          <c:idx val="5"/>
          <c:order val="0"/>
          <c:tx>
            <c:strRef>
              <c:f>ValGraph!$A$46</c:f>
              <c:strCache>
                <c:ptCount val="1"/>
                <c:pt idx="0">
                  <c:v>Current Share Price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ValGraph!$H$46:$L$46</c:f>
              <c:numCache>
                <c:formatCode>_([$$-409]* #,##0.00_);_([$$-409]* \(#,##0.00\);_([$$-409]* "-"??_);_(@_)</c:formatCode>
                <c:ptCount val="5"/>
                <c:pt idx="0">
                  <c:v>21.44</c:v>
                </c:pt>
                <c:pt idx="1">
                  <c:v>21.44</c:v>
                </c:pt>
                <c:pt idx="2">
                  <c:v>21.44</c:v>
                </c:pt>
                <c:pt idx="3">
                  <c:v>21.44</c:v>
                </c:pt>
                <c:pt idx="4">
                  <c:v>21.44</c:v>
                </c:pt>
              </c:numCache>
            </c:numRef>
          </c:xVal>
          <c:yVal>
            <c:numRef>
              <c:f>ValGraph!$M$46:$Q$46</c:f>
              <c:numCache>
                <c:formatCode>_(* #,##0.00_);_(* \(#,##0.00\);_(* "-"??_);_(@_)</c:formatCode>
                <c:ptCount val="5"/>
                <c:pt idx="0">
                  <c:v>1000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A8F-496D-A1BF-A3A2B3C3CD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318288"/>
        <c:axId val="278240304"/>
      </c:scatterChart>
      <c:catAx>
        <c:axId val="167230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233376"/>
        <c:crosses val="autoZero"/>
        <c:auto val="1"/>
        <c:lblAlgn val="ctr"/>
        <c:lblOffset val="100"/>
        <c:noMultiLvlLbl val="0"/>
      </c:catAx>
      <c:valAx>
        <c:axId val="16723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230016"/>
        <c:crosses val="autoZero"/>
        <c:crossBetween val="between"/>
      </c:valAx>
      <c:valAx>
        <c:axId val="278240304"/>
        <c:scaling>
          <c:orientation val="minMax"/>
          <c:max val="1000"/>
          <c:min val="0"/>
        </c:scaling>
        <c:delete val="1"/>
        <c:axPos val="r"/>
        <c:numFmt formatCode="_(* #,##0.00_);_(* \(#,##0.00\);_(* &quot;-&quot;??_);_(@_)" sourceLinked="1"/>
        <c:majorTickMark val="out"/>
        <c:minorTickMark val="none"/>
        <c:tickLblPos val="nextTo"/>
        <c:crossAx val="308318288"/>
        <c:crosses val="max"/>
        <c:crossBetween val="midCat"/>
      </c:valAx>
      <c:valAx>
        <c:axId val="308318288"/>
        <c:scaling>
          <c:orientation val="minMax"/>
        </c:scaling>
        <c:delete val="1"/>
        <c:axPos val="b"/>
        <c:numFmt formatCode="_([$$-409]* #,##0.00_);_([$$-409]* \(#,##0.00\);_([$$-409]* &quot;-&quot;??_);_(@_)" sourceLinked="1"/>
        <c:majorTickMark val="out"/>
        <c:minorTickMark val="none"/>
        <c:tickLblPos val="nextTo"/>
        <c:crossAx val="278240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Graphs!$Q$66</c:f>
          <c:strCache>
            <c:ptCount val="1"/>
            <c:pt idx="0">
              <c:v>FY26 EBITDA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EC7-4CE3-891F-F47E3323783F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EC7-4CE3-891F-F47E3323783F}"/>
              </c:ext>
            </c:extLst>
          </c:dPt>
          <c:cat>
            <c:strRef>
              <c:f>Graphs!$Q$44:$Q$50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Graphs!$AA$44:$AA$50</c:f>
              <c:numCache>
                <c:formatCode>0.0\ \x</c:formatCode>
                <c:ptCount val="7"/>
                <c:pt idx="0">
                  <c:v>17.739695652173918</c:v>
                </c:pt>
                <c:pt idx="1">
                  <c:v>22.225022673031031</c:v>
                </c:pt>
                <c:pt idx="2">
                  <c:v>2.6934297520661161</c:v>
                </c:pt>
                <c:pt idx="3">
                  <c:v>8.9311851767068262</c:v>
                </c:pt>
                <c:pt idx="4">
                  <c:v>16.677284162531016</c:v>
                </c:pt>
                <c:pt idx="5">
                  <c:v>13.084254738805969</c:v>
                </c:pt>
                <c:pt idx="6">
                  <c:v>23.322554035973742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C7-4CE3-891F-F47E33237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50627231"/>
        <c:axId val="550613791"/>
      </c:barChart>
      <c:catAx>
        <c:axId val="5506272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13791"/>
        <c:crosses val="autoZero"/>
        <c:auto val="1"/>
        <c:lblAlgn val="ctr"/>
        <c:lblOffset val="100"/>
        <c:noMultiLvlLbl val="0"/>
      </c:catAx>
      <c:valAx>
        <c:axId val="5506137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0627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Graphs!$Q$52</c:f>
          <c:strCache>
            <c:ptCount val="1"/>
            <c:pt idx="0">
              <c:v>MP Materials Corp.: Revenue and Operating Margins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Summary!$B$17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numRef>
              <c:f>Summary!$J$3:$O$3</c:f>
              <c:numCache>
                <c:formatCode>"FY"\ yy</c:formatCode>
                <c:ptCount val="6"/>
                <c:pt idx="0">
                  <c:v>46022</c:v>
                </c:pt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  <c:pt idx="4">
                  <c:v>47483</c:v>
                </c:pt>
                <c:pt idx="5">
                  <c:v>47848</c:v>
                </c:pt>
              </c:numCache>
            </c:numRef>
          </c:cat>
          <c:val>
            <c:numRef>
              <c:f>Summary!$J$17:$O$17</c:f>
              <c:numCache>
                <c:formatCode>_("$"* #,##0_);_("$"* \(#,##0\);_("$"* "-"_);_(@_)</c:formatCode>
                <c:ptCount val="6"/>
                <c:pt idx="0">
                  <c:v>314708.40000000002</c:v>
                </c:pt>
                <c:pt idx="1">
                  <c:v>398995</c:v>
                </c:pt>
                <c:pt idx="2">
                  <c:v>522406.17467239487</c:v>
                </c:pt>
                <c:pt idx="3">
                  <c:v>681452.60136240441</c:v>
                </c:pt>
                <c:pt idx="4">
                  <c:v>814418.99282991118</c:v>
                </c:pt>
                <c:pt idx="5">
                  <c:v>969012.25812233286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2-4A4F-BEA3-F85CACFCF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54345536"/>
        <c:axId val="1754338816"/>
      </c:barChart>
      <c:lineChart>
        <c:grouping val="standard"/>
        <c:varyColors val="0"/>
        <c:ser>
          <c:idx val="1"/>
          <c:order val="1"/>
          <c:tx>
            <c:strRef>
              <c:f>Summary!$B$20</c:f>
              <c:strCache>
                <c:ptCount val="1"/>
                <c:pt idx="0">
                  <c:v>Gross Profit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Summary!$J$3:$O$3</c:f>
              <c:numCache>
                <c:formatCode>"FY"\ yy</c:formatCode>
                <c:ptCount val="6"/>
                <c:pt idx="0">
                  <c:v>46022</c:v>
                </c:pt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  <c:pt idx="4">
                  <c:v>47483</c:v>
                </c:pt>
                <c:pt idx="5">
                  <c:v>47848</c:v>
                </c:pt>
              </c:numCache>
            </c:numRef>
          </c:cat>
          <c:val>
            <c:numRef>
              <c:f>Summary!$J$20:$O$20</c:f>
              <c:numCache>
                <c:formatCode>_("$"* #,##0_);_("$"* \(#,##0\);_("$"* "-"_);_(@_)</c:formatCode>
                <c:ptCount val="6"/>
                <c:pt idx="0">
                  <c:v>198266.29200000002</c:v>
                </c:pt>
                <c:pt idx="1">
                  <c:v>267326.65000000002</c:v>
                </c:pt>
                <c:pt idx="2">
                  <c:v>365684.32227067638</c:v>
                </c:pt>
                <c:pt idx="3">
                  <c:v>477016.82095368311</c:v>
                </c:pt>
                <c:pt idx="4">
                  <c:v>570093.29498093785</c:v>
                </c:pt>
                <c:pt idx="5">
                  <c:v>678308.580685633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82-4A4F-BEA3-F85CACFCF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4345536"/>
        <c:axId val="1754338816"/>
      </c:lineChart>
      <c:dateAx>
        <c:axId val="1754345536"/>
        <c:scaling>
          <c:orientation val="minMax"/>
        </c:scaling>
        <c:delete val="0"/>
        <c:axPos val="b"/>
        <c:numFmt formatCode="&quot;FY&quot;\ 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338816"/>
        <c:crosses val="autoZero"/>
        <c:auto val="1"/>
        <c:lblOffset val="100"/>
        <c:baseTimeUnit val="years"/>
      </c:dateAx>
      <c:valAx>
        <c:axId val="175433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434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Annual Revenue, FY25 - FY26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Graphs!$R$33</c:f>
              <c:strCache>
                <c:ptCount val="1"/>
                <c:pt idx="0">
                  <c:v>2025-12-31 Revenue: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>
                  <a:shade val="76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435-40C8-AF81-EB01BD292895}"/>
              </c:ext>
            </c:extLst>
          </c:dPt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435-40C8-AF81-EB01BD292895}"/>
              </c:ext>
            </c:extLst>
          </c:dPt>
          <c:cat>
            <c:strRef>
              <c:f>Graphs!$Q$34:$Q$40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Graphs!$R$34:$R$40</c:f>
              <c:numCache>
                <c:formatCode>_("$"* #,##0_);_("$"* \(#,##0\);_("$"* "-"_);_(@_)</c:formatCode>
                <c:ptCount val="7"/>
                <c:pt idx="0">
                  <c:v>371</c:v>
                </c:pt>
                <c:pt idx="1">
                  <c:v>4993</c:v>
                </c:pt>
                <c:pt idx="2">
                  <c:v>169</c:v>
                </c:pt>
                <c:pt idx="3">
                  <c:v>850</c:v>
                </c:pt>
                <c:pt idx="4">
                  <c:v>7132</c:v>
                </c:pt>
                <c:pt idx="5">
                  <c:v>14474</c:v>
                </c:pt>
                <c:pt idx="6">
                  <c:v>314.70840000000004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2435-40C8-AF81-EB01BD292895}"/>
            </c:ext>
          </c:extLst>
        </c:ser>
        <c:ser>
          <c:idx val="1"/>
          <c:order val="1"/>
          <c:tx>
            <c:strRef>
              <c:f>Graphs!$S$33</c:f>
              <c:strCache>
                <c:ptCount val="1"/>
                <c:pt idx="0">
                  <c:v>2026-12-31 Revenue:</c:v>
                </c:pt>
              </c:strCache>
            </c:strRef>
          </c:tx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>
                  <a:tint val="77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2435-40C8-AF81-EB01BD292895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2435-40C8-AF81-EB01BD292895}"/>
              </c:ext>
            </c:extLst>
          </c:dPt>
          <c:cat>
            <c:strRef>
              <c:f>Graphs!$Q$34:$Q$40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Graphs!$S$34:$S$40</c:f>
              <c:numCache>
                <c:formatCode>_("$"* #,##0_);_("$"* \(#,##0\);_("$"* "-"_);_(@_)</c:formatCode>
                <c:ptCount val="7"/>
                <c:pt idx="0">
                  <c:v>648</c:v>
                </c:pt>
                <c:pt idx="1">
                  <c:v>5814</c:v>
                </c:pt>
                <c:pt idx="2">
                  <c:v>205</c:v>
                </c:pt>
                <c:pt idx="3">
                  <c:v>912</c:v>
                </c:pt>
                <c:pt idx="4">
                  <c:v>7502</c:v>
                </c:pt>
                <c:pt idx="5">
                  <c:v>15612</c:v>
                </c:pt>
                <c:pt idx="6">
                  <c:v>398.995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2435-40C8-AF81-EB01BD292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17516416"/>
        <c:axId val="817519296"/>
      </c:barChart>
      <c:catAx>
        <c:axId val="81751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19296"/>
        <c:crosses val="autoZero"/>
        <c:auto val="1"/>
        <c:lblAlgn val="ctr"/>
        <c:lblOffset val="100"/>
        <c:noMultiLvlLbl val="0"/>
      </c:catAx>
      <c:valAx>
        <c:axId val="81751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 w="1270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5164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1270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Graphs!$Q$60</c:f>
          <c:strCache>
            <c:ptCount val="1"/>
            <c:pt idx="0">
              <c:v>Annual EBITDA,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Graphs!$U$34:$U$38</c:f>
              <c:strCache>
                <c:ptCount val="5"/>
                <c:pt idx="0">
                  <c:v> $93 </c:v>
                </c:pt>
                <c:pt idx="1">
                  <c:v> $591 </c:v>
                </c:pt>
                <c:pt idx="2">
                  <c:v> $73 </c:v>
                </c:pt>
                <c:pt idx="3">
                  <c:v> $229 </c:v>
                </c:pt>
                <c:pt idx="4">
                  <c:v> $2,258 </c:v>
                </c:pt>
              </c:strCache>
            </c:strRef>
          </c:tx>
          <c:spPr>
            <a:solidFill>
              <a:schemeClr val="accent4">
                <a:tint val="54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>
                  <a:tint val="54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2D5-4AD1-AA26-C24474A7FCAB}"/>
              </c:ext>
            </c:extLst>
          </c:dPt>
          <c:dPt>
            <c:idx val="6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0FC-441C-AF07-1C722F85D50B}"/>
              </c:ext>
            </c:extLst>
          </c:dPt>
          <c:cat>
            <c:strRef>
              <c:f>Graphs!$Q$34:$Q$40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Graphs!$U$34:$U$40</c:f>
              <c:numCache>
                <c:formatCode>_("$"* #,##0_);_("$"* \(#,##0\);_("$"* "-"_);_(@_)</c:formatCode>
                <c:ptCount val="7"/>
                <c:pt idx="0">
                  <c:v>93</c:v>
                </c:pt>
                <c:pt idx="1">
                  <c:v>591</c:v>
                </c:pt>
                <c:pt idx="2">
                  <c:v>73</c:v>
                </c:pt>
                <c:pt idx="3">
                  <c:v>229</c:v>
                </c:pt>
                <c:pt idx="4">
                  <c:v>2258</c:v>
                </c:pt>
                <c:pt idx="5">
                  <c:v>2760.1918000000001</c:v>
                </c:pt>
                <c:pt idx="6">
                  <c:v>94.371403536781287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AE-4121-9EC4-61780CC0C6E4}"/>
            </c:ext>
          </c:extLst>
        </c:ser>
        <c:ser>
          <c:idx val="0"/>
          <c:order val="1"/>
          <c:tx>
            <c:strRef>
              <c:f>Graphs!$V$34:$V$38</c:f>
              <c:strCache>
                <c:ptCount val="5"/>
                <c:pt idx="0">
                  <c:v> $276 </c:v>
                </c:pt>
                <c:pt idx="1">
                  <c:v> $838 </c:v>
                </c:pt>
                <c:pt idx="2">
                  <c:v> $121 </c:v>
                </c:pt>
                <c:pt idx="3">
                  <c:v> $249 </c:v>
                </c:pt>
                <c:pt idx="4">
                  <c:v> $2,418 </c:v>
                </c:pt>
              </c:strCache>
            </c:strRef>
          </c:tx>
          <c:spPr>
            <a:solidFill>
              <a:schemeClr val="accent4">
                <a:shade val="53000"/>
              </a:schemeClr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>
                  <a:shade val="53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A9A-4231-8031-5A23194792BD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20FC-441C-AF07-1C722F85D50B}"/>
              </c:ext>
            </c:extLst>
          </c:dPt>
          <c:cat>
            <c:strRef>
              <c:f>Graphs!$Q$34:$Q$40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Graphs!$V$34:$V$40</c:f>
              <c:numCache>
                <c:formatCode>_("$"* #,##0_);_("$"* \(#,##0\);_("$"* "-"_);_(@_)</c:formatCode>
                <c:ptCount val="7"/>
                <c:pt idx="0">
                  <c:v>276</c:v>
                </c:pt>
                <c:pt idx="1">
                  <c:v>838</c:v>
                </c:pt>
                <c:pt idx="2">
                  <c:v>121</c:v>
                </c:pt>
                <c:pt idx="3">
                  <c:v>249</c:v>
                </c:pt>
                <c:pt idx="4">
                  <c:v>2418</c:v>
                </c:pt>
                <c:pt idx="5">
                  <c:v>3082</c:v>
                </c:pt>
                <c:pt idx="6">
                  <c:v>152.84191064587972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FC-441C-AF07-1C722F85D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3070176"/>
        <c:axId val="1803090336"/>
      </c:barChart>
      <c:catAx>
        <c:axId val="180307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3090336"/>
        <c:crosses val="autoZero"/>
        <c:auto val="1"/>
        <c:lblAlgn val="ctr"/>
        <c:lblOffset val="100"/>
        <c:noMultiLvlLbl val="0"/>
      </c:catAx>
      <c:valAx>
        <c:axId val="180309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3070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Graphs!$Q$65</c:f>
          <c:strCache>
            <c:ptCount val="1"/>
            <c:pt idx="0">
              <c:v>FY26 Revenue Multiples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0D4-4F85-9D6F-FBFF5EC54081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D5E-4381-A60A-507E0FE93DD0}"/>
              </c:ext>
            </c:extLst>
          </c:dPt>
          <c:cat>
            <c:strRef>
              <c:f>Graphs!$Q$44:$Q$50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Graphs!$X$44:$X$50</c:f>
              <c:numCache>
                <c:formatCode>0.0\ \x</c:formatCode>
                <c:ptCount val="7"/>
                <c:pt idx="0">
                  <c:v>7.5557962962962977</c:v>
                </c:pt>
                <c:pt idx="1">
                  <c:v>3.2034002407980742</c:v>
                </c:pt>
                <c:pt idx="2">
                  <c:v>1.5897804878048782</c:v>
                </c:pt>
                <c:pt idx="3">
                  <c:v>2.4384485844298243</c:v>
                </c:pt>
                <c:pt idx="4">
                  <c:v>5.3753229945347902</c:v>
                </c:pt>
                <c:pt idx="5">
                  <c:v>2.5829921281706376</c:v>
                </c:pt>
                <c:pt idx="6">
                  <c:v>8.9341062419328559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D4-4F85-9D6F-FBFF5EC54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0871695"/>
        <c:axId val="767979615"/>
      </c:barChart>
      <c:catAx>
        <c:axId val="770871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7979615"/>
        <c:crosses val="autoZero"/>
        <c:auto val="1"/>
        <c:lblAlgn val="ctr"/>
        <c:lblOffset val="100"/>
        <c:noMultiLvlLbl val="0"/>
      </c:catAx>
      <c:valAx>
        <c:axId val="76797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\ \x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0871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Graphs!$Q$54</c:f>
          <c:strCache>
            <c:ptCount val="1"/>
            <c:pt idx="0">
              <c:v>MP Materials Corp.: Revenue by Segment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Summary!$B$6</c:f>
              <c:strCache>
                <c:ptCount val="1"/>
                <c:pt idx="0">
                  <c:v>REO Revenue</c:v>
                </c:pt>
              </c:strCache>
            </c:strRef>
          </c:tx>
          <c:spPr>
            <a:solidFill>
              <a:schemeClr val="accent4">
                <a:shade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Lit>
              <c:formatCode>General</c:formatCode>
              <c:ptCount val="11"/>
              <c:pt idx="0">
                <c:v>43646</c:v>
              </c:pt>
              <c:pt idx="1">
                <c:v>44012</c:v>
              </c:pt>
              <c:pt idx="2">
                <c:v>44377</c:v>
              </c:pt>
              <c:pt idx="3">
                <c:v>44742</c:v>
              </c:pt>
              <c:pt idx="4">
                <c:v>45107</c:v>
              </c:pt>
              <c:pt idx="5">
                <c:v>45473</c:v>
              </c:pt>
              <c:pt idx="6">
                <c:v>45838</c:v>
              </c:pt>
              <c:pt idx="7">
                <c:v>46203</c:v>
              </c:pt>
              <c:pt idx="8">
                <c:v>46568</c:v>
              </c:pt>
              <c:pt idx="9">
                <c:v>46934</c:v>
              </c:pt>
              <c:pt idx="10">
                <c:v>47299</c:v>
              </c:pt>
            </c:numLit>
          </c:cat>
          <c:val>
            <c:numRef>
              <c:f>Summary!$J$6:$O$6</c:f>
              <c:numCache>
                <c:formatCode>_("$"* #,##0_);_("$"* \(#,##0\);_("$"* "-"??_);_(@_)</c:formatCode>
                <c:ptCount val="6"/>
                <c:pt idx="0">
                  <c:v>134708.4</c:v>
                </c:pt>
                <c:pt idx="1">
                  <c:v>80805</c:v>
                </c:pt>
                <c:pt idx="2">
                  <c:v>119055.11678023807</c:v>
                </c:pt>
                <c:pt idx="3">
                  <c:v>164448.21829817296</c:v>
                </c:pt>
                <c:pt idx="4">
                  <c:v>218062.76406672801</c:v>
                </c:pt>
                <c:pt idx="5">
                  <c:v>281124.95342135482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53-4ADE-9A4A-C1CEEB9F7938}"/>
            </c:ext>
          </c:extLst>
        </c:ser>
        <c:ser>
          <c:idx val="1"/>
          <c:order val="1"/>
          <c:tx>
            <c:strRef>
              <c:f>Summary!$B$9</c:f>
              <c:strCache>
                <c:ptCount val="1"/>
                <c:pt idx="0">
                  <c:v>NdPr Revenue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Summary!$J$9:$O$9</c:f>
              <c:numCache>
                <c:formatCode>_("$"* #,##0_);_("$"* \(#,##0\);_("$"* "-"??_);_(@_)</c:formatCode>
                <c:ptCount val="6"/>
                <c:pt idx="0">
                  <c:v>180000</c:v>
                </c:pt>
                <c:pt idx="1">
                  <c:v>318190</c:v>
                </c:pt>
                <c:pt idx="2">
                  <c:v>403351.05789215682</c:v>
                </c:pt>
                <c:pt idx="3">
                  <c:v>517004.38306423149</c:v>
                </c:pt>
                <c:pt idx="4">
                  <c:v>596356.22876318323</c:v>
                </c:pt>
                <c:pt idx="5">
                  <c:v>687887.30470097798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53-4ADE-9A4A-C1CEEB9F7938}"/>
            </c:ext>
          </c:extLst>
        </c:ser>
        <c:ser>
          <c:idx val="2"/>
          <c:order val="2"/>
          <c:tx>
            <c:strRef>
              <c:f>Summary!$B$12</c:f>
              <c:strCache>
                <c:ptCount val="1"/>
                <c:pt idx="0">
                  <c:v>NdFeB Revenue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Summary!$J$12:$O$12</c:f>
              <c:numCache>
                <c:formatCode>_("$"* #,##0_);_("$"* \(#,##0\);_("$"* "-"??_);_(@_)</c:formatCode>
                <c:ptCount val="6"/>
                <c:pt idx="0">
                  <c:v>6975</c:v>
                </c:pt>
                <c:pt idx="1">
                  <c:v>46500</c:v>
                </c:pt>
                <c:pt idx="2">
                  <c:v>46500</c:v>
                </c:pt>
                <c:pt idx="3">
                  <c:v>46500</c:v>
                </c:pt>
                <c:pt idx="4">
                  <c:v>46500</c:v>
                </c:pt>
                <c:pt idx="5">
                  <c:v>46500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7C-4599-92F2-E0B720F7E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20516288"/>
        <c:axId val="1720511968"/>
      </c:barChart>
      <c:catAx>
        <c:axId val="17205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511968"/>
        <c:crosses val="autoZero"/>
        <c:auto val="1"/>
        <c:lblAlgn val="ctr"/>
        <c:lblOffset val="100"/>
        <c:noMultiLvlLbl val="1"/>
      </c:catAx>
      <c:valAx>
        <c:axId val="1720511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516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Graphs!$Q$62</c:f>
          <c:strCache>
            <c:ptCount val="1"/>
            <c:pt idx="0">
              <c:v>Projected Revenue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0C8-498B-9333-6F2307E663DE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86F-49EF-81E2-4A5AE73C075A}"/>
              </c:ext>
            </c:extLst>
          </c:dPt>
          <c:cat>
            <c:strRef>
              <c:f>Graphs!$Q$44:$Q$50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Graphs!$R$44:$R$50</c:f>
              <c:numCache>
                <c:formatCode>0.0%</c:formatCode>
                <c:ptCount val="7"/>
                <c:pt idx="0">
                  <c:v>0.74663072776280326</c:v>
                </c:pt>
                <c:pt idx="1">
                  <c:v>0.16443020228319649</c:v>
                </c:pt>
                <c:pt idx="2">
                  <c:v>0.21301775147928992</c:v>
                </c:pt>
                <c:pt idx="3">
                  <c:v>7.2941176470588287E-2</c:v>
                </c:pt>
                <c:pt idx="4">
                  <c:v>5.1878855860908679E-2</c:v>
                </c:pt>
                <c:pt idx="5">
                  <c:v>7.8623739118419245E-2</c:v>
                </c:pt>
                <c:pt idx="6">
                  <c:v>0.26782443684375745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C8-498B-9333-6F2307E663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25657104"/>
        <c:axId val="1325657584"/>
      </c:barChart>
      <c:catAx>
        <c:axId val="132565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5657584"/>
        <c:crosses val="autoZero"/>
        <c:auto val="1"/>
        <c:lblAlgn val="ctr"/>
        <c:lblOffset val="100"/>
        <c:noMultiLvlLbl val="0"/>
      </c:catAx>
      <c:valAx>
        <c:axId val="132565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565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strRef>
          <c:f>Graphs!$Q$63</c:f>
          <c:strCache>
            <c:ptCount val="1"/>
            <c:pt idx="0">
              <c:v>Projected EBITDA Growth, FY25 - FY26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39B-4F66-AB28-A4113F7E5A18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124-472F-A28F-FF09A5E21383}"/>
              </c:ext>
            </c:extLst>
          </c:dPt>
          <c:cat>
            <c:strRef>
              <c:f>Graphs!$Q$44:$Q$50</c:f>
              <c:strCache>
                <c:ptCount val="7"/>
                <c:pt idx="0">
                  <c:v>LYC</c:v>
                </c:pt>
                <c:pt idx="1">
                  <c:v>600111</c:v>
                </c:pt>
                <c:pt idx="2">
                  <c:v>ALK.AX</c:v>
                </c:pt>
                <c:pt idx="3">
                  <c:v>MTRN</c:v>
                </c:pt>
                <c:pt idx="4">
                  <c:v>AME</c:v>
                </c:pt>
                <c:pt idx="5">
                  <c:v>6762</c:v>
                </c:pt>
                <c:pt idx="6">
                  <c:v>MP</c:v>
                </c:pt>
              </c:strCache>
            </c:strRef>
          </c:cat>
          <c:val>
            <c:numRef>
              <c:f>Graphs!$U$44:$U$50</c:f>
              <c:numCache>
                <c:formatCode>0.0%</c:formatCode>
                <c:ptCount val="7"/>
                <c:pt idx="0">
                  <c:v>1.967741935483871</c:v>
                </c:pt>
                <c:pt idx="1">
                  <c:v>0.4179357021996617</c:v>
                </c:pt>
                <c:pt idx="2">
                  <c:v>0.65753424657534243</c:v>
                </c:pt>
                <c:pt idx="3">
                  <c:v>8.7336244541484698E-2</c:v>
                </c:pt>
                <c:pt idx="4">
                  <c:v>7.085916740478293E-2</c:v>
                </c:pt>
                <c:pt idx="5">
                  <c:v>0.11658907181740052</c:v>
                </c:pt>
                <c:pt idx="6">
                  <c:v>0.61957865325495054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9B-4F66-AB28-A4113F7E5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21481520"/>
        <c:axId val="1721486320"/>
      </c:barChart>
      <c:catAx>
        <c:axId val="172148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486320"/>
        <c:crosses val="autoZero"/>
        <c:auto val="1"/>
        <c:lblAlgn val="ctr"/>
        <c:lblOffset val="100"/>
        <c:noMultiLvlLbl val="0"/>
      </c:catAx>
      <c:valAx>
        <c:axId val="172148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48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Graphs!$R$105</c:f>
          <c:strCache>
            <c:ptCount val="1"/>
            <c:pt idx="0">
              <c:v>MP Materials Corp. - LTM Price / Volume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Graphs!$T$107</c:f>
              <c:strCache>
                <c:ptCount val="1"/>
                <c:pt idx="0">
                  <c:v>Volume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Graphs!$R$108:$R$358</c:f>
              <c:numCache>
                <c:formatCode>d\-mmm\-yy</c:formatCode>
                <c:ptCount val="251"/>
                <c:pt idx="0">
                  <c:v>45777</c:v>
                </c:pt>
                <c:pt idx="1">
                  <c:v>45776</c:v>
                </c:pt>
                <c:pt idx="2">
                  <c:v>45775</c:v>
                </c:pt>
                <c:pt idx="3">
                  <c:v>45772</c:v>
                </c:pt>
                <c:pt idx="4">
                  <c:v>45771</c:v>
                </c:pt>
                <c:pt idx="5">
                  <c:v>45770</c:v>
                </c:pt>
                <c:pt idx="6">
                  <c:v>45769</c:v>
                </c:pt>
                <c:pt idx="7">
                  <c:v>45768</c:v>
                </c:pt>
                <c:pt idx="8">
                  <c:v>45764</c:v>
                </c:pt>
                <c:pt idx="9">
                  <c:v>45763</c:v>
                </c:pt>
                <c:pt idx="10">
                  <c:v>45762</c:v>
                </c:pt>
                <c:pt idx="11">
                  <c:v>45761</c:v>
                </c:pt>
                <c:pt idx="12">
                  <c:v>45758</c:v>
                </c:pt>
                <c:pt idx="13">
                  <c:v>45757</c:v>
                </c:pt>
                <c:pt idx="14">
                  <c:v>45756</c:v>
                </c:pt>
                <c:pt idx="15">
                  <c:v>45755</c:v>
                </c:pt>
                <c:pt idx="16">
                  <c:v>45754</c:v>
                </c:pt>
                <c:pt idx="17">
                  <c:v>45751</c:v>
                </c:pt>
                <c:pt idx="18">
                  <c:v>45750</c:v>
                </c:pt>
                <c:pt idx="19">
                  <c:v>45749</c:v>
                </c:pt>
                <c:pt idx="20">
                  <c:v>45748</c:v>
                </c:pt>
                <c:pt idx="21">
                  <c:v>45747</c:v>
                </c:pt>
                <c:pt idx="22">
                  <c:v>45744</c:v>
                </c:pt>
                <c:pt idx="23">
                  <c:v>45743</c:v>
                </c:pt>
                <c:pt idx="24">
                  <c:v>45742</c:v>
                </c:pt>
                <c:pt idx="25">
                  <c:v>45741</c:v>
                </c:pt>
                <c:pt idx="26">
                  <c:v>45740</c:v>
                </c:pt>
                <c:pt idx="27">
                  <c:v>45737</c:v>
                </c:pt>
                <c:pt idx="28">
                  <c:v>45736</c:v>
                </c:pt>
                <c:pt idx="29">
                  <c:v>45735</c:v>
                </c:pt>
                <c:pt idx="30">
                  <c:v>45734</c:v>
                </c:pt>
                <c:pt idx="31">
                  <c:v>45733</c:v>
                </c:pt>
                <c:pt idx="32">
                  <c:v>45730</c:v>
                </c:pt>
                <c:pt idx="33">
                  <c:v>45729</c:v>
                </c:pt>
                <c:pt idx="34">
                  <c:v>45728</c:v>
                </c:pt>
                <c:pt idx="35">
                  <c:v>45727</c:v>
                </c:pt>
                <c:pt idx="36">
                  <c:v>45726</c:v>
                </c:pt>
                <c:pt idx="37">
                  <c:v>45723</c:v>
                </c:pt>
                <c:pt idx="38">
                  <c:v>45722</c:v>
                </c:pt>
                <c:pt idx="39">
                  <c:v>45721</c:v>
                </c:pt>
                <c:pt idx="40">
                  <c:v>45720</c:v>
                </c:pt>
                <c:pt idx="41">
                  <c:v>45719</c:v>
                </c:pt>
                <c:pt idx="42">
                  <c:v>45716</c:v>
                </c:pt>
                <c:pt idx="43">
                  <c:v>45715</c:v>
                </c:pt>
                <c:pt idx="44">
                  <c:v>45714</c:v>
                </c:pt>
                <c:pt idx="45">
                  <c:v>45713</c:v>
                </c:pt>
                <c:pt idx="46">
                  <c:v>45712</c:v>
                </c:pt>
                <c:pt idx="47">
                  <c:v>45709</c:v>
                </c:pt>
                <c:pt idx="48">
                  <c:v>45708</c:v>
                </c:pt>
                <c:pt idx="49">
                  <c:v>45707</c:v>
                </c:pt>
                <c:pt idx="50">
                  <c:v>45706</c:v>
                </c:pt>
                <c:pt idx="51">
                  <c:v>45702</c:v>
                </c:pt>
                <c:pt idx="52">
                  <c:v>45701</c:v>
                </c:pt>
                <c:pt idx="53">
                  <c:v>45700</c:v>
                </c:pt>
                <c:pt idx="54">
                  <c:v>45699</c:v>
                </c:pt>
                <c:pt idx="55">
                  <c:v>45698</c:v>
                </c:pt>
                <c:pt idx="56">
                  <c:v>45695</c:v>
                </c:pt>
                <c:pt idx="57">
                  <c:v>45694</c:v>
                </c:pt>
                <c:pt idx="58">
                  <c:v>45693</c:v>
                </c:pt>
                <c:pt idx="59">
                  <c:v>45692</c:v>
                </c:pt>
                <c:pt idx="60">
                  <c:v>45691</c:v>
                </c:pt>
                <c:pt idx="61">
                  <c:v>45688</c:v>
                </c:pt>
                <c:pt idx="62">
                  <c:v>45687</c:v>
                </c:pt>
                <c:pt idx="63">
                  <c:v>45686</c:v>
                </c:pt>
                <c:pt idx="64">
                  <c:v>45685</c:v>
                </c:pt>
                <c:pt idx="65">
                  <c:v>45684</c:v>
                </c:pt>
                <c:pt idx="66">
                  <c:v>45681</c:v>
                </c:pt>
                <c:pt idx="67">
                  <c:v>45680</c:v>
                </c:pt>
                <c:pt idx="68">
                  <c:v>45679</c:v>
                </c:pt>
                <c:pt idx="69">
                  <c:v>45678</c:v>
                </c:pt>
                <c:pt idx="70">
                  <c:v>45674</c:v>
                </c:pt>
                <c:pt idx="71">
                  <c:v>45673</c:v>
                </c:pt>
                <c:pt idx="72">
                  <c:v>45672</c:v>
                </c:pt>
                <c:pt idx="73">
                  <c:v>45671</c:v>
                </c:pt>
                <c:pt idx="74">
                  <c:v>45670</c:v>
                </c:pt>
                <c:pt idx="75">
                  <c:v>45667</c:v>
                </c:pt>
                <c:pt idx="76">
                  <c:v>45665</c:v>
                </c:pt>
                <c:pt idx="77">
                  <c:v>45664</c:v>
                </c:pt>
                <c:pt idx="78">
                  <c:v>45663</c:v>
                </c:pt>
                <c:pt idx="79">
                  <c:v>45660</c:v>
                </c:pt>
                <c:pt idx="80">
                  <c:v>45659</c:v>
                </c:pt>
                <c:pt idx="81">
                  <c:v>45657</c:v>
                </c:pt>
                <c:pt idx="82">
                  <c:v>45656</c:v>
                </c:pt>
                <c:pt idx="83">
                  <c:v>45653</c:v>
                </c:pt>
                <c:pt idx="84">
                  <c:v>45652</c:v>
                </c:pt>
                <c:pt idx="85">
                  <c:v>45650</c:v>
                </c:pt>
                <c:pt idx="86">
                  <c:v>45649</c:v>
                </c:pt>
                <c:pt idx="87">
                  <c:v>45646</c:v>
                </c:pt>
                <c:pt idx="88">
                  <c:v>45645</c:v>
                </c:pt>
                <c:pt idx="89">
                  <c:v>45644</c:v>
                </c:pt>
                <c:pt idx="90">
                  <c:v>45643</c:v>
                </c:pt>
                <c:pt idx="91">
                  <c:v>45642</c:v>
                </c:pt>
                <c:pt idx="92">
                  <c:v>45639</c:v>
                </c:pt>
                <c:pt idx="93">
                  <c:v>45638</c:v>
                </c:pt>
                <c:pt idx="94">
                  <c:v>45637</c:v>
                </c:pt>
                <c:pt idx="95">
                  <c:v>45636</c:v>
                </c:pt>
                <c:pt idx="96">
                  <c:v>45635</c:v>
                </c:pt>
                <c:pt idx="97">
                  <c:v>45632</c:v>
                </c:pt>
                <c:pt idx="98">
                  <c:v>45631</c:v>
                </c:pt>
                <c:pt idx="99">
                  <c:v>45630</c:v>
                </c:pt>
                <c:pt idx="100">
                  <c:v>45629</c:v>
                </c:pt>
                <c:pt idx="101">
                  <c:v>45628</c:v>
                </c:pt>
                <c:pt idx="102">
                  <c:v>45625</c:v>
                </c:pt>
                <c:pt idx="103">
                  <c:v>45623</c:v>
                </c:pt>
                <c:pt idx="104">
                  <c:v>45622</c:v>
                </c:pt>
                <c:pt idx="105">
                  <c:v>45621</c:v>
                </c:pt>
                <c:pt idx="106">
                  <c:v>45618</c:v>
                </c:pt>
                <c:pt idx="107">
                  <c:v>45617</c:v>
                </c:pt>
                <c:pt idx="108">
                  <c:v>45616</c:v>
                </c:pt>
                <c:pt idx="109">
                  <c:v>45615</c:v>
                </c:pt>
                <c:pt idx="110">
                  <c:v>45614</c:v>
                </c:pt>
                <c:pt idx="111">
                  <c:v>45611</c:v>
                </c:pt>
                <c:pt idx="112">
                  <c:v>45610</c:v>
                </c:pt>
                <c:pt idx="113">
                  <c:v>45609</c:v>
                </c:pt>
                <c:pt idx="114">
                  <c:v>45608</c:v>
                </c:pt>
                <c:pt idx="115">
                  <c:v>45607</c:v>
                </c:pt>
                <c:pt idx="116">
                  <c:v>45604</c:v>
                </c:pt>
                <c:pt idx="117">
                  <c:v>45603</c:v>
                </c:pt>
                <c:pt idx="118">
                  <c:v>45602</c:v>
                </c:pt>
                <c:pt idx="119">
                  <c:v>45601</c:v>
                </c:pt>
                <c:pt idx="120">
                  <c:v>45600</c:v>
                </c:pt>
                <c:pt idx="121">
                  <c:v>45597</c:v>
                </c:pt>
                <c:pt idx="122">
                  <c:v>45596</c:v>
                </c:pt>
                <c:pt idx="123">
                  <c:v>45595</c:v>
                </c:pt>
                <c:pt idx="124">
                  <c:v>45594</c:v>
                </c:pt>
                <c:pt idx="125">
                  <c:v>45593</c:v>
                </c:pt>
                <c:pt idx="126">
                  <c:v>45590</c:v>
                </c:pt>
                <c:pt idx="127">
                  <c:v>45589</c:v>
                </c:pt>
                <c:pt idx="128">
                  <c:v>45588</c:v>
                </c:pt>
                <c:pt idx="129">
                  <c:v>45587</c:v>
                </c:pt>
                <c:pt idx="130">
                  <c:v>45586</c:v>
                </c:pt>
                <c:pt idx="131">
                  <c:v>45583</c:v>
                </c:pt>
                <c:pt idx="132">
                  <c:v>45582</c:v>
                </c:pt>
                <c:pt idx="133">
                  <c:v>45581</c:v>
                </c:pt>
                <c:pt idx="134">
                  <c:v>45580</c:v>
                </c:pt>
                <c:pt idx="135">
                  <c:v>45579</c:v>
                </c:pt>
                <c:pt idx="136">
                  <c:v>45576</c:v>
                </c:pt>
                <c:pt idx="137">
                  <c:v>45575</c:v>
                </c:pt>
                <c:pt idx="138">
                  <c:v>45574</c:v>
                </c:pt>
                <c:pt idx="139">
                  <c:v>45573</c:v>
                </c:pt>
                <c:pt idx="140">
                  <c:v>45572</c:v>
                </c:pt>
                <c:pt idx="141">
                  <c:v>45569</c:v>
                </c:pt>
                <c:pt idx="142">
                  <c:v>45568</c:v>
                </c:pt>
                <c:pt idx="143">
                  <c:v>45567</c:v>
                </c:pt>
                <c:pt idx="144">
                  <c:v>45566</c:v>
                </c:pt>
                <c:pt idx="145">
                  <c:v>45565</c:v>
                </c:pt>
                <c:pt idx="146">
                  <c:v>45562</c:v>
                </c:pt>
                <c:pt idx="147">
                  <c:v>45561</c:v>
                </c:pt>
                <c:pt idx="148">
                  <c:v>45560</c:v>
                </c:pt>
                <c:pt idx="149">
                  <c:v>45559</c:v>
                </c:pt>
                <c:pt idx="150">
                  <c:v>45558</c:v>
                </c:pt>
                <c:pt idx="151">
                  <c:v>45555</c:v>
                </c:pt>
                <c:pt idx="152">
                  <c:v>45554</c:v>
                </c:pt>
                <c:pt idx="153">
                  <c:v>45553</c:v>
                </c:pt>
                <c:pt idx="154">
                  <c:v>45552</c:v>
                </c:pt>
                <c:pt idx="155">
                  <c:v>45551</c:v>
                </c:pt>
                <c:pt idx="156">
                  <c:v>45548</c:v>
                </c:pt>
                <c:pt idx="157">
                  <c:v>45547</c:v>
                </c:pt>
                <c:pt idx="158">
                  <c:v>45546</c:v>
                </c:pt>
                <c:pt idx="159">
                  <c:v>45545</c:v>
                </c:pt>
                <c:pt idx="160">
                  <c:v>45544</c:v>
                </c:pt>
                <c:pt idx="161">
                  <c:v>45541</c:v>
                </c:pt>
                <c:pt idx="162">
                  <c:v>45540</c:v>
                </c:pt>
                <c:pt idx="163">
                  <c:v>45539</c:v>
                </c:pt>
                <c:pt idx="164">
                  <c:v>45538</c:v>
                </c:pt>
                <c:pt idx="165">
                  <c:v>45534</c:v>
                </c:pt>
                <c:pt idx="166">
                  <c:v>45533</c:v>
                </c:pt>
                <c:pt idx="167">
                  <c:v>45532</c:v>
                </c:pt>
                <c:pt idx="168">
                  <c:v>45531</c:v>
                </c:pt>
                <c:pt idx="169">
                  <c:v>45530</c:v>
                </c:pt>
                <c:pt idx="170">
                  <c:v>45527</c:v>
                </c:pt>
                <c:pt idx="171">
                  <c:v>45526</c:v>
                </c:pt>
                <c:pt idx="172">
                  <c:v>45525</c:v>
                </c:pt>
                <c:pt idx="173">
                  <c:v>45524</c:v>
                </c:pt>
                <c:pt idx="174">
                  <c:v>45523</c:v>
                </c:pt>
                <c:pt idx="175">
                  <c:v>45520</c:v>
                </c:pt>
                <c:pt idx="176">
                  <c:v>45519</c:v>
                </c:pt>
                <c:pt idx="177">
                  <c:v>45518</c:v>
                </c:pt>
                <c:pt idx="178">
                  <c:v>45517</c:v>
                </c:pt>
                <c:pt idx="179">
                  <c:v>45516</c:v>
                </c:pt>
                <c:pt idx="180">
                  <c:v>45513</c:v>
                </c:pt>
                <c:pt idx="181">
                  <c:v>45512</c:v>
                </c:pt>
                <c:pt idx="182">
                  <c:v>45511</c:v>
                </c:pt>
                <c:pt idx="183">
                  <c:v>45510</c:v>
                </c:pt>
                <c:pt idx="184">
                  <c:v>45509</c:v>
                </c:pt>
                <c:pt idx="185">
                  <c:v>45506</c:v>
                </c:pt>
                <c:pt idx="186">
                  <c:v>45505</c:v>
                </c:pt>
                <c:pt idx="187">
                  <c:v>45504</c:v>
                </c:pt>
                <c:pt idx="188">
                  <c:v>45503</c:v>
                </c:pt>
                <c:pt idx="189">
                  <c:v>45502</c:v>
                </c:pt>
                <c:pt idx="190">
                  <c:v>45499</c:v>
                </c:pt>
                <c:pt idx="191">
                  <c:v>45498</c:v>
                </c:pt>
                <c:pt idx="192">
                  <c:v>45497</c:v>
                </c:pt>
                <c:pt idx="193">
                  <c:v>45496</c:v>
                </c:pt>
                <c:pt idx="194">
                  <c:v>45495</c:v>
                </c:pt>
                <c:pt idx="195">
                  <c:v>45492</c:v>
                </c:pt>
                <c:pt idx="196">
                  <c:v>45491</c:v>
                </c:pt>
                <c:pt idx="197">
                  <c:v>45490</c:v>
                </c:pt>
                <c:pt idx="198">
                  <c:v>45489</c:v>
                </c:pt>
                <c:pt idx="199">
                  <c:v>45488</c:v>
                </c:pt>
                <c:pt idx="200">
                  <c:v>45485</c:v>
                </c:pt>
                <c:pt idx="201">
                  <c:v>45484</c:v>
                </c:pt>
                <c:pt idx="202">
                  <c:v>45483</c:v>
                </c:pt>
                <c:pt idx="203">
                  <c:v>45482</c:v>
                </c:pt>
                <c:pt idx="204">
                  <c:v>45481</c:v>
                </c:pt>
                <c:pt idx="205">
                  <c:v>45478</c:v>
                </c:pt>
                <c:pt idx="206">
                  <c:v>45476</c:v>
                </c:pt>
                <c:pt idx="207">
                  <c:v>45475</c:v>
                </c:pt>
                <c:pt idx="208">
                  <c:v>45474</c:v>
                </c:pt>
                <c:pt idx="209">
                  <c:v>45471</c:v>
                </c:pt>
                <c:pt idx="210">
                  <c:v>45470</c:v>
                </c:pt>
                <c:pt idx="211">
                  <c:v>45469</c:v>
                </c:pt>
                <c:pt idx="212">
                  <c:v>45468</c:v>
                </c:pt>
                <c:pt idx="213">
                  <c:v>45467</c:v>
                </c:pt>
                <c:pt idx="214">
                  <c:v>45464</c:v>
                </c:pt>
                <c:pt idx="215">
                  <c:v>45463</c:v>
                </c:pt>
                <c:pt idx="216">
                  <c:v>45461</c:v>
                </c:pt>
                <c:pt idx="217">
                  <c:v>45460</c:v>
                </c:pt>
                <c:pt idx="218">
                  <c:v>45457</c:v>
                </c:pt>
                <c:pt idx="219">
                  <c:v>45456</c:v>
                </c:pt>
                <c:pt idx="220">
                  <c:v>45455</c:v>
                </c:pt>
                <c:pt idx="221">
                  <c:v>45454</c:v>
                </c:pt>
                <c:pt idx="222">
                  <c:v>45453</c:v>
                </c:pt>
                <c:pt idx="223">
                  <c:v>45450</c:v>
                </c:pt>
                <c:pt idx="224">
                  <c:v>45449</c:v>
                </c:pt>
                <c:pt idx="225">
                  <c:v>45448</c:v>
                </c:pt>
                <c:pt idx="226">
                  <c:v>45447</c:v>
                </c:pt>
                <c:pt idx="227">
                  <c:v>45446</c:v>
                </c:pt>
                <c:pt idx="228">
                  <c:v>45443</c:v>
                </c:pt>
                <c:pt idx="229">
                  <c:v>45442</c:v>
                </c:pt>
                <c:pt idx="230">
                  <c:v>45441</c:v>
                </c:pt>
                <c:pt idx="231">
                  <c:v>45440</c:v>
                </c:pt>
                <c:pt idx="232">
                  <c:v>45436</c:v>
                </c:pt>
                <c:pt idx="233">
                  <c:v>45435</c:v>
                </c:pt>
                <c:pt idx="234">
                  <c:v>45434</c:v>
                </c:pt>
                <c:pt idx="235">
                  <c:v>45433</c:v>
                </c:pt>
                <c:pt idx="236">
                  <c:v>45432</c:v>
                </c:pt>
                <c:pt idx="237">
                  <c:v>45429</c:v>
                </c:pt>
                <c:pt idx="238">
                  <c:v>45428</c:v>
                </c:pt>
                <c:pt idx="239">
                  <c:v>45427</c:v>
                </c:pt>
                <c:pt idx="240">
                  <c:v>45426</c:v>
                </c:pt>
                <c:pt idx="241">
                  <c:v>45425</c:v>
                </c:pt>
                <c:pt idx="242">
                  <c:v>45422</c:v>
                </c:pt>
                <c:pt idx="243">
                  <c:v>45421</c:v>
                </c:pt>
                <c:pt idx="244">
                  <c:v>45420</c:v>
                </c:pt>
                <c:pt idx="245">
                  <c:v>45419</c:v>
                </c:pt>
                <c:pt idx="246">
                  <c:v>45418</c:v>
                </c:pt>
                <c:pt idx="247">
                  <c:v>45415</c:v>
                </c:pt>
                <c:pt idx="248">
                  <c:v>45414</c:v>
                </c:pt>
                <c:pt idx="249">
                  <c:v>45413</c:v>
                </c:pt>
                <c:pt idx="250">
                  <c:v>45412</c:v>
                </c:pt>
              </c:numCache>
            </c:numRef>
          </c:cat>
          <c:val>
            <c:numRef>
              <c:f>Graphs!$T$108:$T$358</c:f>
              <c:numCache>
                <c:formatCode>#,##0</c:formatCode>
                <c:ptCount val="251"/>
                <c:pt idx="0">
                  <c:v>4437257</c:v>
                </c:pt>
                <c:pt idx="1">
                  <c:v>5974500</c:v>
                </c:pt>
                <c:pt idx="2">
                  <c:v>4117900</c:v>
                </c:pt>
                <c:pt idx="3">
                  <c:v>6209200</c:v>
                </c:pt>
                <c:pt idx="4">
                  <c:v>10857900</c:v>
                </c:pt>
                <c:pt idx="5">
                  <c:v>6330700</c:v>
                </c:pt>
                <c:pt idx="6">
                  <c:v>11127900</c:v>
                </c:pt>
                <c:pt idx="7">
                  <c:v>12265000</c:v>
                </c:pt>
                <c:pt idx="8">
                  <c:v>20286400</c:v>
                </c:pt>
                <c:pt idx="9">
                  <c:v>18086900</c:v>
                </c:pt>
                <c:pt idx="10">
                  <c:v>15803200</c:v>
                </c:pt>
                <c:pt idx="11">
                  <c:v>23657200</c:v>
                </c:pt>
                <c:pt idx="12">
                  <c:v>9026500</c:v>
                </c:pt>
                <c:pt idx="13">
                  <c:v>3836400</c:v>
                </c:pt>
                <c:pt idx="14">
                  <c:v>7116800</c:v>
                </c:pt>
                <c:pt idx="15">
                  <c:v>5268600</c:v>
                </c:pt>
                <c:pt idx="16">
                  <c:v>5256500</c:v>
                </c:pt>
                <c:pt idx="17">
                  <c:v>8168100</c:v>
                </c:pt>
                <c:pt idx="18">
                  <c:v>3717000</c:v>
                </c:pt>
                <c:pt idx="19">
                  <c:v>1842400</c:v>
                </c:pt>
                <c:pt idx="20">
                  <c:v>2765700</c:v>
                </c:pt>
                <c:pt idx="21">
                  <c:v>3586700</c:v>
                </c:pt>
                <c:pt idx="22">
                  <c:v>3139300</c:v>
                </c:pt>
                <c:pt idx="23">
                  <c:v>2147300</c:v>
                </c:pt>
                <c:pt idx="24">
                  <c:v>2238400</c:v>
                </c:pt>
                <c:pt idx="25">
                  <c:v>2933700</c:v>
                </c:pt>
                <c:pt idx="26">
                  <c:v>2635000</c:v>
                </c:pt>
                <c:pt idx="27">
                  <c:v>4614300</c:v>
                </c:pt>
                <c:pt idx="28">
                  <c:v>4207900</c:v>
                </c:pt>
                <c:pt idx="29">
                  <c:v>2693800</c:v>
                </c:pt>
                <c:pt idx="30">
                  <c:v>4309500</c:v>
                </c:pt>
                <c:pt idx="31">
                  <c:v>3578800</c:v>
                </c:pt>
                <c:pt idx="32">
                  <c:v>4822400</c:v>
                </c:pt>
                <c:pt idx="33">
                  <c:v>2075700</c:v>
                </c:pt>
                <c:pt idx="34">
                  <c:v>2691000</c:v>
                </c:pt>
                <c:pt idx="35">
                  <c:v>3234300</c:v>
                </c:pt>
                <c:pt idx="36">
                  <c:v>3992000</c:v>
                </c:pt>
                <c:pt idx="37">
                  <c:v>2400900</c:v>
                </c:pt>
                <c:pt idx="38">
                  <c:v>3515500</c:v>
                </c:pt>
                <c:pt idx="39">
                  <c:v>5011900</c:v>
                </c:pt>
                <c:pt idx="40">
                  <c:v>3456900</c:v>
                </c:pt>
                <c:pt idx="41">
                  <c:v>4165700</c:v>
                </c:pt>
                <c:pt idx="42">
                  <c:v>2579100</c:v>
                </c:pt>
                <c:pt idx="43">
                  <c:v>2036700</c:v>
                </c:pt>
                <c:pt idx="44">
                  <c:v>3115300</c:v>
                </c:pt>
                <c:pt idx="45">
                  <c:v>3075900</c:v>
                </c:pt>
                <c:pt idx="46">
                  <c:v>3105900</c:v>
                </c:pt>
                <c:pt idx="47">
                  <c:v>4661700</c:v>
                </c:pt>
                <c:pt idx="48">
                  <c:v>1919300</c:v>
                </c:pt>
                <c:pt idx="49">
                  <c:v>2746900</c:v>
                </c:pt>
                <c:pt idx="50">
                  <c:v>2241500</c:v>
                </c:pt>
                <c:pt idx="51">
                  <c:v>1741900</c:v>
                </c:pt>
                <c:pt idx="52">
                  <c:v>2374700</c:v>
                </c:pt>
                <c:pt idx="53">
                  <c:v>2408500</c:v>
                </c:pt>
                <c:pt idx="54">
                  <c:v>3215600</c:v>
                </c:pt>
                <c:pt idx="55">
                  <c:v>6625300</c:v>
                </c:pt>
                <c:pt idx="56">
                  <c:v>3882400</c:v>
                </c:pt>
                <c:pt idx="57">
                  <c:v>4407600</c:v>
                </c:pt>
                <c:pt idx="58">
                  <c:v>4570300</c:v>
                </c:pt>
                <c:pt idx="59">
                  <c:v>8831300</c:v>
                </c:pt>
                <c:pt idx="60">
                  <c:v>5228200</c:v>
                </c:pt>
                <c:pt idx="61">
                  <c:v>2844900</c:v>
                </c:pt>
                <c:pt idx="62">
                  <c:v>2102200</c:v>
                </c:pt>
                <c:pt idx="63">
                  <c:v>1501700</c:v>
                </c:pt>
                <c:pt idx="64">
                  <c:v>1541000</c:v>
                </c:pt>
                <c:pt idx="65">
                  <c:v>2317000</c:v>
                </c:pt>
                <c:pt idx="66">
                  <c:v>3716800</c:v>
                </c:pt>
                <c:pt idx="67">
                  <c:v>1461500</c:v>
                </c:pt>
                <c:pt idx="68">
                  <c:v>2351500</c:v>
                </c:pt>
                <c:pt idx="69">
                  <c:v>2999900</c:v>
                </c:pt>
                <c:pt idx="70">
                  <c:v>1978400</c:v>
                </c:pt>
                <c:pt idx="71">
                  <c:v>2535200</c:v>
                </c:pt>
                <c:pt idx="72">
                  <c:v>3114600</c:v>
                </c:pt>
                <c:pt idx="73">
                  <c:v>1283400</c:v>
                </c:pt>
                <c:pt idx="74">
                  <c:v>2174100</c:v>
                </c:pt>
                <c:pt idx="75">
                  <c:v>2089600</c:v>
                </c:pt>
                <c:pt idx="76">
                  <c:v>2665300</c:v>
                </c:pt>
                <c:pt idx="77">
                  <c:v>2844200</c:v>
                </c:pt>
                <c:pt idx="78">
                  <c:v>10553800</c:v>
                </c:pt>
                <c:pt idx="79">
                  <c:v>4892100</c:v>
                </c:pt>
                <c:pt idx="80">
                  <c:v>3004200</c:v>
                </c:pt>
                <c:pt idx="81">
                  <c:v>2305400</c:v>
                </c:pt>
                <c:pt idx="82">
                  <c:v>2327800</c:v>
                </c:pt>
                <c:pt idx="83">
                  <c:v>1529400</c:v>
                </c:pt>
                <c:pt idx="84">
                  <c:v>2046500</c:v>
                </c:pt>
                <c:pt idx="85">
                  <c:v>857900</c:v>
                </c:pt>
                <c:pt idx="86">
                  <c:v>2650500</c:v>
                </c:pt>
                <c:pt idx="87">
                  <c:v>4509700</c:v>
                </c:pt>
                <c:pt idx="88">
                  <c:v>4543700</c:v>
                </c:pt>
                <c:pt idx="89">
                  <c:v>3143100</c:v>
                </c:pt>
                <c:pt idx="90">
                  <c:v>2567300</c:v>
                </c:pt>
                <c:pt idx="91">
                  <c:v>2407700</c:v>
                </c:pt>
                <c:pt idx="92">
                  <c:v>2252600</c:v>
                </c:pt>
                <c:pt idx="93">
                  <c:v>2127100</c:v>
                </c:pt>
                <c:pt idx="94">
                  <c:v>1980700</c:v>
                </c:pt>
                <c:pt idx="95">
                  <c:v>4162800</c:v>
                </c:pt>
                <c:pt idx="96">
                  <c:v>3030000</c:v>
                </c:pt>
                <c:pt idx="97">
                  <c:v>2118900</c:v>
                </c:pt>
                <c:pt idx="98">
                  <c:v>3536400</c:v>
                </c:pt>
                <c:pt idx="99">
                  <c:v>6454400</c:v>
                </c:pt>
                <c:pt idx="100">
                  <c:v>12832500</c:v>
                </c:pt>
                <c:pt idx="101">
                  <c:v>2891000</c:v>
                </c:pt>
                <c:pt idx="102">
                  <c:v>1079800</c:v>
                </c:pt>
                <c:pt idx="103">
                  <c:v>2007300</c:v>
                </c:pt>
                <c:pt idx="104">
                  <c:v>3269500</c:v>
                </c:pt>
                <c:pt idx="105">
                  <c:v>2727300</c:v>
                </c:pt>
                <c:pt idx="106">
                  <c:v>2339900</c:v>
                </c:pt>
                <c:pt idx="107">
                  <c:v>1592200</c:v>
                </c:pt>
                <c:pt idx="108">
                  <c:v>1225300</c:v>
                </c:pt>
                <c:pt idx="109">
                  <c:v>1730100</c:v>
                </c:pt>
                <c:pt idx="110">
                  <c:v>1828300</c:v>
                </c:pt>
                <c:pt idx="111">
                  <c:v>2119000</c:v>
                </c:pt>
                <c:pt idx="112">
                  <c:v>2678500</c:v>
                </c:pt>
                <c:pt idx="113">
                  <c:v>3518600</c:v>
                </c:pt>
                <c:pt idx="114">
                  <c:v>2040200</c:v>
                </c:pt>
                <c:pt idx="115">
                  <c:v>2529100</c:v>
                </c:pt>
                <c:pt idx="116">
                  <c:v>3124800</c:v>
                </c:pt>
                <c:pt idx="117">
                  <c:v>3189400</c:v>
                </c:pt>
                <c:pt idx="118">
                  <c:v>4788600</c:v>
                </c:pt>
                <c:pt idx="119">
                  <c:v>2379400</c:v>
                </c:pt>
                <c:pt idx="120">
                  <c:v>2070700</c:v>
                </c:pt>
                <c:pt idx="121">
                  <c:v>1817600</c:v>
                </c:pt>
                <c:pt idx="122">
                  <c:v>2150200</c:v>
                </c:pt>
                <c:pt idx="123">
                  <c:v>2177300</c:v>
                </c:pt>
                <c:pt idx="124">
                  <c:v>1349900</c:v>
                </c:pt>
                <c:pt idx="125">
                  <c:v>2689400</c:v>
                </c:pt>
                <c:pt idx="126">
                  <c:v>1541800</c:v>
                </c:pt>
                <c:pt idx="127">
                  <c:v>2104400</c:v>
                </c:pt>
                <c:pt idx="128">
                  <c:v>1992300</c:v>
                </c:pt>
                <c:pt idx="129">
                  <c:v>1581900</c:v>
                </c:pt>
                <c:pt idx="130">
                  <c:v>1788000</c:v>
                </c:pt>
                <c:pt idx="131">
                  <c:v>2168100</c:v>
                </c:pt>
                <c:pt idx="132">
                  <c:v>2875100</c:v>
                </c:pt>
                <c:pt idx="133">
                  <c:v>3484200</c:v>
                </c:pt>
                <c:pt idx="134">
                  <c:v>1440200</c:v>
                </c:pt>
                <c:pt idx="135">
                  <c:v>1426600</c:v>
                </c:pt>
                <c:pt idx="136">
                  <c:v>1942000</c:v>
                </c:pt>
                <c:pt idx="137">
                  <c:v>1390600</c:v>
                </c:pt>
                <c:pt idx="138">
                  <c:v>2572600</c:v>
                </c:pt>
                <c:pt idx="139">
                  <c:v>3182900</c:v>
                </c:pt>
                <c:pt idx="140">
                  <c:v>2687600</c:v>
                </c:pt>
                <c:pt idx="141">
                  <c:v>2314000</c:v>
                </c:pt>
                <c:pt idx="142">
                  <c:v>3000700</c:v>
                </c:pt>
                <c:pt idx="143">
                  <c:v>3455400</c:v>
                </c:pt>
                <c:pt idx="144">
                  <c:v>2826600</c:v>
                </c:pt>
                <c:pt idx="145">
                  <c:v>5312900</c:v>
                </c:pt>
                <c:pt idx="146">
                  <c:v>5510400</c:v>
                </c:pt>
                <c:pt idx="147">
                  <c:v>3962800</c:v>
                </c:pt>
                <c:pt idx="148">
                  <c:v>5652500</c:v>
                </c:pt>
                <c:pt idx="149">
                  <c:v>8498400</c:v>
                </c:pt>
                <c:pt idx="150">
                  <c:v>3417600</c:v>
                </c:pt>
                <c:pt idx="151">
                  <c:v>26011200</c:v>
                </c:pt>
                <c:pt idx="152">
                  <c:v>2753800</c:v>
                </c:pt>
                <c:pt idx="153">
                  <c:v>2927200</c:v>
                </c:pt>
                <c:pt idx="154">
                  <c:v>2563100</c:v>
                </c:pt>
                <c:pt idx="155">
                  <c:v>1940400</c:v>
                </c:pt>
                <c:pt idx="156">
                  <c:v>2457200</c:v>
                </c:pt>
                <c:pt idx="157">
                  <c:v>2690100</c:v>
                </c:pt>
                <c:pt idx="158">
                  <c:v>2989800</c:v>
                </c:pt>
                <c:pt idx="159">
                  <c:v>2549400</c:v>
                </c:pt>
                <c:pt idx="160">
                  <c:v>3627100</c:v>
                </c:pt>
                <c:pt idx="161">
                  <c:v>3326200</c:v>
                </c:pt>
                <c:pt idx="162">
                  <c:v>2679200</c:v>
                </c:pt>
                <c:pt idx="163">
                  <c:v>4766100</c:v>
                </c:pt>
                <c:pt idx="164">
                  <c:v>3586300</c:v>
                </c:pt>
                <c:pt idx="165">
                  <c:v>2925000</c:v>
                </c:pt>
                <c:pt idx="166">
                  <c:v>1821600</c:v>
                </c:pt>
                <c:pt idx="167">
                  <c:v>2005200</c:v>
                </c:pt>
                <c:pt idx="168">
                  <c:v>1565600</c:v>
                </c:pt>
                <c:pt idx="169">
                  <c:v>1996000</c:v>
                </c:pt>
                <c:pt idx="170">
                  <c:v>2032300</c:v>
                </c:pt>
                <c:pt idx="171">
                  <c:v>1955200</c:v>
                </c:pt>
                <c:pt idx="172">
                  <c:v>2654200</c:v>
                </c:pt>
                <c:pt idx="173">
                  <c:v>1653200</c:v>
                </c:pt>
                <c:pt idx="174">
                  <c:v>1960400</c:v>
                </c:pt>
                <c:pt idx="175">
                  <c:v>1700200</c:v>
                </c:pt>
                <c:pt idx="176">
                  <c:v>2663000</c:v>
                </c:pt>
                <c:pt idx="177">
                  <c:v>2504700</c:v>
                </c:pt>
                <c:pt idx="178">
                  <c:v>1912400</c:v>
                </c:pt>
                <c:pt idx="179">
                  <c:v>2707500</c:v>
                </c:pt>
                <c:pt idx="180">
                  <c:v>2872100</c:v>
                </c:pt>
                <c:pt idx="181">
                  <c:v>2782500</c:v>
                </c:pt>
                <c:pt idx="182">
                  <c:v>4200900</c:v>
                </c:pt>
                <c:pt idx="183">
                  <c:v>4718000</c:v>
                </c:pt>
                <c:pt idx="184">
                  <c:v>6829900</c:v>
                </c:pt>
                <c:pt idx="185">
                  <c:v>8501100</c:v>
                </c:pt>
                <c:pt idx="186">
                  <c:v>3655400</c:v>
                </c:pt>
                <c:pt idx="187">
                  <c:v>2251400</c:v>
                </c:pt>
                <c:pt idx="188">
                  <c:v>1422200</c:v>
                </c:pt>
                <c:pt idx="189">
                  <c:v>1579400</c:v>
                </c:pt>
                <c:pt idx="190">
                  <c:v>1403000</c:v>
                </c:pt>
                <c:pt idx="191">
                  <c:v>2021600</c:v>
                </c:pt>
                <c:pt idx="192">
                  <c:v>1986900</c:v>
                </c:pt>
                <c:pt idx="193">
                  <c:v>1509500</c:v>
                </c:pt>
                <c:pt idx="194">
                  <c:v>2693900</c:v>
                </c:pt>
                <c:pt idx="195">
                  <c:v>1932300</c:v>
                </c:pt>
                <c:pt idx="196">
                  <c:v>2042700</c:v>
                </c:pt>
                <c:pt idx="197">
                  <c:v>2189700</c:v>
                </c:pt>
                <c:pt idx="198">
                  <c:v>1431100</c:v>
                </c:pt>
                <c:pt idx="199">
                  <c:v>3286600</c:v>
                </c:pt>
                <c:pt idx="200">
                  <c:v>2828800</c:v>
                </c:pt>
                <c:pt idx="201">
                  <c:v>2510500</c:v>
                </c:pt>
                <c:pt idx="202">
                  <c:v>1763700</c:v>
                </c:pt>
                <c:pt idx="203">
                  <c:v>1675900</c:v>
                </c:pt>
                <c:pt idx="204">
                  <c:v>2018800</c:v>
                </c:pt>
                <c:pt idx="205">
                  <c:v>1971700</c:v>
                </c:pt>
                <c:pt idx="206">
                  <c:v>2538600</c:v>
                </c:pt>
                <c:pt idx="207">
                  <c:v>4159200</c:v>
                </c:pt>
                <c:pt idx="208">
                  <c:v>4093800</c:v>
                </c:pt>
                <c:pt idx="209">
                  <c:v>4165400</c:v>
                </c:pt>
                <c:pt idx="210">
                  <c:v>2782000</c:v>
                </c:pt>
                <c:pt idx="211">
                  <c:v>3858700</c:v>
                </c:pt>
                <c:pt idx="212">
                  <c:v>6088400</c:v>
                </c:pt>
                <c:pt idx="213">
                  <c:v>3039300</c:v>
                </c:pt>
                <c:pt idx="214">
                  <c:v>7092800</c:v>
                </c:pt>
                <c:pt idx="215">
                  <c:v>3307400</c:v>
                </c:pt>
                <c:pt idx="216">
                  <c:v>3356900</c:v>
                </c:pt>
                <c:pt idx="217">
                  <c:v>4035700</c:v>
                </c:pt>
                <c:pt idx="218">
                  <c:v>3291400</c:v>
                </c:pt>
                <c:pt idx="219">
                  <c:v>3156900</c:v>
                </c:pt>
                <c:pt idx="220">
                  <c:v>2140500</c:v>
                </c:pt>
                <c:pt idx="221">
                  <c:v>3053800</c:v>
                </c:pt>
                <c:pt idx="222">
                  <c:v>2136000</c:v>
                </c:pt>
                <c:pt idx="223">
                  <c:v>2631700</c:v>
                </c:pt>
                <c:pt idx="224">
                  <c:v>1853700</c:v>
                </c:pt>
                <c:pt idx="225">
                  <c:v>1997900</c:v>
                </c:pt>
                <c:pt idx="226">
                  <c:v>3035000</c:v>
                </c:pt>
                <c:pt idx="227">
                  <c:v>2112100</c:v>
                </c:pt>
                <c:pt idx="228">
                  <c:v>2404800</c:v>
                </c:pt>
                <c:pt idx="229">
                  <c:v>2039400</c:v>
                </c:pt>
                <c:pt idx="230">
                  <c:v>3277000</c:v>
                </c:pt>
                <c:pt idx="231">
                  <c:v>2559200</c:v>
                </c:pt>
                <c:pt idx="232">
                  <c:v>1339800</c:v>
                </c:pt>
                <c:pt idx="233">
                  <c:v>2974600</c:v>
                </c:pt>
                <c:pt idx="234">
                  <c:v>2594900</c:v>
                </c:pt>
                <c:pt idx="235">
                  <c:v>2204800</c:v>
                </c:pt>
                <c:pt idx="236">
                  <c:v>3982100</c:v>
                </c:pt>
                <c:pt idx="237">
                  <c:v>3116900</c:v>
                </c:pt>
                <c:pt idx="238">
                  <c:v>3177000</c:v>
                </c:pt>
                <c:pt idx="239">
                  <c:v>5285200</c:v>
                </c:pt>
                <c:pt idx="240">
                  <c:v>7338400</c:v>
                </c:pt>
                <c:pt idx="241">
                  <c:v>3544200</c:v>
                </c:pt>
                <c:pt idx="242">
                  <c:v>3927900</c:v>
                </c:pt>
                <c:pt idx="243">
                  <c:v>2303600</c:v>
                </c:pt>
                <c:pt idx="244">
                  <c:v>2178700</c:v>
                </c:pt>
                <c:pt idx="245">
                  <c:v>2691200</c:v>
                </c:pt>
                <c:pt idx="246">
                  <c:v>3470600</c:v>
                </c:pt>
                <c:pt idx="247">
                  <c:v>4722000</c:v>
                </c:pt>
                <c:pt idx="248">
                  <c:v>3263300</c:v>
                </c:pt>
                <c:pt idx="249">
                  <c:v>2509800</c:v>
                </c:pt>
                <c:pt idx="250">
                  <c:v>3064100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89-4726-8FA0-B41C54CC5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783475664"/>
        <c:axId val="1783453584"/>
      </c:barChart>
      <c:lineChart>
        <c:grouping val="standard"/>
        <c:varyColors val="0"/>
        <c:ser>
          <c:idx val="0"/>
          <c:order val="0"/>
          <c:tx>
            <c:strRef>
              <c:f>Graphs!$S$107</c:f>
              <c:strCache>
                <c:ptCount val="1"/>
                <c:pt idx="0">
                  <c:v>Share Price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Graphs!$R$108:$R$358</c:f>
              <c:numCache>
                <c:formatCode>d\-mmm\-yy</c:formatCode>
                <c:ptCount val="251"/>
                <c:pt idx="0">
                  <c:v>45777</c:v>
                </c:pt>
                <c:pt idx="1">
                  <c:v>45776</c:v>
                </c:pt>
                <c:pt idx="2">
                  <c:v>45775</c:v>
                </c:pt>
                <c:pt idx="3">
                  <c:v>45772</c:v>
                </c:pt>
                <c:pt idx="4">
                  <c:v>45771</c:v>
                </c:pt>
                <c:pt idx="5">
                  <c:v>45770</c:v>
                </c:pt>
                <c:pt idx="6">
                  <c:v>45769</c:v>
                </c:pt>
                <c:pt idx="7">
                  <c:v>45768</c:v>
                </c:pt>
                <c:pt idx="8">
                  <c:v>45764</c:v>
                </c:pt>
                <c:pt idx="9">
                  <c:v>45763</c:v>
                </c:pt>
                <c:pt idx="10">
                  <c:v>45762</c:v>
                </c:pt>
                <c:pt idx="11">
                  <c:v>45761</c:v>
                </c:pt>
                <c:pt idx="12">
                  <c:v>45758</c:v>
                </c:pt>
                <c:pt idx="13">
                  <c:v>45757</c:v>
                </c:pt>
                <c:pt idx="14">
                  <c:v>45756</c:v>
                </c:pt>
                <c:pt idx="15">
                  <c:v>45755</c:v>
                </c:pt>
                <c:pt idx="16">
                  <c:v>45754</c:v>
                </c:pt>
                <c:pt idx="17">
                  <c:v>45751</c:v>
                </c:pt>
                <c:pt idx="18">
                  <c:v>45750</c:v>
                </c:pt>
                <c:pt idx="19">
                  <c:v>45749</c:v>
                </c:pt>
                <c:pt idx="20">
                  <c:v>45748</c:v>
                </c:pt>
                <c:pt idx="21">
                  <c:v>45747</c:v>
                </c:pt>
                <c:pt idx="22">
                  <c:v>45744</c:v>
                </c:pt>
                <c:pt idx="23">
                  <c:v>45743</c:v>
                </c:pt>
                <c:pt idx="24">
                  <c:v>45742</c:v>
                </c:pt>
                <c:pt idx="25">
                  <c:v>45741</c:v>
                </c:pt>
                <c:pt idx="26">
                  <c:v>45740</c:v>
                </c:pt>
                <c:pt idx="27">
                  <c:v>45737</c:v>
                </c:pt>
                <c:pt idx="28">
                  <c:v>45736</c:v>
                </c:pt>
                <c:pt idx="29">
                  <c:v>45735</c:v>
                </c:pt>
                <c:pt idx="30">
                  <c:v>45734</c:v>
                </c:pt>
                <c:pt idx="31">
                  <c:v>45733</c:v>
                </c:pt>
                <c:pt idx="32">
                  <c:v>45730</c:v>
                </c:pt>
                <c:pt idx="33">
                  <c:v>45729</c:v>
                </c:pt>
                <c:pt idx="34">
                  <c:v>45728</c:v>
                </c:pt>
                <c:pt idx="35">
                  <c:v>45727</c:v>
                </c:pt>
                <c:pt idx="36">
                  <c:v>45726</c:v>
                </c:pt>
                <c:pt idx="37">
                  <c:v>45723</c:v>
                </c:pt>
                <c:pt idx="38">
                  <c:v>45722</c:v>
                </c:pt>
                <c:pt idx="39">
                  <c:v>45721</c:v>
                </c:pt>
                <c:pt idx="40">
                  <c:v>45720</c:v>
                </c:pt>
                <c:pt idx="41">
                  <c:v>45719</c:v>
                </c:pt>
                <c:pt idx="42">
                  <c:v>45716</c:v>
                </c:pt>
                <c:pt idx="43">
                  <c:v>45715</c:v>
                </c:pt>
                <c:pt idx="44">
                  <c:v>45714</c:v>
                </c:pt>
                <c:pt idx="45">
                  <c:v>45713</c:v>
                </c:pt>
                <c:pt idx="46">
                  <c:v>45712</c:v>
                </c:pt>
                <c:pt idx="47">
                  <c:v>45709</c:v>
                </c:pt>
                <c:pt idx="48">
                  <c:v>45708</c:v>
                </c:pt>
                <c:pt idx="49">
                  <c:v>45707</c:v>
                </c:pt>
                <c:pt idx="50">
                  <c:v>45706</c:v>
                </c:pt>
                <c:pt idx="51">
                  <c:v>45702</c:v>
                </c:pt>
                <c:pt idx="52">
                  <c:v>45701</c:v>
                </c:pt>
                <c:pt idx="53">
                  <c:v>45700</c:v>
                </c:pt>
                <c:pt idx="54">
                  <c:v>45699</c:v>
                </c:pt>
                <c:pt idx="55">
                  <c:v>45698</c:v>
                </c:pt>
                <c:pt idx="56">
                  <c:v>45695</c:v>
                </c:pt>
                <c:pt idx="57">
                  <c:v>45694</c:v>
                </c:pt>
                <c:pt idx="58">
                  <c:v>45693</c:v>
                </c:pt>
                <c:pt idx="59">
                  <c:v>45692</c:v>
                </c:pt>
                <c:pt idx="60">
                  <c:v>45691</c:v>
                </c:pt>
                <c:pt idx="61">
                  <c:v>45688</c:v>
                </c:pt>
                <c:pt idx="62">
                  <c:v>45687</c:v>
                </c:pt>
                <c:pt idx="63">
                  <c:v>45686</c:v>
                </c:pt>
                <c:pt idx="64">
                  <c:v>45685</c:v>
                </c:pt>
                <c:pt idx="65">
                  <c:v>45684</c:v>
                </c:pt>
                <c:pt idx="66">
                  <c:v>45681</c:v>
                </c:pt>
                <c:pt idx="67">
                  <c:v>45680</c:v>
                </c:pt>
                <c:pt idx="68">
                  <c:v>45679</c:v>
                </c:pt>
                <c:pt idx="69">
                  <c:v>45678</c:v>
                </c:pt>
                <c:pt idx="70">
                  <c:v>45674</c:v>
                </c:pt>
                <c:pt idx="71">
                  <c:v>45673</c:v>
                </c:pt>
                <c:pt idx="72">
                  <c:v>45672</c:v>
                </c:pt>
                <c:pt idx="73">
                  <c:v>45671</c:v>
                </c:pt>
                <c:pt idx="74">
                  <c:v>45670</c:v>
                </c:pt>
                <c:pt idx="75">
                  <c:v>45667</c:v>
                </c:pt>
                <c:pt idx="76">
                  <c:v>45665</c:v>
                </c:pt>
                <c:pt idx="77">
                  <c:v>45664</c:v>
                </c:pt>
                <c:pt idx="78">
                  <c:v>45663</c:v>
                </c:pt>
                <c:pt idx="79">
                  <c:v>45660</c:v>
                </c:pt>
                <c:pt idx="80">
                  <c:v>45659</c:v>
                </c:pt>
                <c:pt idx="81">
                  <c:v>45657</c:v>
                </c:pt>
                <c:pt idx="82">
                  <c:v>45656</c:v>
                </c:pt>
                <c:pt idx="83">
                  <c:v>45653</c:v>
                </c:pt>
                <c:pt idx="84">
                  <c:v>45652</c:v>
                </c:pt>
                <c:pt idx="85">
                  <c:v>45650</c:v>
                </c:pt>
                <c:pt idx="86">
                  <c:v>45649</c:v>
                </c:pt>
                <c:pt idx="87">
                  <c:v>45646</c:v>
                </c:pt>
                <c:pt idx="88">
                  <c:v>45645</c:v>
                </c:pt>
                <c:pt idx="89">
                  <c:v>45644</c:v>
                </c:pt>
                <c:pt idx="90">
                  <c:v>45643</c:v>
                </c:pt>
                <c:pt idx="91">
                  <c:v>45642</c:v>
                </c:pt>
                <c:pt idx="92">
                  <c:v>45639</c:v>
                </c:pt>
                <c:pt idx="93">
                  <c:v>45638</c:v>
                </c:pt>
                <c:pt idx="94">
                  <c:v>45637</c:v>
                </c:pt>
                <c:pt idx="95">
                  <c:v>45636</c:v>
                </c:pt>
                <c:pt idx="96">
                  <c:v>45635</c:v>
                </c:pt>
                <c:pt idx="97">
                  <c:v>45632</c:v>
                </c:pt>
                <c:pt idx="98">
                  <c:v>45631</c:v>
                </c:pt>
                <c:pt idx="99">
                  <c:v>45630</c:v>
                </c:pt>
                <c:pt idx="100">
                  <c:v>45629</c:v>
                </c:pt>
                <c:pt idx="101">
                  <c:v>45628</c:v>
                </c:pt>
                <c:pt idx="102">
                  <c:v>45625</c:v>
                </c:pt>
                <c:pt idx="103">
                  <c:v>45623</c:v>
                </c:pt>
                <c:pt idx="104">
                  <c:v>45622</c:v>
                </c:pt>
                <c:pt idx="105">
                  <c:v>45621</c:v>
                </c:pt>
                <c:pt idx="106">
                  <c:v>45618</c:v>
                </c:pt>
                <c:pt idx="107">
                  <c:v>45617</c:v>
                </c:pt>
                <c:pt idx="108">
                  <c:v>45616</c:v>
                </c:pt>
                <c:pt idx="109">
                  <c:v>45615</c:v>
                </c:pt>
                <c:pt idx="110">
                  <c:v>45614</c:v>
                </c:pt>
                <c:pt idx="111">
                  <c:v>45611</c:v>
                </c:pt>
                <c:pt idx="112">
                  <c:v>45610</c:v>
                </c:pt>
                <c:pt idx="113">
                  <c:v>45609</c:v>
                </c:pt>
                <c:pt idx="114">
                  <c:v>45608</c:v>
                </c:pt>
                <c:pt idx="115">
                  <c:v>45607</c:v>
                </c:pt>
                <c:pt idx="116">
                  <c:v>45604</c:v>
                </c:pt>
                <c:pt idx="117">
                  <c:v>45603</c:v>
                </c:pt>
                <c:pt idx="118">
                  <c:v>45602</c:v>
                </c:pt>
                <c:pt idx="119">
                  <c:v>45601</c:v>
                </c:pt>
                <c:pt idx="120">
                  <c:v>45600</c:v>
                </c:pt>
                <c:pt idx="121">
                  <c:v>45597</c:v>
                </c:pt>
                <c:pt idx="122">
                  <c:v>45596</c:v>
                </c:pt>
                <c:pt idx="123">
                  <c:v>45595</c:v>
                </c:pt>
                <c:pt idx="124">
                  <c:v>45594</c:v>
                </c:pt>
                <c:pt idx="125">
                  <c:v>45593</c:v>
                </c:pt>
                <c:pt idx="126">
                  <c:v>45590</c:v>
                </c:pt>
                <c:pt idx="127">
                  <c:v>45589</c:v>
                </c:pt>
                <c:pt idx="128">
                  <c:v>45588</c:v>
                </c:pt>
                <c:pt idx="129">
                  <c:v>45587</c:v>
                </c:pt>
                <c:pt idx="130">
                  <c:v>45586</c:v>
                </c:pt>
                <c:pt idx="131">
                  <c:v>45583</c:v>
                </c:pt>
                <c:pt idx="132">
                  <c:v>45582</c:v>
                </c:pt>
                <c:pt idx="133">
                  <c:v>45581</c:v>
                </c:pt>
                <c:pt idx="134">
                  <c:v>45580</c:v>
                </c:pt>
                <c:pt idx="135">
                  <c:v>45579</c:v>
                </c:pt>
                <c:pt idx="136">
                  <c:v>45576</c:v>
                </c:pt>
                <c:pt idx="137">
                  <c:v>45575</c:v>
                </c:pt>
                <c:pt idx="138">
                  <c:v>45574</c:v>
                </c:pt>
                <c:pt idx="139">
                  <c:v>45573</c:v>
                </c:pt>
                <c:pt idx="140">
                  <c:v>45572</c:v>
                </c:pt>
                <c:pt idx="141">
                  <c:v>45569</c:v>
                </c:pt>
                <c:pt idx="142">
                  <c:v>45568</c:v>
                </c:pt>
                <c:pt idx="143">
                  <c:v>45567</c:v>
                </c:pt>
                <c:pt idx="144">
                  <c:v>45566</c:v>
                </c:pt>
                <c:pt idx="145">
                  <c:v>45565</c:v>
                </c:pt>
                <c:pt idx="146">
                  <c:v>45562</c:v>
                </c:pt>
                <c:pt idx="147">
                  <c:v>45561</c:v>
                </c:pt>
                <c:pt idx="148">
                  <c:v>45560</c:v>
                </c:pt>
                <c:pt idx="149">
                  <c:v>45559</c:v>
                </c:pt>
                <c:pt idx="150">
                  <c:v>45558</c:v>
                </c:pt>
                <c:pt idx="151">
                  <c:v>45555</c:v>
                </c:pt>
                <c:pt idx="152">
                  <c:v>45554</c:v>
                </c:pt>
                <c:pt idx="153">
                  <c:v>45553</c:v>
                </c:pt>
                <c:pt idx="154">
                  <c:v>45552</c:v>
                </c:pt>
                <c:pt idx="155">
                  <c:v>45551</c:v>
                </c:pt>
                <c:pt idx="156">
                  <c:v>45548</c:v>
                </c:pt>
                <c:pt idx="157">
                  <c:v>45547</c:v>
                </c:pt>
                <c:pt idx="158">
                  <c:v>45546</c:v>
                </c:pt>
                <c:pt idx="159">
                  <c:v>45545</c:v>
                </c:pt>
                <c:pt idx="160">
                  <c:v>45544</c:v>
                </c:pt>
                <c:pt idx="161">
                  <c:v>45541</c:v>
                </c:pt>
                <c:pt idx="162">
                  <c:v>45540</c:v>
                </c:pt>
                <c:pt idx="163">
                  <c:v>45539</c:v>
                </c:pt>
                <c:pt idx="164">
                  <c:v>45538</c:v>
                </c:pt>
                <c:pt idx="165">
                  <c:v>45534</c:v>
                </c:pt>
                <c:pt idx="166">
                  <c:v>45533</c:v>
                </c:pt>
                <c:pt idx="167">
                  <c:v>45532</c:v>
                </c:pt>
                <c:pt idx="168">
                  <c:v>45531</c:v>
                </c:pt>
                <c:pt idx="169">
                  <c:v>45530</c:v>
                </c:pt>
                <c:pt idx="170">
                  <c:v>45527</c:v>
                </c:pt>
                <c:pt idx="171">
                  <c:v>45526</c:v>
                </c:pt>
                <c:pt idx="172">
                  <c:v>45525</c:v>
                </c:pt>
                <c:pt idx="173">
                  <c:v>45524</c:v>
                </c:pt>
                <c:pt idx="174">
                  <c:v>45523</c:v>
                </c:pt>
                <c:pt idx="175">
                  <c:v>45520</c:v>
                </c:pt>
                <c:pt idx="176">
                  <c:v>45519</c:v>
                </c:pt>
                <c:pt idx="177">
                  <c:v>45518</c:v>
                </c:pt>
                <c:pt idx="178">
                  <c:v>45517</c:v>
                </c:pt>
                <c:pt idx="179">
                  <c:v>45516</c:v>
                </c:pt>
                <c:pt idx="180">
                  <c:v>45513</c:v>
                </c:pt>
                <c:pt idx="181">
                  <c:v>45512</c:v>
                </c:pt>
                <c:pt idx="182">
                  <c:v>45511</c:v>
                </c:pt>
                <c:pt idx="183">
                  <c:v>45510</c:v>
                </c:pt>
                <c:pt idx="184">
                  <c:v>45509</c:v>
                </c:pt>
                <c:pt idx="185">
                  <c:v>45506</c:v>
                </c:pt>
                <c:pt idx="186">
                  <c:v>45505</c:v>
                </c:pt>
                <c:pt idx="187">
                  <c:v>45504</c:v>
                </c:pt>
                <c:pt idx="188">
                  <c:v>45503</c:v>
                </c:pt>
                <c:pt idx="189">
                  <c:v>45502</c:v>
                </c:pt>
                <c:pt idx="190">
                  <c:v>45499</c:v>
                </c:pt>
                <c:pt idx="191">
                  <c:v>45498</c:v>
                </c:pt>
                <c:pt idx="192">
                  <c:v>45497</c:v>
                </c:pt>
                <c:pt idx="193">
                  <c:v>45496</c:v>
                </c:pt>
                <c:pt idx="194">
                  <c:v>45495</c:v>
                </c:pt>
                <c:pt idx="195">
                  <c:v>45492</c:v>
                </c:pt>
                <c:pt idx="196">
                  <c:v>45491</c:v>
                </c:pt>
                <c:pt idx="197">
                  <c:v>45490</c:v>
                </c:pt>
                <c:pt idx="198">
                  <c:v>45489</c:v>
                </c:pt>
                <c:pt idx="199">
                  <c:v>45488</c:v>
                </c:pt>
                <c:pt idx="200">
                  <c:v>45485</c:v>
                </c:pt>
                <c:pt idx="201">
                  <c:v>45484</c:v>
                </c:pt>
                <c:pt idx="202">
                  <c:v>45483</c:v>
                </c:pt>
                <c:pt idx="203">
                  <c:v>45482</c:v>
                </c:pt>
                <c:pt idx="204">
                  <c:v>45481</c:v>
                </c:pt>
                <c:pt idx="205">
                  <c:v>45478</c:v>
                </c:pt>
                <c:pt idx="206">
                  <c:v>45476</c:v>
                </c:pt>
                <c:pt idx="207">
                  <c:v>45475</c:v>
                </c:pt>
                <c:pt idx="208">
                  <c:v>45474</c:v>
                </c:pt>
                <c:pt idx="209">
                  <c:v>45471</c:v>
                </c:pt>
                <c:pt idx="210">
                  <c:v>45470</c:v>
                </c:pt>
                <c:pt idx="211">
                  <c:v>45469</c:v>
                </c:pt>
                <c:pt idx="212">
                  <c:v>45468</c:v>
                </c:pt>
                <c:pt idx="213">
                  <c:v>45467</c:v>
                </c:pt>
                <c:pt idx="214">
                  <c:v>45464</c:v>
                </c:pt>
                <c:pt idx="215">
                  <c:v>45463</c:v>
                </c:pt>
                <c:pt idx="216">
                  <c:v>45461</c:v>
                </c:pt>
                <c:pt idx="217">
                  <c:v>45460</c:v>
                </c:pt>
                <c:pt idx="218">
                  <c:v>45457</c:v>
                </c:pt>
                <c:pt idx="219">
                  <c:v>45456</c:v>
                </c:pt>
                <c:pt idx="220">
                  <c:v>45455</c:v>
                </c:pt>
                <c:pt idx="221">
                  <c:v>45454</c:v>
                </c:pt>
                <c:pt idx="222">
                  <c:v>45453</c:v>
                </c:pt>
                <c:pt idx="223">
                  <c:v>45450</c:v>
                </c:pt>
                <c:pt idx="224">
                  <c:v>45449</c:v>
                </c:pt>
                <c:pt idx="225">
                  <c:v>45448</c:v>
                </c:pt>
                <c:pt idx="226">
                  <c:v>45447</c:v>
                </c:pt>
                <c:pt idx="227">
                  <c:v>45446</c:v>
                </c:pt>
                <c:pt idx="228">
                  <c:v>45443</c:v>
                </c:pt>
                <c:pt idx="229">
                  <c:v>45442</c:v>
                </c:pt>
                <c:pt idx="230">
                  <c:v>45441</c:v>
                </c:pt>
                <c:pt idx="231">
                  <c:v>45440</c:v>
                </c:pt>
                <c:pt idx="232">
                  <c:v>45436</c:v>
                </c:pt>
                <c:pt idx="233">
                  <c:v>45435</c:v>
                </c:pt>
                <c:pt idx="234">
                  <c:v>45434</c:v>
                </c:pt>
                <c:pt idx="235">
                  <c:v>45433</c:v>
                </c:pt>
                <c:pt idx="236">
                  <c:v>45432</c:v>
                </c:pt>
                <c:pt idx="237">
                  <c:v>45429</c:v>
                </c:pt>
                <c:pt idx="238">
                  <c:v>45428</c:v>
                </c:pt>
                <c:pt idx="239">
                  <c:v>45427</c:v>
                </c:pt>
                <c:pt idx="240">
                  <c:v>45426</c:v>
                </c:pt>
                <c:pt idx="241">
                  <c:v>45425</c:v>
                </c:pt>
                <c:pt idx="242">
                  <c:v>45422</c:v>
                </c:pt>
                <c:pt idx="243">
                  <c:v>45421</c:v>
                </c:pt>
                <c:pt idx="244">
                  <c:v>45420</c:v>
                </c:pt>
                <c:pt idx="245">
                  <c:v>45419</c:v>
                </c:pt>
                <c:pt idx="246">
                  <c:v>45418</c:v>
                </c:pt>
                <c:pt idx="247">
                  <c:v>45415</c:v>
                </c:pt>
                <c:pt idx="248">
                  <c:v>45414</c:v>
                </c:pt>
                <c:pt idx="249">
                  <c:v>45413</c:v>
                </c:pt>
                <c:pt idx="250">
                  <c:v>45412</c:v>
                </c:pt>
              </c:numCache>
            </c:numRef>
          </c:cat>
          <c:val>
            <c:numRef>
              <c:f>Graphs!$S$108:$S$358</c:f>
              <c:numCache>
                <c:formatCode>General</c:formatCode>
                <c:ptCount val="251"/>
                <c:pt idx="0">
                  <c:v>24.29</c:v>
                </c:pt>
                <c:pt idx="1">
                  <c:v>24.58</c:v>
                </c:pt>
                <c:pt idx="2">
                  <c:v>24.85</c:v>
                </c:pt>
                <c:pt idx="3">
                  <c:v>24.41</c:v>
                </c:pt>
                <c:pt idx="4">
                  <c:v>26.01</c:v>
                </c:pt>
                <c:pt idx="5">
                  <c:v>22.89</c:v>
                </c:pt>
                <c:pt idx="6">
                  <c:v>22.85</c:v>
                </c:pt>
                <c:pt idx="7">
                  <c:v>23.19</c:v>
                </c:pt>
                <c:pt idx="8">
                  <c:v>26.35</c:v>
                </c:pt>
                <c:pt idx="9">
                  <c:v>27.58</c:v>
                </c:pt>
                <c:pt idx="10">
                  <c:v>25.07</c:v>
                </c:pt>
                <c:pt idx="11">
                  <c:v>27.59</c:v>
                </c:pt>
                <c:pt idx="12">
                  <c:v>22.68</c:v>
                </c:pt>
                <c:pt idx="13">
                  <c:v>23.54</c:v>
                </c:pt>
                <c:pt idx="14">
                  <c:v>23.81</c:v>
                </c:pt>
                <c:pt idx="15">
                  <c:v>21.94</c:v>
                </c:pt>
                <c:pt idx="16">
                  <c:v>23.99</c:v>
                </c:pt>
                <c:pt idx="17">
                  <c:v>23.06</c:v>
                </c:pt>
                <c:pt idx="18">
                  <c:v>24.82</c:v>
                </c:pt>
                <c:pt idx="19">
                  <c:v>25.16</c:v>
                </c:pt>
                <c:pt idx="20">
                  <c:v>25.17</c:v>
                </c:pt>
                <c:pt idx="21">
                  <c:v>24.41</c:v>
                </c:pt>
                <c:pt idx="22">
                  <c:v>25.97</c:v>
                </c:pt>
                <c:pt idx="23">
                  <c:v>26.17</c:v>
                </c:pt>
                <c:pt idx="24">
                  <c:v>26.06</c:v>
                </c:pt>
                <c:pt idx="25">
                  <c:v>26.93</c:v>
                </c:pt>
                <c:pt idx="26">
                  <c:v>26.46</c:v>
                </c:pt>
                <c:pt idx="27">
                  <c:v>25.9</c:v>
                </c:pt>
                <c:pt idx="28">
                  <c:v>26.25</c:v>
                </c:pt>
                <c:pt idx="29">
                  <c:v>26.81</c:v>
                </c:pt>
                <c:pt idx="30">
                  <c:v>26.83</c:v>
                </c:pt>
                <c:pt idx="31">
                  <c:v>26.69</c:v>
                </c:pt>
                <c:pt idx="32">
                  <c:v>26.83</c:v>
                </c:pt>
                <c:pt idx="33">
                  <c:v>24.38</c:v>
                </c:pt>
                <c:pt idx="34">
                  <c:v>24.34</c:v>
                </c:pt>
                <c:pt idx="35">
                  <c:v>24.01</c:v>
                </c:pt>
                <c:pt idx="36">
                  <c:v>24.42</c:v>
                </c:pt>
                <c:pt idx="37">
                  <c:v>24.98</c:v>
                </c:pt>
                <c:pt idx="38">
                  <c:v>24.4</c:v>
                </c:pt>
                <c:pt idx="39">
                  <c:v>25.66</c:v>
                </c:pt>
                <c:pt idx="40">
                  <c:v>22.45</c:v>
                </c:pt>
                <c:pt idx="41">
                  <c:v>22.53</c:v>
                </c:pt>
                <c:pt idx="42">
                  <c:v>24.01</c:v>
                </c:pt>
                <c:pt idx="43">
                  <c:v>23.46</c:v>
                </c:pt>
                <c:pt idx="44">
                  <c:v>23.77</c:v>
                </c:pt>
                <c:pt idx="45">
                  <c:v>23.56</c:v>
                </c:pt>
                <c:pt idx="46">
                  <c:v>24.27</c:v>
                </c:pt>
                <c:pt idx="47">
                  <c:v>24.3</c:v>
                </c:pt>
                <c:pt idx="48">
                  <c:v>23.18</c:v>
                </c:pt>
                <c:pt idx="49">
                  <c:v>22.99</c:v>
                </c:pt>
                <c:pt idx="50">
                  <c:v>23.45</c:v>
                </c:pt>
                <c:pt idx="51">
                  <c:v>23.72</c:v>
                </c:pt>
                <c:pt idx="52">
                  <c:v>24.38</c:v>
                </c:pt>
                <c:pt idx="53">
                  <c:v>24.15</c:v>
                </c:pt>
                <c:pt idx="54">
                  <c:v>24.69</c:v>
                </c:pt>
                <c:pt idx="55">
                  <c:v>25.52</c:v>
                </c:pt>
                <c:pt idx="56">
                  <c:v>23.94</c:v>
                </c:pt>
                <c:pt idx="57">
                  <c:v>24.11</c:v>
                </c:pt>
                <c:pt idx="58">
                  <c:v>23.56</c:v>
                </c:pt>
                <c:pt idx="59">
                  <c:v>24.47</c:v>
                </c:pt>
                <c:pt idx="60">
                  <c:v>22.23</c:v>
                </c:pt>
                <c:pt idx="61">
                  <c:v>21.96</c:v>
                </c:pt>
                <c:pt idx="62">
                  <c:v>21.74</c:v>
                </c:pt>
                <c:pt idx="63">
                  <c:v>20.68</c:v>
                </c:pt>
                <c:pt idx="64">
                  <c:v>20.82</c:v>
                </c:pt>
                <c:pt idx="65">
                  <c:v>21.52</c:v>
                </c:pt>
                <c:pt idx="66">
                  <c:v>21.57</c:v>
                </c:pt>
                <c:pt idx="67">
                  <c:v>21.41</c:v>
                </c:pt>
                <c:pt idx="68">
                  <c:v>21.08</c:v>
                </c:pt>
                <c:pt idx="69">
                  <c:v>20.87</c:v>
                </c:pt>
                <c:pt idx="70">
                  <c:v>20.94</c:v>
                </c:pt>
                <c:pt idx="71">
                  <c:v>21.17</c:v>
                </c:pt>
                <c:pt idx="72">
                  <c:v>20.61</c:v>
                </c:pt>
                <c:pt idx="73">
                  <c:v>19.39</c:v>
                </c:pt>
                <c:pt idx="74">
                  <c:v>19.53</c:v>
                </c:pt>
                <c:pt idx="75">
                  <c:v>19.75</c:v>
                </c:pt>
                <c:pt idx="76">
                  <c:v>19.38</c:v>
                </c:pt>
                <c:pt idx="77">
                  <c:v>20.58</c:v>
                </c:pt>
                <c:pt idx="78">
                  <c:v>20.46</c:v>
                </c:pt>
                <c:pt idx="79">
                  <c:v>18.2</c:v>
                </c:pt>
                <c:pt idx="80">
                  <c:v>16.39</c:v>
                </c:pt>
                <c:pt idx="81">
                  <c:v>15.6</c:v>
                </c:pt>
                <c:pt idx="82">
                  <c:v>15.98</c:v>
                </c:pt>
                <c:pt idx="83">
                  <c:v>16.46</c:v>
                </c:pt>
                <c:pt idx="84">
                  <c:v>16.84</c:v>
                </c:pt>
                <c:pt idx="85">
                  <c:v>16.54</c:v>
                </c:pt>
                <c:pt idx="86">
                  <c:v>16.29</c:v>
                </c:pt>
                <c:pt idx="87">
                  <c:v>15.84</c:v>
                </c:pt>
                <c:pt idx="88">
                  <c:v>16.18</c:v>
                </c:pt>
                <c:pt idx="89">
                  <c:v>16.73</c:v>
                </c:pt>
                <c:pt idx="90">
                  <c:v>18.37</c:v>
                </c:pt>
                <c:pt idx="91">
                  <c:v>18.79</c:v>
                </c:pt>
                <c:pt idx="92">
                  <c:v>19.37</c:v>
                </c:pt>
                <c:pt idx="93">
                  <c:v>19.600000000000001</c:v>
                </c:pt>
                <c:pt idx="94">
                  <c:v>19.45</c:v>
                </c:pt>
                <c:pt idx="95">
                  <c:v>19.54</c:v>
                </c:pt>
                <c:pt idx="96">
                  <c:v>20.52</c:v>
                </c:pt>
                <c:pt idx="97">
                  <c:v>19.72</c:v>
                </c:pt>
                <c:pt idx="98">
                  <c:v>20.010000000000002</c:v>
                </c:pt>
                <c:pt idx="99">
                  <c:v>21.13</c:v>
                </c:pt>
                <c:pt idx="100">
                  <c:v>23.11</c:v>
                </c:pt>
                <c:pt idx="101">
                  <c:v>20.81</c:v>
                </c:pt>
                <c:pt idx="102">
                  <c:v>21.07</c:v>
                </c:pt>
                <c:pt idx="103">
                  <c:v>20.84</c:v>
                </c:pt>
                <c:pt idx="104">
                  <c:v>20.25</c:v>
                </c:pt>
                <c:pt idx="105">
                  <c:v>20.84</c:v>
                </c:pt>
                <c:pt idx="106">
                  <c:v>19.64</c:v>
                </c:pt>
                <c:pt idx="107">
                  <c:v>18.73</c:v>
                </c:pt>
                <c:pt idx="108">
                  <c:v>18.23</c:v>
                </c:pt>
                <c:pt idx="109">
                  <c:v>18.02</c:v>
                </c:pt>
                <c:pt idx="110">
                  <c:v>18.350000000000001</c:v>
                </c:pt>
                <c:pt idx="111">
                  <c:v>18.28</c:v>
                </c:pt>
                <c:pt idx="112">
                  <c:v>18.57</c:v>
                </c:pt>
                <c:pt idx="113">
                  <c:v>19.12</c:v>
                </c:pt>
                <c:pt idx="114">
                  <c:v>19.850000000000001</c:v>
                </c:pt>
                <c:pt idx="115">
                  <c:v>20.41</c:v>
                </c:pt>
                <c:pt idx="116">
                  <c:v>19.5</c:v>
                </c:pt>
                <c:pt idx="117">
                  <c:v>19.98</c:v>
                </c:pt>
                <c:pt idx="118">
                  <c:v>19.68</c:v>
                </c:pt>
                <c:pt idx="119">
                  <c:v>18.61</c:v>
                </c:pt>
                <c:pt idx="120">
                  <c:v>18.25</c:v>
                </c:pt>
                <c:pt idx="121">
                  <c:v>18.23</c:v>
                </c:pt>
                <c:pt idx="122">
                  <c:v>17.989999999999998</c:v>
                </c:pt>
                <c:pt idx="123">
                  <c:v>18.739999999999998</c:v>
                </c:pt>
                <c:pt idx="124">
                  <c:v>18.989999999999998</c:v>
                </c:pt>
                <c:pt idx="125">
                  <c:v>18.88</c:v>
                </c:pt>
                <c:pt idx="126">
                  <c:v>18.64</c:v>
                </c:pt>
                <c:pt idx="127">
                  <c:v>18.55</c:v>
                </c:pt>
                <c:pt idx="128">
                  <c:v>17.87</c:v>
                </c:pt>
                <c:pt idx="129">
                  <c:v>18.3</c:v>
                </c:pt>
                <c:pt idx="130">
                  <c:v>18.079999999999998</c:v>
                </c:pt>
                <c:pt idx="131">
                  <c:v>18.579999999999998</c:v>
                </c:pt>
                <c:pt idx="132">
                  <c:v>18.29</c:v>
                </c:pt>
                <c:pt idx="133">
                  <c:v>19</c:v>
                </c:pt>
                <c:pt idx="134">
                  <c:v>17.7</c:v>
                </c:pt>
                <c:pt idx="135">
                  <c:v>17.760000000000002</c:v>
                </c:pt>
                <c:pt idx="136">
                  <c:v>17.809999999999999</c:v>
                </c:pt>
                <c:pt idx="137">
                  <c:v>17.37</c:v>
                </c:pt>
                <c:pt idx="138">
                  <c:v>17.149999999999999</c:v>
                </c:pt>
                <c:pt idx="139">
                  <c:v>17</c:v>
                </c:pt>
                <c:pt idx="140">
                  <c:v>17.84</c:v>
                </c:pt>
                <c:pt idx="141">
                  <c:v>17.38</c:v>
                </c:pt>
                <c:pt idx="142">
                  <c:v>16.96</c:v>
                </c:pt>
                <c:pt idx="143">
                  <c:v>16.96</c:v>
                </c:pt>
                <c:pt idx="144">
                  <c:v>17.54</c:v>
                </c:pt>
                <c:pt idx="145">
                  <c:v>17.649999999999999</c:v>
                </c:pt>
                <c:pt idx="146">
                  <c:v>18.39</c:v>
                </c:pt>
                <c:pt idx="147">
                  <c:v>16.899999999999999</c:v>
                </c:pt>
                <c:pt idx="148">
                  <c:v>16.16</c:v>
                </c:pt>
                <c:pt idx="149">
                  <c:v>16</c:v>
                </c:pt>
                <c:pt idx="150">
                  <c:v>14.23</c:v>
                </c:pt>
                <c:pt idx="151">
                  <c:v>13.89</c:v>
                </c:pt>
                <c:pt idx="152">
                  <c:v>14.2</c:v>
                </c:pt>
                <c:pt idx="153">
                  <c:v>14.12</c:v>
                </c:pt>
                <c:pt idx="154">
                  <c:v>14.21</c:v>
                </c:pt>
                <c:pt idx="155">
                  <c:v>14.01</c:v>
                </c:pt>
                <c:pt idx="156">
                  <c:v>13.8</c:v>
                </c:pt>
                <c:pt idx="157">
                  <c:v>13.79</c:v>
                </c:pt>
                <c:pt idx="158">
                  <c:v>13.84</c:v>
                </c:pt>
                <c:pt idx="159">
                  <c:v>13.86</c:v>
                </c:pt>
                <c:pt idx="160">
                  <c:v>13.59</c:v>
                </c:pt>
                <c:pt idx="161">
                  <c:v>13.91</c:v>
                </c:pt>
                <c:pt idx="162">
                  <c:v>13.69</c:v>
                </c:pt>
                <c:pt idx="163">
                  <c:v>13.97</c:v>
                </c:pt>
                <c:pt idx="164">
                  <c:v>12.96</c:v>
                </c:pt>
                <c:pt idx="165">
                  <c:v>12.9</c:v>
                </c:pt>
                <c:pt idx="166">
                  <c:v>12.9</c:v>
                </c:pt>
                <c:pt idx="167">
                  <c:v>12.5</c:v>
                </c:pt>
                <c:pt idx="168">
                  <c:v>12.8</c:v>
                </c:pt>
                <c:pt idx="169">
                  <c:v>12.9</c:v>
                </c:pt>
                <c:pt idx="170">
                  <c:v>12.95</c:v>
                </c:pt>
                <c:pt idx="171">
                  <c:v>12.48</c:v>
                </c:pt>
                <c:pt idx="172">
                  <c:v>13.18</c:v>
                </c:pt>
                <c:pt idx="173">
                  <c:v>12.31</c:v>
                </c:pt>
                <c:pt idx="174">
                  <c:v>12.47</c:v>
                </c:pt>
                <c:pt idx="175">
                  <c:v>11.89</c:v>
                </c:pt>
                <c:pt idx="176">
                  <c:v>12.35</c:v>
                </c:pt>
                <c:pt idx="177">
                  <c:v>11.6</c:v>
                </c:pt>
                <c:pt idx="178">
                  <c:v>11.44</c:v>
                </c:pt>
                <c:pt idx="179">
                  <c:v>11.14</c:v>
                </c:pt>
                <c:pt idx="180">
                  <c:v>11.14</c:v>
                </c:pt>
                <c:pt idx="181">
                  <c:v>10.97</c:v>
                </c:pt>
                <c:pt idx="182">
                  <c:v>10.49</c:v>
                </c:pt>
                <c:pt idx="183">
                  <c:v>10.98</c:v>
                </c:pt>
                <c:pt idx="184">
                  <c:v>10.52</c:v>
                </c:pt>
                <c:pt idx="185">
                  <c:v>11.17</c:v>
                </c:pt>
                <c:pt idx="186">
                  <c:v>12.68</c:v>
                </c:pt>
                <c:pt idx="187">
                  <c:v>13.52</c:v>
                </c:pt>
                <c:pt idx="188">
                  <c:v>13.18</c:v>
                </c:pt>
                <c:pt idx="189">
                  <c:v>13.43</c:v>
                </c:pt>
                <c:pt idx="190">
                  <c:v>13.9</c:v>
                </c:pt>
                <c:pt idx="191">
                  <c:v>13.8</c:v>
                </c:pt>
                <c:pt idx="192">
                  <c:v>13.73</c:v>
                </c:pt>
                <c:pt idx="193">
                  <c:v>14.1</c:v>
                </c:pt>
                <c:pt idx="194">
                  <c:v>14.24</c:v>
                </c:pt>
                <c:pt idx="195">
                  <c:v>14.29</c:v>
                </c:pt>
                <c:pt idx="196">
                  <c:v>14.47</c:v>
                </c:pt>
                <c:pt idx="197">
                  <c:v>15.11</c:v>
                </c:pt>
                <c:pt idx="198">
                  <c:v>15.28</c:v>
                </c:pt>
                <c:pt idx="199">
                  <c:v>15.3</c:v>
                </c:pt>
                <c:pt idx="200">
                  <c:v>15.62</c:v>
                </c:pt>
                <c:pt idx="201">
                  <c:v>14.88</c:v>
                </c:pt>
                <c:pt idx="202">
                  <c:v>14.33</c:v>
                </c:pt>
                <c:pt idx="203">
                  <c:v>14.24</c:v>
                </c:pt>
                <c:pt idx="204">
                  <c:v>14.22</c:v>
                </c:pt>
                <c:pt idx="205">
                  <c:v>14.07</c:v>
                </c:pt>
                <c:pt idx="206">
                  <c:v>14.16</c:v>
                </c:pt>
                <c:pt idx="207">
                  <c:v>13.74</c:v>
                </c:pt>
                <c:pt idx="208">
                  <c:v>12.8</c:v>
                </c:pt>
                <c:pt idx="209">
                  <c:v>12.73</c:v>
                </c:pt>
                <c:pt idx="210">
                  <c:v>12.85</c:v>
                </c:pt>
                <c:pt idx="211">
                  <c:v>12.59</c:v>
                </c:pt>
                <c:pt idx="212">
                  <c:v>12.28</c:v>
                </c:pt>
                <c:pt idx="213">
                  <c:v>13.39</c:v>
                </c:pt>
                <c:pt idx="214">
                  <c:v>13.68</c:v>
                </c:pt>
                <c:pt idx="215">
                  <c:v>13.67</c:v>
                </c:pt>
                <c:pt idx="216">
                  <c:v>13.4</c:v>
                </c:pt>
                <c:pt idx="217">
                  <c:v>13.33</c:v>
                </c:pt>
                <c:pt idx="218">
                  <c:v>13.64</c:v>
                </c:pt>
                <c:pt idx="219">
                  <c:v>14.07</c:v>
                </c:pt>
                <c:pt idx="220">
                  <c:v>14.64</c:v>
                </c:pt>
                <c:pt idx="221">
                  <c:v>14.49</c:v>
                </c:pt>
                <c:pt idx="222">
                  <c:v>14.99</c:v>
                </c:pt>
                <c:pt idx="223">
                  <c:v>14.84</c:v>
                </c:pt>
                <c:pt idx="224">
                  <c:v>15.25</c:v>
                </c:pt>
                <c:pt idx="225">
                  <c:v>15.43</c:v>
                </c:pt>
                <c:pt idx="226">
                  <c:v>15.41</c:v>
                </c:pt>
                <c:pt idx="227">
                  <c:v>16.13</c:v>
                </c:pt>
                <c:pt idx="228">
                  <c:v>16.22</c:v>
                </c:pt>
                <c:pt idx="229">
                  <c:v>15.97</c:v>
                </c:pt>
                <c:pt idx="230">
                  <c:v>15.77</c:v>
                </c:pt>
                <c:pt idx="231">
                  <c:v>16.7</c:v>
                </c:pt>
                <c:pt idx="232">
                  <c:v>17.14</c:v>
                </c:pt>
                <c:pt idx="233">
                  <c:v>16.88</c:v>
                </c:pt>
                <c:pt idx="234">
                  <c:v>17.54</c:v>
                </c:pt>
                <c:pt idx="235">
                  <c:v>17.670000000000002</c:v>
                </c:pt>
                <c:pt idx="236">
                  <c:v>18.02</c:v>
                </c:pt>
                <c:pt idx="237">
                  <c:v>18.25</c:v>
                </c:pt>
                <c:pt idx="238">
                  <c:v>18.079999999999998</c:v>
                </c:pt>
                <c:pt idx="239">
                  <c:v>17.93</c:v>
                </c:pt>
                <c:pt idx="240">
                  <c:v>18.420000000000002</c:v>
                </c:pt>
                <c:pt idx="241">
                  <c:v>16.350000000000001</c:v>
                </c:pt>
                <c:pt idx="242">
                  <c:v>16.13</c:v>
                </c:pt>
                <c:pt idx="243">
                  <c:v>16.32</c:v>
                </c:pt>
                <c:pt idx="244">
                  <c:v>15.64</c:v>
                </c:pt>
                <c:pt idx="245">
                  <c:v>16.2</c:v>
                </c:pt>
                <c:pt idx="246">
                  <c:v>16.100000000000001</c:v>
                </c:pt>
                <c:pt idx="247">
                  <c:v>15.41</c:v>
                </c:pt>
                <c:pt idx="248">
                  <c:v>15.96</c:v>
                </c:pt>
                <c:pt idx="249">
                  <c:v>15.91</c:v>
                </c:pt>
                <c:pt idx="250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89-4726-8FA0-B41C54CC5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7812224"/>
        <c:axId val="1807810784"/>
      </c:lineChart>
      <c:dateAx>
        <c:axId val="1783475664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3453584"/>
        <c:crosses val="autoZero"/>
        <c:auto val="1"/>
        <c:lblOffset val="100"/>
        <c:baseTimeUnit val="days"/>
      </c:dateAx>
      <c:valAx>
        <c:axId val="1783453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\-mm\-dd" sourceLinked="0"/>
        <c:majorTickMark val="none"/>
        <c:minorTickMark val="none"/>
        <c:tickLblPos val="nextTo"/>
        <c:spPr>
          <a:noFill/>
          <a:ln>
            <a:solidFill>
              <a:schemeClr val="tx1">
                <a:alpha val="83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3475664"/>
        <c:crosses val="autoZero"/>
        <c:crossBetween val="between"/>
      </c:valAx>
      <c:valAx>
        <c:axId val="180781078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7812224"/>
        <c:crosses val="max"/>
        <c:crossBetween val="between"/>
      </c:valAx>
      <c:dateAx>
        <c:axId val="1807812224"/>
        <c:scaling>
          <c:orientation val="minMax"/>
        </c:scaling>
        <c:delete val="1"/>
        <c:axPos val="b"/>
        <c:numFmt formatCode="d\-mmm\-yy" sourceLinked="1"/>
        <c:majorTickMark val="out"/>
        <c:minorTickMark val="none"/>
        <c:tickLblPos val="nextTo"/>
        <c:crossAx val="180781078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2</xdr:row>
      <xdr:rowOff>12700</xdr:rowOff>
    </xdr:from>
    <xdr:to>
      <xdr:col>2</xdr:col>
      <xdr:colOff>1377950</xdr:colOff>
      <xdr:row>9</xdr:row>
      <xdr:rowOff>6350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23DB143-6E2C-C3D5-0285-61984811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450850"/>
          <a:ext cx="1416050" cy="141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108119</xdr:colOff>
      <xdr:row>2</xdr:row>
      <xdr:rowOff>121507</xdr:rowOff>
    </xdr:from>
    <xdr:to>
      <xdr:col>14</xdr:col>
      <xdr:colOff>463378</xdr:colOff>
      <xdr:row>29</xdr:row>
      <xdr:rowOff>128717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ED7525-3574-45C2-B690-2FD6DF56AC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116702</xdr:colOff>
      <xdr:row>30</xdr:row>
      <xdr:rowOff>112927</xdr:rowOff>
    </xdr:from>
    <xdr:to>
      <xdr:col>14</xdr:col>
      <xdr:colOff>497702</xdr:colOff>
      <xdr:row>49</xdr:row>
      <xdr:rowOff>25744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411C4D-69CD-40D9-9E41-6D267D261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374135</xdr:colOff>
      <xdr:row>70</xdr:row>
      <xdr:rowOff>44277</xdr:rowOff>
    </xdr:from>
    <xdr:to>
      <xdr:col>8</xdr:col>
      <xdr:colOff>72081</xdr:colOff>
      <xdr:row>86</xdr:row>
      <xdr:rowOff>58693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F8E41FC-3AC4-4A79-9320-6ABFF01510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219678</xdr:colOff>
      <xdr:row>70</xdr:row>
      <xdr:rowOff>52861</xdr:rowOff>
    </xdr:from>
    <xdr:to>
      <xdr:col>15</xdr:col>
      <xdr:colOff>523448</xdr:colOff>
      <xdr:row>86</xdr:row>
      <xdr:rowOff>68649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7F40493-D095-4E63-ABB7-5AC83E73E6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392480</xdr:colOff>
      <xdr:row>103</xdr:row>
      <xdr:rowOff>1078</xdr:rowOff>
    </xdr:from>
    <xdr:to>
      <xdr:col>8</xdr:col>
      <xdr:colOff>86579</xdr:colOff>
      <xdr:row>118</xdr:row>
      <xdr:rowOff>41237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8B8CC99-F39E-40D4-983B-F0972352BC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108121</xdr:colOff>
      <xdr:row>49</xdr:row>
      <xdr:rowOff>78603</xdr:rowOff>
    </xdr:from>
    <xdr:to>
      <xdr:col>14</xdr:col>
      <xdr:colOff>497702</xdr:colOff>
      <xdr:row>69</xdr:row>
      <xdr:rowOff>154458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8418908-55FE-4415-9C8B-8F180DFDAB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374136</xdr:colOff>
      <xdr:row>86</xdr:row>
      <xdr:rowOff>172994</xdr:rowOff>
    </xdr:from>
    <xdr:to>
      <xdr:col>8</xdr:col>
      <xdr:colOff>72082</xdr:colOff>
      <xdr:row>102</xdr:row>
      <xdr:rowOff>32951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D329F84-28A6-441E-8842-2BFB8101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236837</xdr:colOff>
      <xdr:row>87</xdr:row>
      <xdr:rowOff>1373</xdr:rowOff>
    </xdr:from>
    <xdr:to>
      <xdr:col>15</xdr:col>
      <xdr:colOff>544040</xdr:colOff>
      <xdr:row>102</xdr:row>
      <xdr:rowOff>41533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97928A0-7B0B-4330-A7A5-A1AA40E8A9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393700</xdr:colOff>
      <xdr:row>118</xdr:row>
      <xdr:rowOff>177800</xdr:rowOff>
    </xdr:from>
    <xdr:to>
      <xdr:col>15</xdr:col>
      <xdr:colOff>533400</xdr:colOff>
      <xdr:row>143</xdr:row>
      <xdr:rowOff>101600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9BA06AB-373E-409D-AA58-EFCFA025EB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241300</xdr:colOff>
      <xdr:row>102</xdr:row>
      <xdr:rowOff>184150</xdr:rowOff>
    </xdr:from>
    <xdr:to>
      <xdr:col>15</xdr:col>
      <xdr:colOff>546100</xdr:colOff>
      <xdr:row>118</xdr:row>
      <xdr:rowOff>25400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A6E3885-ECCA-196D-49DC-6D6DCB2F26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621196</xdr:colOff>
      <xdr:row>30</xdr:row>
      <xdr:rowOff>96631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B170EAD-D5BD-60C8-1906-68204C8257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6</xdr:col>
      <xdr:colOff>114300</xdr:colOff>
      <xdr:row>31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3C4874-3BA7-4DE0-8FD1-F7A33593C8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dk.com/en/index.html" TargetMode="External"/><Relationship Id="rId3" Type="http://schemas.openxmlformats.org/officeDocument/2006/relationships/hyperlink" Target="https://lynasrareearths.com/" TargetMode="External"/><Relationship Id="rId7" Type="http://schemas.openxmlformats.org/officeDocument/2006/relationships/hyperlink" Target="https://www.ametek.com/" TargetMode="External"/><Relationship Id="rId2" Type="http://schemas.openxmlformats.org/officeDocument/2006/relationships/hyperlink" Target="https://mpmaterials.com/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https://www.materion.com/" TargetMode="External"/><Relationship Id="rId5" Type="http://schemas.openxmlformats.org/officeDocument/2006/relationships/hyperlink" Target="https://alkane.com.au/" TargetMode="External"/><Relationship Id="rId10" Type="http://schemas.openxmlformats.org/officeDocument/2006/relationships/comments" Target="../comments4.xml"/><Relationship Id="rId4" Type="http://schemas.openxmlformats.org/officeDocument/2006/relationships/hyperlink" Target="https://www.reht.com/index" TargetMode="External"/><Relationship Id="rId9" Type="http://schemas.openxmlformats.org/officeDocument/2006/relationships/vmlDrawing" Target="../drawings/vmlDrawing4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BE7F0-3312-4567-A2CC-066C7E29096E}">
  <dimension ref="B2:H95"/>
  <sheetViews>
    <sheetView showGridLines="0" zoomScale="53" workbookViewId="0">
      <selection activeCell="K10" sqref="K10"/>
    </sheetView>
  </sheetViews>
  <sheetFormatPr defaultColWidth="9.1796875" defaultRowHeight="16"/>
  <cols>
    <col min="1" max="1" width="2.7265625" style="459" customWidth="1"/>
    <col min="2" max="2" width="6.26953125" style="459" bestFit="1" customWidth="1"/>
    <col min="3" max="3" width="53.7265625" style="459" bestFit="1" customWidth="1"/>
    <col min="4" max="7" width="12.7265625" style="459" customWidth="1"/>
    <col min="8" max="8" width="2.7265625" style="459" customWidth="1"/>
    <col min="9" max="16384" width="9.1796875" style="459"/>
  </cols>
  <sheetData>
    <row r="2" spans="2:8" ht="18.5">
      <c r="B2" s="117" t="str">
        <f>Company_Name&amp;" - Operating Model and Valuation - Cover Page and Navigation"</f>
        <v>MP Materials Corp. - Operating Model and Valuation - Cover Page and Navigation</v>
      </c>
      <c r="H2" s="1"/>
    </row>
    <row r="3" spans="2:8">
      <c r="H3" s="519"/>
    </row>
    <row r="6" spans="2:8">
      <c r="C6"/>
      <c r="E6"/>
    </row>
    <row r="7" spans="2:8">
      <c r="C7" s="284"/>
    </row>
    <row r="10" spans="2:8">
      <c r="C10" s="459" t="s">
        <v>70</v>
      </c>
      <c r="D10" s="520" t="str">
        <f>Company_Name</f>
        <v>MP Materials Corp.</v>
      </c>
    </row>
    <row r="11" spans="2:8">
      <c r="C11" s="459" t="s">
        <v>429</v>
      </c>
      <c r="D11" s="459" t="s">
        <v>456</v>
      </c>
    </row>
    <row r="12" spans="2:8">
      <c r="C12" s="459" t="s">
        <v>430</v>
      </c>
      <c r="D12" s="459" t="s">
        <v>431</v>
      </c>
    </row>
    <row r="13" spans="2:8">
      <c r="H13" s="1"/>
    </row>
    <row r="14" spans="2:8">
      <c r="C14" s="459" t="s">
        <v>432</v>
      </c>
      <c r="D14" s="459" t="str">
        <f ca="1">MID(CELL("filename"),SEARCH("[",CELL("filename"))+1, SEARCH("]",CELL("filename"))-SEARCH("[",CELL("filename"))-1)</f>
        <v>MPMODEL.xlsx</v>
      </c>
      <c r="H14" s="519"/>
    </row>
    <row r="15" spans="2:8">
      <c r="C15" s="459" t="s">
        <v>433</v>
      </c>
      <c r="D15" s="521">
        <v>45776</v>
      </c>
    </row>
    <row r="17" spans="2:6">
      <c r="C17" s="459" t="s">
        <v>434</v>
      </c>
      <c r="D17" s="522"/>
    </row>
    <row r="18" spans="2:6">
      <c r="C18" s="459" t="s">
        <v>435</v>
      </c>
      <c r="D18" s="523"/>
    </row>
    <row r="19" spans="2:6">
      <c r="C19" s="459" t="s">
        <v>436</v>
      </c>
      <c r="D19" s="524"/>
    </row>
    <row r="21" spans="2:6">
      <c r="B21" s="525" t="s">
        <v>87</v>
      </c>
      <c r="C21" s="526" t="s">
        <v>437</v>
      </c>
      <c r="D21" s="526" t="s">
        <v>438</v>
      </c>
      <c r="E21" s="526"/>
      <c r="F21" s="526"/>
    </row>
    <row r="22" spans="2:6">
      <c r="B22" s="458">
        <f ca="1">_xlfn.SHEET(INDIRECT(D22&amp;"!A1"))</f>
        <v>1</v>
      </c>
      <c r="C22" s="459" t="s">
        <v>460</v>
      </c>
      <c r="D22" s="285" t="s">
        <v>460</v>
      </c>
      <c r="E22" s="457"/>
      <c r="F22" s="457"/>
    </row>
    <row r="23" spans="2:6">
      <c r="B23" s="458">
        <f ca="1">_xlfn.SHEET(INDIRECT(D23&amp;"!A1"))</f>
        <v>2</v>
      </c>
      <c r="C23" s="459" t="s">
        <v>439</v>
      </c>
      <c r="D23" s="285" t="s">
        <v>440</v>
      </c>
    </row>
    <row r="24" spans="2:6">
      <c r="B24" s="458">
        <f t="shared" ref="B24:B32" ca="1" si="0">_xlfn.SHEET(INDIRECT(D24&amp;"!A1"))</f>
        <v>3</v>
      </c>
      <c r="C24" s="459" t="s">
        <v>441</v>
      </c>
      <c r="D24" s="285" t="s">
        <v>442</v>
      </c>
    </row>
    <row r="25" spans="2:6">
      <c r="B25" s="458">
        <f ca="1">_xlfn.SHEET(INDIRECT(D25&amp;"!A1"))</f>
        <v>4</v>
      </c>
      <c r="C25" s="459" t="s">
        <v>443</v>
      </c>
      <c r="D25" s="285" t="s">
        <v>444</v>
      </c>
    </row>
    <row r="26" spans="2:6">
      <c r="B26" s="458">
        <f ca="1">_xlfn.SHEET(INDIRECT(D26&amp;"!A1"))</f>
        <v>5</v>
      </c>
      <c r="C26" s="459" t="s">
        <v>458</v>
      </c>
      <c r="D26" s="285" t="s">
        <v>459</v>
      </c>
    </row>
    <row r="27" spans="2:6">
      <c r="B27" s="458">
        <f t="shared" ca="1" si="0"/>
        <v>6</v>
      </c>
      <c r="C27" s="459" t="s">
        <v>445</v>
      </c>
      <c r="D27" s="285" t="s">
        <v>446</v>
      </c>
    </row>
    <row r="28" spans="2:6">
      <c r="B28" s="458">
        <f t="shared" ca="1" si="0"/>
        <v>7</v>
      </c>
      <c r="C28" s="459" t="s">
        <v>447</v>
      </c>
      <c r="D28" s="285" t="s">
        <v>448</v>
      </c>
    </row>
    <row r="29" spans="2:6">
      <c r="B29" s="458">
        <f t="shared" ca="1" si="0"/>
        <v>8</v>
      </c>
      <c r="C29" s="459" t="s">
        <v>449</v>
      </c>
      <c r="D29" s="285" t="s">
        <v>450</v>
      </c>
    </row>
    <row r="30" spans="2:6">
      <c r="B30" s="458">
        <f t="shared" ca="1" si="0"/>
        <v>9</v>
      </c>
      <c r="C30" s="459" t="s">
        <v>451</v>
      </c>
      <c r="D30" s="285" t="s">
        <v>452</v>
      </c>
    </row>
    <row r="31" spans="2:6">
      <c r="B31" s="458">
        <f t="shared" ca="1" si="0"/>
        <v>10</v>
      </c>
      <c r="C31" s="459" t="s">
        <v>453</v>
      </c>
      <c r="D31" s="285" t="s">
        <v>454</v>
      </c>
    </row>
    <row r="32" spans="2:6">
      <c r="B32" s="458">
        <f t="shared" ca="1" si="0"/>
        <v>11</v>
      </c>
      <c r="C32" s="459" t="s">
        <v>455</v>
      </c>
      <c r="D32" s="285" t="s">
        <v>457</v>
      </c>
    </row>
    <row r="39" spans="8:8">
      <c r="H39" s="1"/>
    </row>
    <row r="40" spans="8:8">
      <c r="H40" s="519"/>
    </row>
    <row r="54" spans="8:8">
      <c r="H54" s="1"/>
    </row>
    <row r="55" spans="8:8">
      <c r="H55" s="519"/>
    </row>
    <row r="94" spans="8:8">
      <c r="H94" s="1"/>
    </row>
    <row r="95" spans="8:8">
      <c r="H95" s="519"/>
    </row>
  </sheetData>
  <hyperlinks>
    <hyperlink ref="D23" location="Summary!A1" display="Summary" xr:uid="{48211BF5-681F-4A99-922D-23BC8C86B141}"/>
    <hyperlink ref="D24" location="Graphs!A1" display="Graphs" xr:uid="{A34FE285-AB83-4BA3-B062-823AD8E81EB1}"/>
    <hyperlink ref="D25" location="Model!A1" display="Model" xr:uid="{0D464659-87D1-40A9-A8E9-909482FBFFC4}"/>
    <hyperlink ref="D27" location="DCF!A1" display="DCF" xr:uid="{688A0055-3EF8-4D79-A619-0DB12B89DF60}"/>
    <hyperlink ref="D28" location="WACC!A1" display="WACC" xr:uid="{C2197559-69D6-4C5D-AA45-138A2EFD875B}"/>
    <hyperlink ref="D29" location="ValSum!A1" display="ValSum" xr:uid="{7279E968-8F92-4DB6-BB78-00D19A0E2CC6}"/>
    <hyperlink ref="D30" location="ValGraph!A1" display="ValGraph" xr:uid="{08BCFB00-B81A-45C3-A499-1C6448F90127}"/>
    <hyperlink ref="D31" location="PubComps!A1" display="Pub_Comps" xr:uid="{79E295F4-8883-40EF-9A17-9BD60327AB4A}"/>
    <hyperlink ref="D32" location="PubComps_Data!A1" display="PubComps_Data" xr:uid="{45654260-75F7-4FC1-A3AA-C149F98EF57C}"/>
    <hyperlink ref="D26" location="Drivers!A1" display="Drivers" xr:uid="{58688574-1654-413D-BF69-D04884D1B8B4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91A00-5586-4246-8E84-01D34F3A98EF}">
  <dimension ref="A2:AG40"/>
  <sheetViews>
    <sheetView showGridLines="0" zoomScale="58" workbookViewId="0">
      <selection activeCell="B10" sqref="B10"/>
    </sheetView>
  </sheetViews>
  <sheetFormatPr defaultRowHeight="14.5"/>
  <cols>
    <col min="2" max="2" width="41.6328125" bestFit="1" customWidth="1"/>
    <col min="3" max="3" width="7.6328125" bestFit="1" customWidth="1"/>
    <col min="4" max="4" width="10.453125" bestFit="1" customWidth="1"/>
    <col min="5" max="5" width="8.453125" bestFit="1" customWidth="1"/>
    <col min="6" max="6" width="13.7265625" bestFit="1" customWidth="1"/>
    <col min="7" max="8" width="8.453125" bestFit="1" customWidth="1"/>
    <col min="9" max="10" width="10.7265625" bestFit="1" customWidth="1"/>
    <col min="11" max="11" width="10.26953125" bestFit="1" customWidth="1"/>
    <col min="12" max="12" width="9" bestFit="1" customWidth="1"/>
    <col min="13" max="13" width="13.7265625" bestFit="1" customWidth="1"/>
    <col min="14" max="16" width="12.453125" bestFit="1" customWidth="1"/>
    <col min="17" max="17" width="12" bestFit="1" customWidth="1"/>
    <col min="18" max="19" width="12.453125" bestFit="1" customWidth="1"/>
    <col min="20" max="20" width="12" bestFit="1" customWidth="1"/>
    <col min="21" max="22" width="12.453125" bestFit="1" customWidth="1"/>
    <col min="23" max="27" width="8.81640625" bestFit="1" customWidth="1"/>
    <col min="28" max="33" width="10.1796875" bestFit="1" customWidth="1"/>
  </cols>
  <sheetData>
    <row r="2" spans="2:31" ht="16">
      <c r="B2" s="292" t="s">
        <v>306</v>
      </c>
      <c r="C2" s="102"/>
      <c r="D2" s="102"/>
      <c r="E2" s="102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</row>
    <row r="3" spans="2:31" ht="16">
      <c r="B3" s="25" t="s">
        <v>307</v>
      </c>
      <c r="C3" s="25"/>
      <c r="D3" s="102"/>
      <c r="E3" s="102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</row>
    <row r="4" spans="2:31" ht="16">
      <c r="B4" s="25"/>
      <c r="C4" s="25"/>
      <c r="D4" s="102"/>
      <c r="E4" s="102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</row>
    <row r="5" spans="2:31" ht="16">
      <c r="B5" s="291" t="s">
        <v>70</v>
      </c>
      <c r="C5" s="293" t="s">
        <v>73</v>
      </c>
      <c r="D5" s="294" t="s">
        <v>264</v>
      </c>
      <c r="E5" s="255" t="s">
        <v>276</v>
      </c>
      <c r="F5" s="209" t="s">
        <v>278</v>
      </c>
      <c r="G5" s="209" t="s">
        <v>280</v>
      </c>
      <c r="H5" s="204" t="s">
        <v>81</v>
      </c>
      <c r="I5" s="222" t="s">
        <v>255</v>
      </c>
      <c r="J5" s="222" t="s">
        <v>258</v>
      </c>
      <c r="K5" s="222" t="s">
        <v>144</v>
      </c>
      <c r="L5" s="222" t="s">
        <v>147</v>
      </c>
      <c r="M5" s="209" t="s">
        <v>279</v>
      </c>
      <c r="N5" s="209" t="str">
        <f>PubComps_Data!C8</f>
        <v>LTM Revenue:</v>
      </c>
      <c r="O5" s="204" t="str">
        <f>PubComps_Data!C73</f>
        <v>2025-12-31 Revenue:</v>
      </c>
      <c r="P5" s="209" t="str">
        <f>PubComps_Data!C77</f>
        <v>2026-12-31 Revenue:</v>
      </c>
      <c r="Q5" s="209" t="s">
        <v>253</v>
      </c>
      <c r="R5" s="295" t="s">
        <v>333</v>
      </c>
      <c r="S5" s="209" t="str">
        <f>PubComps_Data!C78</f>
        <v>2026-12-31 EBITDA:</v>
      </c>
      <c r="T5" s="209" t="str">
        <f>PubComps_Data!C9</f>
        <v>LTM Reported Net Income:</v>
      </c>
      <c r="U5" s="222" t="s">
        <v>334</v>
      </c>
      <c r="V5" s="209" t="s">
        <v>335</v>
      </c>
      <c r="W5" s="209" t="s">
        <v>286</v>
      </c>
      <c r="X5" s="209" t="s">
        <v>287</v>
      </c>
      <c r="Y5" s="209" t="str">
        <f>PubComps_Data!C88</f>
        <v>LTM EBITDA Margin:</v>
      </c>
      <c r="Z5" s="209" t="str">
        <f>PubComps_Data!C89</f>
        <v>2025-12-31 EBITDA Margin:</v>
      </c>
      <c r="AA5" s="209" t="str">
        <f>PubComps_Data!C90</f>
        <v>2026-12-31 EBITDA Margin:</v>
      </c>
      <c r="AB5" s="209"/>
      <c r="AC5" s="25"/>
    </row>
    <row r="6" spans="2:31" ht="16">
      <c r="B6" s="296" t="s">
        <v>308</v>
      </c>
      <c r="C6" s="297"/>
      <c r="D6" s="297"/>
      <c r="E6" s="297"/>
      <c r="F6" s="298" t="s">
        <v>309</v>
      </c>
      <c r="G6" s="298"/>
      <c r="H6" s="298"/>
      <c r="I6" s="298"/>
      <c r="J6" s="298"/>
      <c r="K6" s="298"/>
      <c r="L6" s="298"/>
      <c r="M6" s="299"/>
      <c r="N6" s="300"/>
      <c r="O6" s="300"/>
      <c r="P6" s="300"/>
      <c r="Q6" s="300"/>
      <c r="R6" s="300"/>
      <c r="S6" s="300"/>
      <c r="T6" s="300"/>
      <c r="U6" s="300"/>
      <c r="V6" s="300"/>
      <c r="W6" s="301" t="s">
        <v>310</v>
      </c>
      <c r="X6" s="301" t="s">
        <v>310</v>
      </c>
      <c r="Y6" s="298"/>
      <c r="Z6" s="298"/>
      <c r="AA6" s="302"/>
    </row>
    <row r="7" spans="2:31" ht="16">
      <c r="B7" s="300"/>
      <c r="C7" s="300"/>
      <c r="D7" s="301" t="s">
        <v>311</v>
      </c>
      <c r="E7" s="301" t="s">
        <v>312</v>
      </c>
      <c r="F7" s="301" t="s">
        <v>313</v>
      </c>
      <c r="G7" s="301"/>
      <c r="H7" s="301"/>
      <c r="I7" s="301"/>
      <c r="J7" s="301"/>
      <c r="K7" s="301"/>
      <c r="L7" s="301" t="s">
        <v>314</v>
      </c>
      <c r="M7" s="301" t="s">
        <v>297</v>
      </c>
      <c r="N7" s="298" t="s">
        <v>241</v>
      </c>
      <c r="O7" s="298"/>
      <c r="P7" s="298"/>
      <c r="Q7" s="298" t="s">
        <v>235</v>
      </c>
      <c r="R7" s="298"/>
      <c r="S7" s="298"/>
      <c r="T7" s="298" t="s">
        <v>315</v>
      </c>
      <c r="U7" s="298"/>
      <c r="V7" s="298"/>
      <c r="W7" s="301" t="s">
        <v>241</v>
      </c>
      <c r="X7" s="301" t="s">
        <v>235</v>
      </c>
      <c r="Y7" s="298" t="s">
        <v>236</v>
      </c>
      <c r="Z7" s="298"/>
      <c r="AA7" s="298"/>
    </row>
    <row r="8" spans="2:31" ht="16">
      <c r="B8" s="303" t="s">
        <v>316</v>
      </c>
      <c r="C8" s="303" t="s">
        <v>317</v>
      </c>
      <c r="D8" s="304" t="s">
        <v>300</v>
      </c>
      <c r="E8" s="304" t="s">
        <v>318</v>
      </c>
      <c r="F8" s="304" t="s">
        <v>319</v>
      </c>
      <c r="G8" s="304" t="s">
        <v>320</v>
      </c>
      <c r="H8" s="304" t="s">
        <v>321</v>
      </c>
      <c r="I8" s="304" t="s">
        <v>322</v>
      </c>
      <c r="J8" s="304" t="s">
        <v>323</v>
      </c>
      <c r="K8" s="304" t="s">
        <v>324</v>
      </c>
      <c r="L8" s="304" t="s">
        <v>325</v>
      </c>
      <c r="M8" s="304" t="s">
        <v>299</v>
      </c>
      <c r="N8" s="305" t="s">
        <v>247</v>
      </c>
      <c r="O8" s="306">
        <v>46022</v>
      </c>
      <c r="P8" s="306">
        <f>EOMONTH(O8,12)</f>
        <v>46387</v>
      </c>
      <c r="Q8" s="305" t="str">
        <f>$N$8</f>
        <v>LTM</v>
      </c>
      <c r="R8" s="306">
        <f>+$O$8</f>
        <v>46022</v>
      </c>
      <c r="S8" s="306">
        <f>+$P$8</f>
        <v>46387</v>
      </c>
      <c r="T8" s="305" t="str">
        <f>$N$8</f>
        <v>LTM</v>
      </c>
      <c r="U8" s="306">
        <f>+$O$8</f>
        <v>46022</v>
      </c>
      <c r="V8" s="306">
        <f>+$P$8</f>
        <v>46387</v>
      </c>
      <c r="W8" s="304" t="s">
        <v>326</v>
      </c>
      <c r="X8" s="304" t="s">
        <v>326</v>
      </c>
      <c r="Y8" s="305" t="str">
        <f>$N$8</f>
        <v>LTM</v>
      </c>
      <c r="Z8" s="306">
        <f>+$O$8</f>
        <v>46022</v>
      </c>
      <c r="AA8" s="306">
        <f>+$P$8</f>
        <v>46387</v>
      </c>
    </row>
    <row r="9" spans="2:31" ht="16">
      <c r="B9" s="291" t="str">
        <f t="shared" ref="B9:B14" si="0">INDEX(Pub_Comps_Range,MATCH(B$5,Pub_Comps_Params,0),MATCH($C9,Pub_Comps_Tickers,0))</f>
        <v>Lynas Rare Earths Ltd.</v>
      </c>
      <c r="C9" s="352" t="s">
        <v>290</v>
      </c>
      <c r="D9" s="314">
        <f t="shared" ref="D9:S14" si="1">INDEX(Pub_Comps_Range,MATCH(D$5,Pub_Comps_Params,0),MATCH($C9,Pub_Comps_Tickers,0))</f>
        <v>5.48</v>
      </c>
      <c r="E9" s="291">
        <f t="shared" si="1"/>
        <v>934.7</v>
      </c>
      <c r="F9" s="307">
        <f t="shared" si="1"/>
        <v>5122.1560000000009</v>
      </c>
      <c r="G9" s="308">
        <f t="shared" si="1"/>
        <v>0.86</v>
      </c>
      <c r="H9" s="309">
        <f t="shared" si="1"/>
        <v>0.184</v>
      </c>
      <c r="I9" s="307">
        <f t="shared" si="1"/>
        <v>-349</v>
      </c>
      <c r="J9" s="307">
        <f t="shared" si="1"/>
        <v>123</v>
      </c>
      <c r="K9" s="310">
        <f t="shared" si="1"/>
        <v>0</v>
      </c>
      <c r="L9" s="310">
        <f t="shared" si="1"/>
        <v>0</v>
      </c>
      <c r="M9" s="375">
        <f t="shared" ref="M9:AA9" si="2">INDEX(Pub_Comps_Range,MATCH(M$5,Pub_Comps_Params,0),MATCH($C9,Pub_Comps_Tickers,0))</f>
        <v>4896.1560000000009</v>
      </c>
      <c r="N9" s="375">
        <f t="shared" si="2"/>
        <v>482.82000000000005</v>
      </c>
      <c r="O9" s="375">
        <f t="shared" si="2"/>
        <v>371</v>
      </c>
      <c r="P9" s="375">
        <f t="shared" si="2"/>
        <v>648</v>
      </c>
      <c r="Q9" s="375">
        <f t="shared" si="2"/>
        <v>95.88</v>
      </c>
      <c r="R9" s="375">
        <f t="shared" si="2"/>
        <v>93</v>
      </c>
      <c r="S9" s="375">
        <f t="shared" si="2"/>
        <v>276</v>
      </c>
      <c r="T9" s="375">
        <f t="shared" si="2"/>
        <v>50.82</v>
      </c>
      <c r="U9" s="375">
        <f t="shared" si="2"/>
        <v>36</v>
      </c>
      <c r="V9" s="375">
        <f t="shared" si="2"/>
        <v>162</v>
      </c>
      <c r="W9" s="376">
        <f t="shared" si="2"/>
        <v>0.74663072776280326</v>
      </c>
      <c r="X9" s="376">
        <f t="shared" si="2"/>
        <v>1.967741935483871</v>
      </c>
      <c r="Y9" s="376">
        <f t="shared" si="2"/>
        <v>0.19858332297750711</v>
      </c>
      <c r="Z9" s="376">
        <f t="shared" si="2"/>
        <v>0.25067385444743934</v>
      </c>
      <c r="AA9" s="376">
        <f t="shared" si="2"/>
        <v>0.42592592592592593</v>
      </c>
      <c r="AE9" s="209"/>
    </row>
    <row r="10" spans="2:31" ht="16">
      <c r="B10" s="291" t="str">
        <f t="shared" si="0"/>
        <v>China Northern Rare Earth High-Tech Co, Ltd.</v>
      </c>
      <c r="C10" s="352">
        <v>600111</v>
      </c>
      <c r="D10" s="291">
        <f t="shared" si="1"/>
        <v>5.19</v>
      </c>
      <c r="E10" s="291">
        <f t="shared" si="1"/>
        <v>3615.1</v>
      </c>
      <c r="F10" s="307">
        <f t="shared" si="1"/>
        <v>18762.369000000002</v>
      </c>
      <c r="G10" s="308">
        <f t="shared" si="1"/>
        <v>0.4</v>
      </c>
      <c r="H10" s="309">
        <f t="shared" si="1"/>
        <v>0.13500000000000001</v>
      </c>
      <c r="I10" s="307">
        <f t="shared" si="1"/>
        <v>-777.3</v>
      </c>
      <c r="J10" s="307">
        <f t="shared" si="1"/>
        <v>706.5</v>
      </c>
      <c r="K10" s="310">
        <f t="shared" si="1"/>
        <v>0</v>
      </c>
      <c r="L10" s="310">
        <f t="shared" si="1"/>
        <v>0</v>
      </c>
      <c r="M10" s="375">
        <f t="shared" si="1"/>
        <v>18624.569000000003</v>
      </c>
      <c r="N10" s="375">
        <f t="shared" si="1"/>
        <v>4516.5</v>
      </c>
      <c r="O10" s="375">
        <f t="shared" si="1"/>
        <v>4993</v>
      </c>
      <c r="P10" s="375">
        <f t="shared" si="1"/>
        <v>5814</v>
      </c>
      <c r="Q10" s="375">
        <f t="shared" si="1"/>
        <v>985</v>
      </c>
      <c r="R10" s="375">
        <f t="shared" si="1"/>
        <v>591</v>
      </c>
      <c r="S10" s="375">
        <f t="shared" si="1"/>
        <v>838</v>
      </c>
      <c r="T10" s="375">
        <f t="shared" ref="T10:AA14" si="3">INDEX(Pub_Comps_Range,MATCH(T$5,Pub_Comps_Params,0),MATCH($C10,Pub_Comps_Tickers,0))</f>
        <v>137.6</v>
      </c>
      <c r="U10" s="375">
        <f t="shared" si="3"/>
        <v>309</v>
      </c>
      <c r="V10" s="375">
        <f t="shared" si="3"/>
        <v>462</v>
      </c>
      <c r="W10" s="376">
        <f t="shared" si="3"/>
        <v>0.16443020228319649</v>
      </c>
      <c r="X10" s="376">
        <f t="shared" si="3"/>
        <v>0.4179357021996617</v>
      </c>
      <c r="Y10" s="376">
        <f t="shared" si="3"/>
        <v>0.21808922838481123</v>
      </c>
      <c r="Z10" s="376">
        <f t="shared" si="3"/>
        <v>0.11836571199679552</v>
      </c>
      <c r="AA10" s="376">
        <f t="shared" si="3"/>
        <v>0.14413484692122464</v>
      </c>
      <c r="AE10" s="209"/>
    </row>
    <row r="11" spans="2:31" ht="16">
      <c r="B11" s="291" t="str">
        <f t="shared" si="0"/>
        <v>Alkane Resources Ltd.</v>
      </c>
      <c r="C11" s="352" t="s">
        <v>473</v>
      </c>
      <c r="D11" s="291">
        <f t="shared" si="1"/>
        <v>0.51</v>
      </c>
      <c r="E11" s="291">
        <f t="shared" si="1"/>
        <v>605.5</v>
      </c>
      <c r="F11" s="307">
        <f t="shared" si="1"/>
        <v>308.80500000000001</v>
      </c>
      <c r="G11" s="308">
        <f t="shared" si="1"/>
        <v>0.84</v>
      </c>
      <c r="H11" s="309">
        <f t="shared" si="1"/>
        <v>0.247</v>
      </c>
      <c r="I11" s="307">
        <f t="shared" si="1"/>
        <v>-21.7</v>
      </c>
      <c r="J11" s="307">
        <f t="shared" si="1"/>
        <v>38.799999999999997</v>
      </c>
      <c r="K11" s="310">
        <f t="shared" si="1"/>
        <v>0</v>
      </c>
      <c r="L11" s="310">
        <f t="shared" si="1"/>
        <v>0</v>
      </c>
      <c r="M11" s="375">
        <f t="shared" si="1"/>
        <v>325.90500000000003</v>
      </c>
      <c r="N11" s="375">
        <f t="shared" si="1"/>
        <v>127.058455</v>
      </c>
      <c r="O11" s="375">
        <f t="shared" si="1"/>
        <v>169</v>
      </c>
      <c r="P11" s="375">
        <f t="shared" si="1"/>
        <v>205</v>
      </c>
      <c r="Q11" s="375">
        <f t="shared" si="1"/>
        <v>41.444000000000003</v>
      </c>
      <c r="R11" s="375">
        <f t="shared" si="1"/>
        <v>73</v>
      </c>
      <c r="S11" s="375">
        <f t="shared" si="1"/>
        <v>121</v>
      </c>
      <c r="T11" s="375">
        <f t="shared" si="3"/>
        <v>11.497915000000001</v>
      </c>
      <c r="U11" s="375">
        <f t="shared" si="3"/>
        <v>29</v>
      </c>
      <c r="V11" s="375">
        <f t="shared" si="3"/>
        <v>61</v>
      </c>
      <c r="W11" s="376">
        <f t="shared" si="3"/>
        <v>0.21301775147928992</v>
      </c>
      <c r="X11" s="376">
        <f t="shared" si="3"/>
        <v>0.65753424657534243</v>
      </c>
      <c r="Y11" s="376">
        <f t="shared" si="3"/>
        <v>0.32618057570430875</v>
      </c>
      <c r="Z11" s="376">
        <f t="shared" si="3"/>
        <v>0.43195266272189348</v>
      </c>
      <c r="AA11" s="376">
        <f t="shared" si="3"/>
        <v>0.59024390243902436</v>
      </c>
      <c r="AE11" s="209"/>
    </row>
    <row r="12" spans="2:31" ht="16">
      <c r="B12" s="291" t="str">
        <f t="shared" si="0"/>
        <v>Materion Corporation</v>
      </c>
      <c r="C12" s="352" t="s">
        <v>293</v>
      </c>
      <c r="D12" s="291">
        <f t="shared" si="1"/>
        <v>82.38</v>
      </c>
      <c r="E12" s="291">
        <f t="shared" si="1"/>
        <v>20.860222250546251</v>
      </c>
      <c r="F12" s="307">
        <f t="shared" si="1"/>
        <v>1718.465109</v>
      </c>
      <c r="G12" s="308">
        <f t="shared" si="1"/>
        <v>1.1399999999999999</v>
      </c>
      <c r="H12" s="309">
        <f t="shared" si="1"/>
        <v>0.60499999999999998</v>
      </c>
      <c r="I12" s="307">
        <f t="shared" si="1"/>
        <v>-19.399999999999999</v>
      </c>
      <c r="J12" s="307">
        <f t="shared" si="1"/>
        <v>524.79999999999995</v>
      </c>
      <c r="K12" s="310">
        <f t="shared" si="1"/>
        <v>0</v>
      </c>
      <c r="L12" s="310">
        <f t="shared" si="1"/>
        <v>0</v>
      </c>
      <c r="M12" s="375">
        <f t="shared" si="1"/>
        <v>2223.8651089999998</v>
      </c>
      <c r="N12" s="375">
        <f t="shared" si="1"/>
        <v>1684.7</v>
      </c>
      <c r="O12" s="375">
        <f t="shared" si="1"/>
        <v>850</v>
      </c>
      <c r="P12" s="375">
        <f t="shared" si="1"/>
        <v>912</v>
      </c>
      <c r="Q12" s="375">
        <f t="shared" si="1"/>
        <v>221</v>
      </c>
      <c r="R12" s="375">
        <f t="shared" si="1"/>
        <v>229</v>
      </c>
      <c r="S12" s="375">
        <f t="shared" si="1"/>
        <v>249</v>
      </c>
      <c r="T12" s="375">
        <f t="shared" si="3"/>
        <v>6</v>
      </c>
      <c r="U12" s="375">
        <f t="shared" si="3"/>
        <v>104</v>
      </c>
      <c r="V12" s="375">
        <f t="shared" si="3"/>
        <v>125</v>
      </c>
      <c r="W12" s="376">
        <f t="shared" si="3"/>
        <v>7.2941176470588287E-2</v>
      </c>
      <c r="X12" s="376">
        <f t="shared" si="3"/>
        <v>8.7336244541484698E-2</v>
      </c>
      <c r="Y12" s="376">
        <f t="shared" si="3"/>
        <v>0.13118062563067609</v>
      </c>
      <c r="Z12" s="376">
        <f t="shared" si="3"/>
        <v>0.26941176470588235</v>
      </c>
      <c r="AA12" s="376">
        <f t="shared" si="3"/>
        <v>0.27302631578947367</v>
      </c>
      <c r="AD12" s="209"/>
      <c r="AE12" s="209"/>
    </row>
    <row r="13" spans="2:31" ht="16">
      <c r="B13" s="291" t="str">
        <f t="shared" si="0"/>
        <v>AMETEK Inc.</v>
      </c>
      <c r="C13" s="352" t="s">
        <v>295</v>
      </c>
      <c r="D13" s="291">
        <f t="shared" si="1"/>
        <v>166.29</v>
      </c>
      <c r="E13" s="291">
        <f t="shared" si="1"/>
        <v>230.77258467135727</v>
      </c>
      <c r="F13" s="307">
        <f t="shared" si="1"/>
        <v>38375.173104999994</v>
      </c>
      <c r="G13" s="308">
        <f t="shared" si="1"/>
        <v>1.1399999999999999</v>
      </c>
      <c r="H13" s="309">
        <f t="shared" si="1"/>
        <v>0.17199999999999999</v>
      </c>
      <c r="I13" s="307">
        <f t="shared" si="1"/>
        <v>-374</v>
      </c>
      <c r="J13" s="307">
        <f t="shared" si="1"/>
        <v>2324.5</v>
      </c>
      <c r="K13" s="310">
        <f t="shared" si="1"/>
        <v>0</v>
      </c>
      <c r="L13" s="310">
        <f t="shared" si="1"/>
        <v>0</v>
      </c>
      <c r="M13" s="375">
        <f t="shared" si="1"/>
        <v>40325.673104999994</v>
      </c>
      <c r="N13" s="375">
        <f t="shared" si="1"/>
        <v>6941.2</v>
      </c>
      <c r="O13" s="375">
        <f t="shared" si="1"/>
        <v>7132</v>
      </c>
      <c r="P13" s="375">
        <f t="shared" si="1"/>
        <v>7502</v>
      </c>
      <c r="Q13" s="375">
        <f t="shared" si="1"/>
        <v>1914.8</v>
      </c>
      <c r="R13" s="375">
        <f t="shared" si="1"/>
        <v>2258</v>
      </c>
      <c r="S13" s="375">
        <f t="shared" si="1"/>
        <v>2418</v>
      </c>
      <c r="T13" s="375">
        <f t="shared" si="3"/>
        <v>1376.1</v>
      </c>
      <c r="U13" s="375">
        <f t="shared" si="3"/>
        <v>1450</v>
      </c>
      <c r="V13" s="375">
        <f t="shared" si="3"/>
        <v>1601</v>
      </c>
      <c r="W13" s="376">
        <f t="shared" si="3"/>
        <v>5.1878855860908679E-2</v>
      </c>
      <c r="X13" s="376">
        <f t="shared" si="3"/>
        <v>7.085916740478293E-2</v>
      </c>
      <c r="Y13" s="376">
        <f t="shared" si="3"/>
        <v>0.27586008183023109</v>
      </c>
      <c r="Z13" s="376">
        <f t="shared" si="3"/>
        <v>0.31660123387549077</v>
      </c>
      <c r="AA13" s="376">
        <f t="shared" si="3"/>
        <v>0.32231404958677684</v>
      </c>
      <c r="AE13" s="209"/>
    </row>
    <row r="14" spans="2:31" ht="16">
      <c r="B14" s="291" t="str">
        <f t="shared" si="0"/>
        <v>TDK Corporation</v>
      </c>
      <c r="C14" s="352">
        <v>6762</v>
      </c>
      <c r="D14" s="291">
        <f t="shared" si="1"/>
        <v>10.76</v>
      </c>
      <c r="E14" s="291">
        <f t="shared" si="1"/>
        <v>2310.6</v>
      </c>
      <c r="F14" s="307">
        <f t="shared" si="1"/>
        <v>24862.055999999997</v>
      </c>
      <c r="G14" s="308">
        <f t="shared" si="1"/>
        <v>0.34</v>
      </c>
      <c r="H14" s="309">
        <f t="shared" si="1"/>
        <v>0.29599999999999999</v>
      </c>
      <c r="I14" s="307">
        <f t="shared" si="1"/>
        <v>-4656.5</v>
      </c>
      <c r="J14" s="307">
        <f t="shared" si="1"/>
        <v>2310.6</v>
      </c>
      <c r="K14" s="310">
        <f t="shared" si="1"/>
        <v>0</v>
      </c>
      <c r="L14" s="310">
        <f t="shared" si="1"/>
        <v>0</v>
      </c>
      <c r="M14" s="375">
        <f t="shared" si="1"/>
        <v>22234.455999999998</v>
      </c>
      <c r="N14" s="375">
        <f t="shared" si="1"/>
        <v>13909.5</v>
      </c>
      <c r="O14" s="375">
        <f t="shared" si="1"/>
        <v>14474</v>
      </c>
      <c r="P14" s="375">
        <f t="shared" si="1"/>
        <v>15612</v>
      </c>
      <c r="Q14" s="375">
        <f t="shared" si="1"/>
        <v>2443.9</v>
      </c>
      <c r="R14" s="375">
        <f t="shared" si="1"/>
        <v>2760.1918000000001</v>
      </c>
      <c r="S14" s="375">
        <f t="shared" si="1"/>
        <v>3082</v>
      </c>
      <c r="T14" s="375">
        <f t="shared" si="3"/>
        <v>7177</v>
      </c>
      <c r="U14" s="375">
        <f t="shared" si="3"/>
        <v>1097</v>
      </c>
      <c r="V14" s="375">
        <f t="shared" si="3"/>
        <v>1245</v>
      </c>
      <c r="W14" s="376">
        <f t="shared" si="3"/>
        <v>7.8623739118419245E-2</v>
      </c>
      <c r="X14" s="376">
        <f t="shared" si="3"/>
        <v>0.11658907181740052</v>
      </c>
      <c r="Y14" s="376">
        <f t="shared" si="3"/>
        <v>0.1757000611093138</v>
      </c>
      <c r="Z14" s="376">
        <f t="shared" si="3"/>
        <v>0.19070000000000001</v>
      </c>
      <c r="AA14" s="376">
        <f t="shared" si="3"/>
        <v>0.19741224698949525</v>
      </c>
      <c r="AE14" s="209"/>
    </row>
    <row r="15" spans="2:31" ht="16">
      <c r="B15" s="312" t="s">
        <v>301</v>
      </c>
      <c r="C15" s="313"/>
      <c r="D15" s="314">
        <f>MAX(D9:D13)</f>
        <v>166.29</v>
      </c>
      <c r="E15" s="314"/>
      <c r="F15" s="315">
        <f>MAX(F9:F13)</f>
        <v>38375.173104999994</v>
      </c>
      <c r="G15" s="315"/>
      <c r="H15" s="315"/>
      <c r="I15" s="315"/>
      <c r="J15" s="315"/>
      <c r="K15" s="315"/>
      <c r="L15" s="315"/>
      <c r="M15" s="315">
        <f>MAX(M9:M13)</f>
        <v>40325.673104999994</v>
      </c>
      <c r="N15" s="315">
        <f>MAX(N9:N13)</f>
        <v>6941.2</v>
      </c>
      <c r="O15" s="315">
        <f>MAX(O9:O13)</f>
        <v>7132</v>
      </c>
      <c r="P15" s="315">
        <f>MAX(P9:P13)</f>
        <v>7502</v>
      </c>
      <c r="Q15" s="315">
        <f>MAX(Q9:Q13)</f>
        <v>1914.8</v>
      </c>
      <c r="R15" s="315">
        <f t="shared" ref="R15:S15" si="4">MAX(R9:R13)</f>
        <v>2258</v>
      </c>
      <c r="S15" s="315">
        <f t="shared" si="4"/>
        <v>2418</v>
      </c>
      <c r="T15" s="315">
        <f>MAX(T9:T13)</f>
        <v>1376.1</v>
      </c>
      <c r="U15" s="315">
        <f>MAX(U9:U13)</f>
        <v>1450</v>
      </c>
      <c r="V15" s="315">
        <f t="shared" ref="V15:AA15" si="5">MAX(V9:V13)</f>
        <v>1601</v>
      </c>
      <c r="W15" s="316">
        <f t="shared" si="5"/>
        <v>0.74663072776280326</v>
      </c>
      <c r="X15" s="316">
        <f t="shared" si="5"/>
        <v>1.967741935483871</v>
      </c>
      <c r="Y15" s="316">
        <f t="shared" si="5"/>
        <v>0.32618057570430875</v>
      </c>
      <c r="Z15" s="316">
        <f t="shared" si="5"/>
        <v>0.43195266272189348</v>
      </c>
      <c r="AA15" s="317">
        <f t="shared" si="5"/>
        <v>0.59024390243902436</v>
      </c>
      <c r="AE15" s="209"/>
    </row>
    <row r="16" spans="2:31" ht="16">
      <c r="B16" s="318" t="s">
        <v>302</v>
      </c>
      <c r="C16" s="25"/>
      <c r="D16" s="319">
        <f>QUARTILE(D9:D13,3)</f>
        <v>82.38</v>
      </c>
      <c r="E16" s="319"/>
      <c r="F16" s="320">
        <f>QUARTILE(F9:F13,3)</f>
        <v>18762.369000000002</v>
      </c>
      <c r="G16" s="320"/>
      <c r="H16" s="320"/>
      <c r="I16" s="320"/>
      <c r="J16" s="320"/>
      <c r="K16" s="320"/>
      <c r="L16" s="320"/>
      <c r="M16" s="320">
        <f>QUARTILE(M9:M13,3)</f>
        <v>18624.569000000003</v>
      </c>
      <c r="N16" s="320">
        <f>QUARTILE(N9:N13,3)</f>
        <v>4516.5</v>
      </c>
      <c r="O16" s="320">
        <f>QUARTILE(O9:O13,3)</f>
        <v>4993</v>
      </c>
      <c r="P16" s="320">
        <f>QUARTILE(P9:P13,3)</f>
        <v>5814</v>
      </c>
      <c r="Q16" s="320">
        <f>QUARTILE(Q9:Q13,3)</f>
        <v>985</v>
      </c>
      <c r="R16" s="320">
        <f t="shared" ref="R16:S16" si="6">QUARTILE(R9:R13,3)</f>
        <v>591</v>
      </c>
      <c r="S16" s="320">
        <f t="shared" si="6"/>
        <v>838</v>
      </c>
      <c r="T16" s="320">
        <f>QUARTILE(T9:T13,3)</f>
        <v>137.6</v>
      </c>
      <c r="U16" s="320">
        <f>QUARTILE(U9:U13,3)</f>
        <v>309</v>
      </c>
      <c r="V16" s="320">
        <f t="shared" ref="V16:AA16" si="7">QUARTILE(V9:V13,3)</f>
        <v>462</v>
      </c>
      <c r="W16" s="311">
        <f t="shared" si="7"/>
        <v>0.21301775147928992</v>
      </c>
      <c r="X16" s="311">
        <f t="shared" si="7"/>
        <v>0.65753424657534243</v>
      </c>
      <c r="Y16" s="311">
        <f t="shared" si="7"/>
        <v>0.27586008183023109</v>
      </c>
      <c r="Z16" s="311">
        <f t="shared" si="7"/>
        <v>0.31660123387549077</v>
      </c>
      <c r="AA16" s="321">
        <f t="shared" si="7"/>
        <v>0.42592592592592593</v>
      </c>
      <c r="AD16" s="209"/>
      <c r="AE16" s="209"/>
    </row>
    <row r="17" spans="1:33" ht="16">
      <c r="B17" s="322" t="s">
        <v>303</v>
      </c>
      <c r="C17" s="323"/>
      <c r="D17" s="324">
        <f>MEDIAN(D9:D13)</f>
        <v>5.48</v>
      </c>
      <c r="E17" s="324"/>
      <c r="F17" s="325">
        <f>MEDIAN(F9:F13)</f>
        <v>5122.1560000000009</v>
      </c>
      <c r="G17" s="325"/>
      <c r="H17" s="325"/>
      <c r="I17" s="326"/>
      <c r="J17" s="326"/>
      <c r="K17" s="326"/>
      <c r="L17" s="326"/>
      <c r="M17" s="325">
        <f>MEDIAN(M9:M13)</f>
        <v>4896.1560000000009</v>
      </c>
      <c r="N17" s="325">
        <f>MEDIAN(N9:N13)</f>
        <v>1684.7</v>
      </c>
      <c r="O17" s="325">
        <f>MEDIAN(O9:O13)</f>
        <v>850</v>
      </c>
      <c r="P17" s="325">
        <f>MEDIAN(P9:P13)</f>
        <v>912</v>
      </c>
      <c r="Q17" s="325">
        <f>MEDIAN(Q9:Q13)</f>
        <v>221</v>
      </c>
      <c r="R17" s="325">
        <f t="shared" ref="R17:S17" si="8">MEDIAN(R9:R13)</f>
        <v>229</v>
      </c>
      <c r="S17" s="325">
        <f t="shared" si="8"/>
        <v>276</v>
      </c>
      <c r="T17" s="325">
        <f>MEDIAN(T9:T13)</f>
        <v>50.82</v>
      </c>
      <c r="U17" s="325">
        <f>MEDIAN(U9:U13)</f>
        <v>104</v>
      </c>
      <c r="V17" s="325">
        <f t="shared" ref="V17:AA17" si="9">MEDIAN(V9:V13)</f>
        <v>162</v>
      </c>
      <c r="W17" s="327">
        <f t="shared" si="9"/>
        <v>0.16443020228319649</v>
      </c>
      <c r="X17" s="327">
        <f t="shared" si="9"/>
        <v>0.4179357021996617</v>
      </c>
      <c r="Y17" s="327">
        <f t="shared" si="9"/>
        <v>0.21808922838481123</v>
      </c>
      <c r="Z17" s="327">
        <f t="shared" si="9"/>
        <v>0.26941176470588235</v>
      </c>
      <c r="AA17" s="328">
        <f t="shared" si="9"/>
        <v>0.32231404958677684</v>
      </c>
      <c r="AD17" s="209"/>
      <c r="AE17" s="209"/>
    </row>
    <row r="18" spans="1:33" ht="16">
      <c r="B18" s="318" t="s">
        <v>304</v>
      </c>
      <c r="C18" s="102"/>
      <c r="D18" s="319">
        <f>QUARTILE(D9:D13,1)</f>
        <v>5.19</v>
      </c>
      <c r="E18" s="319"/>
      <c r="F18" s="320">
        <f>QUARTILE(F9:F13,1)</f>
        <v>1718.465109</v>
      </c>
      <c r="G18" s="320"/>
      <c r="H18" s="320"/>
      <c r="I18" s="320"/>
      <c r="J18" s="320"/>
      <c r="K18" s="320"/>
      <c r="L18" s="320"/>
      <c r="M18" s="320">
        <f>QUARTILE(M9:M13,1)</f>
        <v>2223.8651089999998</v>
      </c>
      <c r="N18" s="320">
        <f>QUARTILE(N9:N13,1)</f>
        <v>482.82000000000005</v>
      </c>
      <c r="O18" s="320">
        <f>QUARTILE(O9:O13,1)</f>
        <v>371</v>
      </c>
      <c r="P18" s="320">
        <f>QUARTILE(P9:P13,1)</f>
        <v>648</v>
      </c>
      <c r="Q18" s="320">
        <f>QUARTILE(Q9:Q13,1)</f>
        <v>95.88</v>
      </c>
      <c r="R18" s="320">
        <f t="shared" ref="R18:S18" si="10">QUARTILE(R9:R13,1)</f>
        <v>93</v>
      </c>
      <c r="S18" s="320">
        <f t="shared" si="10"/>
        <v>249</v>
      </c>
      <c r="T18" s="320">
        <f>QUARTILE(T9:T13,1)</f>
        <v>11.497915000000001</v>
      </c>
      <c r="U18" s="320">
        <f>QUARTILE(U9:U13,1)</f>
        <v>36</v>
      </c>
      <c r="V18" s="320">
        <f t="shared" ref="V18:AA18" si="11">QUARTILE(V9:V13,1)</f>
        <v>125</v>
      </c>
      <c r="W18" s="311">
        <f t="shared" si="11"/>
        <v>7.2941176470588287E-2</v>
      </c>
      <c r="X18" s="311">
        <f t="shared" si="11"/>
        <v>8.7336244541484698E-2</v>
      </c>
      <c r="Y18" s="311">
        <f t="shared" si="11"/>
        <v>0.19858332297750711</v>
      </c>
      <c r="Z18" s="311">
        <f t="shared" si="11"/>
        <v>0.25067385444743934</v>
      </c>
      <c r="AA18" s="321">
        <f t="shared" si="11"/>
        <v>0.27302631578947367</v>
      </c>
      <c r="AD18" s="209"/>
      <c r="AE18" s="209"/>
    </row>
    <row r="19" spans="1:33" ht="16">
      <c r="B19" s="329" t="s">
        <v>305</v>
      </c>
      <c r="C19" s="330"/>
      <c r="D19" s="331">
        <f>MIN(D9:D13)</f>
        <v>0.51</v>
      </c>
      <c r="E19" s="331"/>
      <c r="F19" s="332">
        <f>MIN(F9:F13)</f>
        <v>308.80500000000001</v>
      </c>
      <c r="G19" s="332"/>
      <c r="H19" s="332"/>
      <c r="I19" s="332"/>
      <c r="J19" s="332"/>
      <c r="K19" s="332"/>
      <c r="L19" s="332"/>
      <c r="M19" s="332">
        <f>MIN(M9:M13)</f>
        <v>325.90500000000003</v>
      </c>
      <c r="N19" s="332">
        <f>MIN(N9:N13)</f>
        <v>127.058455</v>
      </c>
      <c r="O19" s="332">
        <f>MIN(O9:O13)</f>
        <v>169</v>
      </c>
      <c r="P19" s="332">
        <f>MIN(P9:P13)</f>
        <v>205</v>
      </c>
      <c r="Q19" s="332">
        <f>MIN(Q9:Q13)</f>
        <v>41.444000000000003</v>
      </c>
      <c r="R19" s="332">
        <f t="shared" ref="R19:S19" si="12">MIN(R9:R13)</f>
        <v>73</v>
      </c>
      <c r="S19" s="332">
        <f t="shared" si="12"/>
        <v>121</v>
      </c>
      <c r="T19" s="332">
        <f>MIN(T9:T13)</f>
        <v>6</v>
      </c>
      <c r="U19" s="332">
        <f>MIN(U9:U13)</f>
        <v>29</v>
      </c>
      <c r="V19" s="332">
        <f t="shared" ref="V19:AA19" si="13">MIN(V9:V13)</f>
        <v>61</v>
      </c>
      <c r="W19" s="333">
        <f t="shared" si="13"/>
        <v>5.1878855860908679E-2</v>
      </c>
      <c r="X19" s="333">
        <f t="shared" si="13"/>
        <v>7.085916740478293E-2</v>
      </c>
      <c r="Y19" s="333">
        <f t="shared" si="13"/>
        <v>0.13118062563067609</v>
      </c>
      <c r="Z19" s="333">
        <f t="shared" si="13"/>
        <v>0.11836571199679552</v>
      </c>
      <c r="AA19" s="334">
        <f t="shared" si="13"/>
        <v>0.14413484692122464</v>
      </c>
      <c r="AD19" s="209"/>
      <c r="AE19" s="209"/>
    </row>
    <row r="20" spans="1:33" ht="16"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D20" s="209"/>
      <c r="AE20" s="209"/>
    </row>
    <row r="21" spans="1:33" ht="16">
      <c r="A21" s="335"/>
      <c r="B21" s="336" t="str">
        <f t="shared" ref="B21:L21" si="14">INDEX(Pub_Comps_Range,MATCH(B$5,Pub_Comps_Params,0),MATCH($C21,Pub_Comps_Tickers,0))</f>
        <v>MP Materials Corp.</v>
      </c>
      <c r="C21" s="337" t="str">
        <f>Ticker</f>
        <v>MP</v>
      </c>
      <c r="D21" s="338">
        <f>Share_Price</f>
        <v>21.44</v>
      </c>
      <c r="E21" s="339">
        <f t="shared" si="14"/>
        <v>163.988</v>
      </c>
      <c r="F21" s="340">
        <f t="shared" si="14"/>
        <v>3515.90272</v>
      </c>
      <c r="G21" s="341">
        <f t="shared" si="14"/>
        <v>2.2400000000000002</v>
      </c>
      <c r="H21" s="342">
        <f t="shared" si="14"/>
        <v>0.15495232496007769</v>
      </c>
      <c r="I21" s="340">
        <f t="shared" si="14"/>
        <v>-850.86800000000005</v>
      </c>
      <c r="J21" s="340">
        <f t="shared" si="14"/>
        <v>908.72900000000004</v>
      </c>
      <c r="K21" s="340">
        <f t="shared" si="14"/>
        <v>0</v>
      </c>
      <c r="L21" s="340">
        <f t="shared" si="14"/>
        <v>0</v>
      </c>
      <c r="M21" s="340">
        <f t="shared" ref="M21:V21" si="15">INDEX(Pub_Comps_Range,MATCH(M$5,Pub_Comps_Params,0),MATCH($C21,Pub_Comps_Tickers,0))</f>
        <v>3564.66372</v>
      </c>
      <c r="N21" s="340">
        <f t="shared" si="15"/>
        <v>203.9</v>
      </c>
      <c r="O21" s="340">
        <f t="shared" si="15"/>
        <v>314.70840000000004</v>
      </c>
      <c r="P21" s="340">
        <f t="shared" si="15"/>
        <v>398.995</v>
      </c>
      <c r="Q21" s="340">
        <f t="shared" si="15"/>
        <v>258.89999999999998</v>
      </c>
      <c r="R21" s="340">
        <f t="shared" si="15"/>
        <v>94.371403536781287</v>
      </c>
      <c r="S21" s="340">
        <f t="shared" si="15"/>
        <v>152.84191064587972</v>
      </c>
      <c r="T21" s="340">
        <f t="shared" si="15"/>
        <v>-65.400000000000006</v>
      </c>
      <c r="U21" s="340">
        <f t="shared" si="15"/>
        <v>40.074948225466358</v>
      </c>
      <c r="V21" s="340">
        <f t="shared" si="15"/>
        <v>84.909194821936865</v>
      </c>
      <c r="W21" s="343">
        <f t="shared" ref="W21:AA21" si="16">MIN(W10:W15)</f>
        <v>5.1878855860908679E-2</v>
      </c>
      <c r="X21" s="343">
        <f t="shared" si="16"/>
        <v>7.085916740478293E-2</v>
      </c>
      <c r="Y21" s="343">
        <f t="shared" si="16"/>
        <v>0.13118062563067609</v>
      </c>
      <c r="Z21" s="343">
        <f t="shared" si="16"/>
        <v>0.11836571199679552</v>
      </c>
      <c r="AA21" s="344">
        <f t="shared" si="16"/>
        <v>0.14413484692122464</v>
      </c>
      <c r="AE21" s="209"/>
    </row>
    <row r="22" spans="1:33" ht="16">
      <c r="B22" s="345"/>
      <c r="C22" s="345"/>
      <c r="D22" s="346"/>
      <c r="E22" s="347"/>
      <c r="F22" s="348"/>
      <c r="G22" s="349"/>
      <c r="H22" s="350"/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348"/>
      <c r="T22" s="348"/>
      <c r="U22" s="348"/>
      <c r="V22" s="348"/>
      <c r="W22" s="351"/>
      <c r="X22" s="351"/>
      <c r="Y22" s="351"/>
      <c r="Z22" s="351"/>
      <c r="AA22" s="351"/>
      <c r="AE22" s="209"/>
    </row>
    <row r="23" spans="1:33" ht="16">
      <c r="B23" s="291" t="s">
        <v>70</v>
      </c>
      <c r="C23" s="293" t="s">
        <v>73</v>
      </c>
      <c r="D23" s="294" t="s">
        <v>264</v>
      </c>
      <c r="F23" s="294" t="s">
        <v>278</v>
      </c>
      <c r="M23" s="294" t="s">
        <v>279</v>
      </c>
      <c r="N23" s="209" t="str">
        <f>PubComps_Data!C92</f>
        <v>LTM EV / Revenue:</v>
      </c>
      <c r="O23" s="209" t="str">
        <f>PubComps_Data!C96</f>
        <v>2025-12-31 EV / Revenue:</v>
      </c>
      <c r="P23" s="209" t="str">
        <f>PubComps_Data!C100</f>
        <v>2026-12-31 EV / Revenue:</v>
      </c>
      <c r="Q23" s="209" t="str">
        <f>PubComps_Data!C93</f>
        <v>LTM EV / EBITDA:</v>
      </c>
      <c r="R23" s="209" t="str">
        <f>PubComps_Data!C97</f>
        <v>2025-12-31 EV / EBITDA:</v>
      </c>
      <c r="S23" s="209" t="str">
        <f>PubComps_Data!C101</f>
        <v>2026-12-31 EV / EBITDA:</v>
      </c>
      <c r="T23" s="209" t="s">
        <v>327</v>
      </c>
      <c r="U23" s="209" t="s">
        <v>331</v>
      </c>
      <c r="V23" s="209" t="s">
        <v>332</v>
      </c>
      <c r="W23" s="25"/>
      <c r="X23" s="25"/>
      <c r="Y23" s="25"/>
      <c r="Z23" s="25"/>
      <c r="AA23" s="25"/>
      <c r="AE23" s="209"/>
    </row>
    <row r="24" spans="1:33" ht="16">
      <c r="B24" s="297" t="s">
        <v>328</v>
      </c>
      <c r="C24" s="297"/>
      <c r="D24" s="297"/>
      <c r="E24" s="297"/>
      <c r="F24" s="298" t="s">
        <v>309</v>
      </c>
      <c r="G24" s="298"/>
      <c r="H24" s="298"/>
      <c r="I24" s="298"/>
      <c r="J24" s="298"/>
      <c r="K24" s="298"/>
      <c r="L24" s="298"/>
      <c r="M24" s="299"/>
      <c r="N24" s="298" t="s">
        <v>329</v>
      </c>
      <c r="O24" s="299"/>
      <c r="P24" s="299"/>
      <c r="Q24" s="298" t="s">
        <v>329</v>
      </c>
      <c r="R24" s="299"/>
      <c r="S24" s="299"/>
      <c r="T24" s="300"/>
      <c r="U24" s="300"/>
      <c r="V24" s="300"/>
      <c r="W24" s="25"/>
      <c r="X24" s="25"/>
      <c r="Y24" s="25"/>
      <c r="Z24" s="25"/>
      <c r="AA24" s="25"/>
      <c r="AD24" s="209"/>
      <c r="AE24" s="209"/>
    </row>
    <row r="25" spans="1:33" ht="16">
      <c r="B25" s="300"/>
      <c r="C25" s="300"/>
      <c r="D25" s="301"/>
      <c r="E25" s="301"/>
      <c r="F25" s="301" t="s">
        <v>313</v>
      </c>
      <c r="G25" s="301"/>
      <c r="H25" s="301"/>
      <c r="I25" s="301"/>
      <c r="J25" s="301"/>
      <c r="K25" s="301"/>
      <c r="L25" s="301"/>
      <c r="M25" s="301" t="s">
        <v>297</v>
      </c>
      <c r="N25" s="298" t="s">
        <v>241</v>
      </c>
      <c r="O25" s="299"/>
      <c r="P25" s="299"/>
      <c r="Q25" s="298" t="s">
        <v>235</v>
      </c>
      <c r="R25" s="302"/>
      <c r="S25" s="302"/>
      <c r="T25" s="298" t="s">
        <v>330</v>
      </c>
      <c r="U25" s="298"/>
      <c r="V25" s="298"/>
      <c r="W25" s="352"/>
      <c r="X25" s="352"/>
      <c r="Y25" s="353"/>
      <c r="Z25" s="353"/>
      <c r="AA25" s="353"/>
      <c r="AB25" s="353"/>
      <c r="AC25" s="353"/>
      <c r="AE25" s="209"/>
      <c r="AF25" s="353"/>
      <c r="AG25" s="353"/>
    </row>
    <row r="26" spans="1:33" ht="16">
      <c r="B26" s="303" t="s">
        <v>316</v>
      </c>
      <c r="C26" s="303"/>
      <c r="D26" s="304"/>
      <c r="E26" s="304"/>
      <c r="F26" s="304" t="s">
        <v>299</v>
      </c>
      <c r="G26" s="304"/>
      <c r="H26" s="304"/>
      <c r="I26" s="304"/>
      <c r="J26" s="304"/>
      <c r="K26" s="304"/>
      <c r="L26" s="304"/>
      <c r="M26" s="304" t="s">
        <v>299</v>
      </c>
      <c r="N26" s="354" t="str">
        <f>$N$8</f>
        <v>LTM</v>
      </c>
      <c r="O26" s="355">
        <f>+$O$8</f>
        <v>46022</v>
      </c>
      <c r="P26" s="355">
        <f>+$P$8</f>
        <v>46387</v>
      </c>
      <c r="Q26" s="354" t="str">
        <f>$N$8</f>
        <v>LTM</v>
      </c>
      <c r="R26" s="355">
        <f>+$O$8</f>
        <v>46022</v>
      </c>
      <c r="S26" s="355">
        <f>+$P$8</f>
        <v>46387</v>
      </c>
      <c r="T26" s="354" t="str">
        <f>$N$8</f>
        <v>LTM</v>
      </c>
      <c r="U26" s="355">
        <f>+$O$8</f>
        <v>46022</v>
      </c>
      <c r="V26" s="355">
        <f>+$P$8</f>
        <v>46387</v>
      </c>
      <c r="W26" s="356"/>
      <c r="X26" s="356"/>
      <c r="Y26" s="353"/>
      <c r="Z26" s="353"/>
      <c r="AA26" s="353"/>
      <c r="AB26" s="353"/>
      <c r="AC26" s="353"/>
      <c r="AE26" s="209"/>
      <c r="AF26" s="353"/>
      <c r="AG26" s="353"/>
    </row>
    <row r="27" spans="1:33" ht="16">
      <c r="B27" s="291" t="str">
        <f t="shared" ref="B27:B32" si="17">INDEX(Pub_Comps_Range,MATCH(B$23,Pub_Comps_Params,0),MATCH($C27,Pub_Comps_Tickers,0))</f>
        <v>Lynas Rare Earths Ltd.</v>
      </c>
      <c r="C27" s="352" t="s">
        <v>290</v>
      </c>
      <c r="D27" s="314">
        <f t="shared" ref="D27:D32" si="18">INDEX(Pub_Comps_Range,MATCH(D$23,Pub_Comps_Params,0),MATCH($C27,Pub_Comps_Tickers,0))</f>
        <v>5.48</v>
      </c>
      <c r="E27" s="291"/>
      <c r="F27" s="307">
        <f t="shared" ref="F27:F32" si="19">INDEX(Pub_Comps_Range,MATCH(F$23,Pub_Comps_Params,0),MATCH($C27,Pub_Comps_Tickers,0))</f>
        <v>5122.1560000000009</v>
      </c>
      <c r="G27" s="307"/>
      <c r="H27" s="307"/>
      <c r="I27" s="307"/>
      <c r="J27" s="307"/>
      <c r="K27" s="307"/>
      <c r="L27" s="307"/>
      <c r="M27" s="307">
        <f t="shared" ref="M27:V32" si="20">INDEX(Pub_Comps_Range,MATCH(M$23,Pub_Comps_Params,0),MATCH($C27,Pub_Comps_Tickers,0))</f>
        <v>4896.1560000000009</v>
      </c>
      <c r="N27" s="374">
        <f t="shared" si="20"/>
        <v>10.140748104883809</v>
      </c>
      <c r="O27" s="374">
        <f t="shared" si="20"/>
        <v>13.197185983827495</v>
      </c>
      <c r="P27" s="374">
        <f t="shared" si="20"/>
        <v>7.5557962962962977</v>
      </c>
      <c r="Q27" s="374">
        <f t="shared" si="20"/>
        <v>51.065456821026295</v>
      </c>
      <c r="R27" s="374">
        <f t="shared" si="20"/>
        <v>52.646838709677425</v>
      </c>
      <c r="S27" s="374">
        <f t="shared" si="20"/>
        <v>17.739695652173918</v>
      </c>
      <c r="T27" s="374" t="str">
        <f t="shared" si="20"/>
        <v>NM</v>
      </c>
      <c r="U27" s="374" t="str">
        <f t="shared" si="20"/>
        <v>NM</v>
      </c>
      <c r="V27" s="374">
        <f t="shared" si="20"/>
        <v>31.618246913580251</v>
      </c>
      <c r="W27" s="25"/>
      <c r="X27" s="357"/>
      <c r="Y27" s="353"/>
      <c r="Z27" s="353"/>
      <c r="AA27" s="353"/>
      <c r="AB27" s="353"/>
      <c r="AC27" s="353"/>
      <c r="AE27" s="209"/>
      <c r="AF27" s="353"/>
      <c r="AG27" s="353"/>
    </row>
    <row r="28" spans="1:33" ht="16">
      <c r="B28" s="291" t="str">
        <f t="shared" si="17"/>
        <v>China Northern Rare Earth High-Tech Co, Ltd.</v>
      </c>
      <c r="C28" s="352">
        <v>600111</v>
      </c>
      <c r="D28" s="291">
        <f t="shared" si="18"/>
        <v>5.19</v>
      </c>
      <c r="E28" s="291"/>
      <c r="F28" s="307">
        <f t="shared" si="19"/>
        <v>18762.369000000002</v>
      </c>
      <c r="G28" s="307"/>
      <c r="H28" s="307"/>
      <c r="I28" s="307"/>
      <c r="J28" s="307"/>
      <c r="K28" s="307"/>
      <c r="L28" s="307"/>
      <c r="M28" s="307">
        <f t="shared" si="20"/>
        <v>18624.569000000003</v>
      </c>
      <c r="N28" s="374">
        <f t="shared" si="20"/>
        <v>4.1236729768626157</v>
      </c>
      <c r="O28" s="374">
        <f t="shared" si="20"/>
        <v>3.7301359903865419</v>
      </c>
      <c r="P28" s="374">
        <f t="shared" si="20"/>
        <v>3.2034002407980742</v>
      </c>
      <c r="Q28" s="374">
        <f t="shared" si="20"/>
        <v>18.908191878172591</v>
      </c>
      <c r="R28" s="374">
        <f t="shared" si="20"/>
        <v>31.513653130287654</v>
      </c>
      <c r="S28" s="374">
        <f t="shared" si="20"/>
        <v>22.225022673031031</v>
      </c>
      <c r="T28" s="374" t="str">
        <f t="shared" si="20"/>
        <v>NM</v>
      </c>
      <c r="U28" s="374">
        <f t="shared" si="20"/>
        <v>60.719640776699038</v>
      </c>
      <c r="V28" s="374">
        <f t="shared" si="20"/>
        <v>40.611188311688316</v>
      </c>
      <c r="W28" s="25"/>
      <c r="X28" s="357"/>
      <c r="Y28" s="357"/>
      <c r="Z28" s="25"/>
      <c r="AA28" s="25"/>
      <c r="AD28" s="209"/>
      <c r="AE28" s="209"/>
    </row>
    <row r="29" spans="1:33" ht="16">
      <c r="B29" s="291" t="str">
        <f t="shared" si="17"/>
        <v>Alkane Resources Ltd.</v>
      </c>
      <c r="C29" s="352" t="s">
        <v>473</v>
      </c>
      <c r="D29" s="291">
        <f t="shared" si="18"/>
        <v>0.51</v>
      </c>
      <c r="E29" s="291"/>
      <c r="F29" s="307">
        <f t="shared" si="19"/>
        <v>308.80500000000001</v>
      </c>
      <c r="G29" s="307"/>
      <c r="H29" s="307"/>
      <c r="I29" s="307"/>
      <c r="J29" s="307"/>
      <c r="K29" s="307"/>
      <c r="L29" s="307"/>
      <c r="M29" s="307">
        <f t="shared" si="20"/>
        <v>325.90500000000003</v>
      </c>
      <c r="N29" s="374">
        <f t="shared" si="20"/>
        <v>2.5650004952444925</v>
      </c>
      <c r="O29" s="374">
        <f t="shared" si="20"/>
        <v>1.928431952662722</v>
      </c>
      <c r="P29" s="374">
        <f t="shared" si="20"/>
        <v>1.5897804878048782</v>
      </c>
      <c r="Q29" s="374">
        <f t="shared" si="20"/>
        <v>7.8637438471190038</v>
      </c>
      <c r="R29" s="374">
        <f t="shared" si="20"/>
        <v>4.4644520547945206</v>
      </c>
      <c r="S29" s="374">
        <f t="shared" si="20"/>
        <v>2.6934297520661161</v>
      </c>
      <c r="T29" s="374">
        <f t="shared" si="20"/>
        <v>26.857478073198486</v>
      </c>
      <c r="U29" s="374">
        <f t="shared" si="20"/>
        <v>10.648448275862069</v>
      </c>
      <c r="V29" s="374">
        <f t="shared" si="20"/>
        <v>5.0623770491803279</v>
      </c>
      <c r="W29" s="25"/>
      <c r="X29" s="357"/>
      <c r="Y29" s="357"/>
      <c r="Z29" s="25"/>
      <c r="AA29" s="25"/>
      <c r="AE29" s="209"/>
    </row>
    <row r="30" spans="1:33" ht="16">
      <c r="B30" s="291" t="str">
        <f t="shared" si="17"/>
        <v>Materion Corporation</v>
      </c>
      <c r="C30" s="352" t="s">
        <v>293</v>
      </c>
      <c r="D30" s="291">
        <f t="shared" si="18"/>
        <v>82.38</v>
      </c>
      <c r="E30" s="291"/>
      <c r="F30" s="307">
        <f t="shared" si="19"/>
        <v>1718.465109</v>
      </c>
      <c r="G30" s="307"/>
      <c r="H30" s="307"/>
      <c r="I30" s="307"/>
      <c r="J30" s="307"/>
      <c r="K30" s="307"/>
      <c r="L30" s="307"/>
      <c r="M30" s="307">
        <f t="shared" si="20"/>
        <v>2223.8651089999998</v>
      </c>
      <c r="N30" s="374">
        <f t="shared" si="20"/>
        <v>1.3200362729269304</v>
      </c>
      <c r="O30" s="374">
        <f t="shared" si="20"/>
        <v>2.6163118929411762</v>
      </c>
      <c r="P30" s="374">
        <f t="shared" si="20"/>
        <v>2.4384485844298243</v>
      </c>
      <c r="Q30" s="374">
        <f t="shared" si="20"/>
        <v>10.062738049773754</v>
      </c>
      <c r="R30" s="374">
        <f t="shared" si="20"/>
        <v>9.7112013493449769</v>
      </c>
      <c r="S30" s="374">
        <f t="shared" si="20"/>
        <v>8.9311851767068262</v>
      </c>
      <c r="T30" s="374" t="str">
        <f t="shared" si="20"/>
        <v>NM</v>
      </c>
      <c r="U30" s="374">
        <f t="shared" si="20"/>
        <v>16.523702971153845</v>
      </c>
      <c r="V30" s="374">
        <f t="shared" si="20"/>
        <v>13.747720872</v>
      </c>
      <c r="W30" s="25"/>
      <c r="X30" s="357"/>
      <c r="Y30" s="357"/>
      <c r="Z30" s="25"/>
      <c r="AA30" s="25"/>
      <c r="AE30" s="209"/>
    </row>
    <row r="31" spans="1:33" ht="16">
      <c r="B31" s="291" t="str">
        <f t="shared" si="17"/>
        <v>AMETEK Inc.</v>
      </c>
      <c r="C31" s="352" t="s">
        <v>295</v>
      </c>
      <c r="D31" s="291">
        <f t="shared" si="18"/>
        <v>166.29</v>
      </c>
      <c r="E31" s="291"/>
      <c r="F31" s="307">
        <f t="shared" si="19"/>
        <v>38375.173104999994</v>
      </c>
      <c r="G31" s="307"/>
      <c r="H31" s="307"/>
      <c r="I31" s="307"/>
      <c r="J31" s="307"/>
      <c r="K31" s="307"/>
      <c r="L31" s="307"/>
      <c r="M31" s="307">
        <f t="shared" si="20"/>
        <v>40325.673104999994</v>
      </c>
      <c r="N31" s="374">
        <f t="shared" si="20"/>
        <v>5.8096111774621093</v>
      </c>
      <c r="O31" s="374">
        <f t="shared" si="20"/>
        <v>5.6541886013740879</v>
      </c>
      <c r="P31" s="374">
        <f t="shared" si="20"/>
        <v>5.3753229945347902</v>
      </c>
      <c r="Q31" s="374">
        <f t="shared" si="20"/>
        <v>21.059992221119696</v>
      </c>
      <c r="R31" s="374">
        <f t="shared" si="20"/>
        <v>17.859022632860935</v>
      </c>
      <c r="S31" s="374">
        <f t="shared" si="20"/>
        <v>16.677284162531016</v>
      </c>
      <c r="T31" s="374">
        <f t="shared" si="20"/>
        <v>27.88690727781411</v>
      </c>
      <c r="U31" s="374">
        <f t="shared" si="20"/>
        <v>26.465636624137929</v>
      </c>
      <c r="V31" s="374">
        <f t="shared" si="20"/>
        <v>23.969502251717675</v>
      </c>
      <c r="W31" s="25"/>
      <c r="X31" s="357"/>
      <c r="Y31" s="25"/>
      <c r="Z31" s="25"/>
      <c r="AA31" s="25"/>
      <c r="AE31" s="209"/>
    </row>
    <row r="32" spans="1:33" ht="16">
      <c r="B32" s="291" t="str">
        <f t="shared" si="17"/>
        <v>TDK Corporation</v>
      </c>
      <c r="C32" s="352">
        <v>6762</v>
      </c>
      <c r="D32" s="291">
        <f t="shared" si="18"/>
        <v>10.76</v>
      </c>
      <c r="E32" s="291"/>
      <c r="F32" s="307">
        <f t="shared" si="19"/>
        <v>24862.055999999997</v>
      </c>
      <c r="G32" s="307"/>
      <c r="H32" s="307"/>
      <c r="I32" s="307"/>
      <c r="J32" s="307"/>
      <c r="K32" s="307"/>
      <c r="L32" s="307"/>
      <c r="M32" s="307">
        <f t="shared" si="20"/>
        <v>22234.455999999998</v>
      </c>
      <c r="N32" s="374">
        <f t="shared" si="20"/>
        <v>1.5985086451705668</v>
      </c>
      <c r="O32" s="374">
        <f t="shared" si="20"/>
        <v>2.7860766274008562</v>
      </c>
      <c r="P32" s="374">
        <f t="shared" si="20"/>
        <v>2.5829921281706376</v>
      </c>
      <c r="Q32" s="374">
        <f t="shared" si="20"/>
        <v>9.0979401775850057</v>
      </c>
      <c r="R32" s="374">
        <f t="shared" si="20"/>
        <v>14.60973585422578</v>
      </c>
      <c r="S32" s="374">
        <f t="shared" si="20"/>
        <v>13.084254738805969</v>
      </c>
      <c r="T32" s="374">
        <f t="shared" si="20"/>
        <v>3.4641293019367421</v>
      </c>
      <c r="U32" s="374">
        <f t="shared" si="20"/>
        <v>34.981926257976291</v>
      </c>
      <c r="V32" s="374">
        <f t="shared" si="20"/>
        <v>30.823432212851401</v>
      </c>
      <c r="W32" s="25"/>
      <c r="X32" s="25"/>
      <c r="Y32" s="25"/>
      <c r="Z32" s="25"/>
      <c r="AA32" s="25"/>
      <c r="AD32" s="209"/>
      <c r="AE32" s="209"/>
    </row>
    <row r="33" spans="2:31" ht="16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E33" s="209"/>
    </row>
    <row r="34" spans="2:31" ht="16">
      <c r="B34" s="312" t="s">
        <v>301</v>
      </c>
      <c r="C34" s="313"/>
      <c r="D34" s="314"/>
      <c r="E34" s="314"/>
      <c r="F34" s="315">
        <f>MAX(F27:F32)</f>
        <v>38375.173104999994</v>
      </c>
      <c r="G34" s="315"/>
      <c r="H34" s="315"/>
      <c r="I34" s="315"/>
      <c r="J34" s="315"/>
      <c r="K34" s="315"/>
      <c r="L34" s="315"/>
      <c r="M34" s="315">
        <f t="shared" ref="M34:V34" si="21">MAX(M27:M32)</f>
        <v>40325.673104999994</v>
      </c>
      <c r="N34" s="358">
        <f t="shared" si="21"/>
        <v>10.140748104883809</v>
      </c>
      <c r="O34" s="358">
        <f t="shared" si="21"/>
        <v>13.197185983827495</v>
      </c>
      <c r="P34" s="358">
        <f t="shared" si="21"/>
        <v>7.5557962962962977</v>
      </c>
      <c r="Q34" s="358">
        <f t="shared" si="21"/>
        <v>51.065456821026295</v>
      </c>
      <c r="R34" s="358">
        <f t="shared" si="21"/>
        <v>52.646838709677425</v>
      </c>
      <c r="S34" s="358">
        <f t="shared" si="21"/>
        <v>22.225022673031031</v>
      </c>
      <c r="T34" s="358">
        <f t="shared" si="21"/>
        <v>27.88690727781411</v>
      </c>
      <c r="U34" s="358">
        <f t="shared" si="21"/>
        <v>60.719640776699038</v>
      </c>
      <c r="V34" s="359">
        <f t="shared" si="21"/>
        <v>40.611188311688316</v>
      </c>
      <c r="W34" s="25"/>
      <c r="X34" s="25"/>
      <c r="Y34" s="25"/>
      <c r="Z34" s="25"/>
      <c r="AA34" s="25"/>
      <c r="AE34" s="209"/>
    </row>
    <row r="35" spans="2:31" ht="16">
      <c r="B35" s="318" t="s">
        <v>302</v>
      </c>
      <c r="C35" s="25"/>
      <c r="D35" s="319"/>
      <c r="E35" s="319"/>
      <c r="F35" s="320">
        <f>QUARTILE(F27:F32,3)</f>
        <v>23337.134249999999</v>
      </c>
      <c r="G35" s="320"/>
      <c r="H35" s="320"/>
      <c r="I35" s="320"/>
      <c r="J35" s="320"/>
      <c r="K35" s="320"/>
      <c r="L35" s="320"/>
      <c r="M35" s="320">
        <f t="shared" ref="M35:V35" si="22">QUARTILE(M27:M32,3)</f>
        <v>21331.984250000001</v>
      </c>
      <c r="N35" s="70">
        <f t="shared" si="22"/>
        <v>5.3881266273122357</v>
      </c>
      <c r="O35" s="70">
        <f t="shared" si="22"/>
        <v>5.1731754486272017</v>
      </c>
      <c r="P35" s="70">
        <f t="shared" si="22"/>
        <v>4.8323423061006112</v>
      </c>
      <c r="Q35" s="70">
        <f t="shared" si="22"/>
        <v>20.522042135382918</v>
      </c>
      <c r="R35" s="70">
        <f t="shared" si="22"/>
        <v>28.099995505930973</v>
      </c>
      <c r="S35" s="70">
        <f t="shared" si="22"/>
        <v>17.474092779763193</v>
      </c>
      <c r="T35" s="70">
        <f t="shared" si="22"/>
        <v>27.372192675506298</v>
      </c>
      <c r="U35" s="70">
        <f t="shared" si="22"/>
        <v>34.981926257976291</v>
      </c>
      <c r="V35" s="360">
        <f t="shared" si="22"/>
        <v>31.419543238398038</v>
      </c>
      <c r="W35" s="25"/>
      <c r="X35" s="25"/>
      <c r="Y35" s="25"/>
      <c r="Z35" s="25"/>
      <c r="AA35" s="25"/>
      <c r="AE35" s="209"/>
    </row>
    <row r="36" spans="2:31" ht="16">
      <c r="B36" s="361" t="s">
        <v>303</v>
      </c>
      <c r="C36" s="362"/>
      <c r="D36" s="363"/>
      <c r="E36" s="363"/>
      <c r="F36" s="364">
        <f>MEDIAN(F27:F32)</f>
        <v>11942.262500000001</v>
      </c>
      <c r="G36" s="364"/>
      <c r="H36" s="364"/>
      <c r="I36" s="365"/>
      <c r="J36" s="365"/>
      <c r="K36" s="365"/>
      <c r="L36" s="365"/>
      <c r="M36" s="364">
        <f t="shared" ref="M36:V36" si="23">MEDIAN(M27:M32)</f>
        <v>11760.362500000003</v>
      </c>
      <c r="N36" s="366">
        <f t="shared" si="23"/>
        <v>3.3443367360535543</v>
      </c>
      <c r="O36" s="366">
        <f t="shared" si="23"/>
        <v>3.2581063088936988</v>
      </c>
      <c r="P36" s="366">
        <f t="shared" si="23"/>
        <v>2.8931961844843559</v>
      </c>
      <c r="Q36" s="366">
        <f t="shared" si="23"/>
        <v>14.485464963973172</v>
      </c>
      <c r="R36" s="366">
        <f t="shared" si="23"/>
        <v>16.234379243543358</v>
      </c>
      <c r="S36" s="366">
        <f t="shared" si="23"/>
        <v>14.880769450668492</v>
      </c>
      <c r="T36" s="366">
        <f t="shared" si="23"/>
        <v>26.857478073198486</v>
      </c>
      <c r="U36" s="366">
        <f t="shared" si="23"/>
        <v>26.465636624137929</v>
      </c>
      <c r="V36" s="367">
        <f t="shared" si="23"/>
        <v>27.396467232284536</v>
      </c>
      <c r="W36" s="25"/>
      <c r="X36" s="25"/>
      <c r="Y36" s="25"/>
      <c r="Z36" s="25"/>
      <c r="AA36" s="25"/>
      <c r="AD36" s="209"/>
      <c r="AE36" s="209"/>
    </row>
    <row r="37" spans="2:31" ht="16">
      <c r="B37" s="318" t="s">
        <v>304</v>
      </c>
      <c r="C37" s="102"/>
      <c r="D37" s="319"/>
      <c r="E37" s="319"/>
      <c r="F37" s="320">
        <f>QUARTILE(F27:F32,1)</f>
        <v>2569.3878317500003</v>
      </c>
      <c r="G37" s="320"/>
      <c r="H37" s="320"/>
      <c r="I37" s="320"/>
      <c r="J37" s="320"/>
      <c r="K37" s="320"/>
      <c r="L37" s="320"/>
      <c r="M37" s="320">
        <f t="shared" ref="M37:V37" si="24">QUARTILE(M27:M32,1)</f>
        <v>2891.93783175</v>
      </c>
      <c r="N37" s="70">
        <f t="shared" si="24"/>
        <v>1.8401316076890482</v>
      </c>
      <c r="O37" s="70">
        <f t="shared" si="24"/>
        <v>2.6587530765560961</v>
      </c>
      <c r="P37" s="70">
        <f t="shared" si="24"/>
        <v>2.4745844703650275</v>
      </c>
      <c r="Q37" s="70">
        <f t="shared" si="24"/>
        <v>9.3391396456321925</v>
      </c>
      <c r="R37" s="70">
        <f t="shared" si="24"/>
        <v>10.935834975565179</v>
      </c>
      <c r="S37" s="70">
        <f t="shared" si="24"/>
        <v>9.9694525672316114</v>
      </c>
      <c r="T37" s="70">
        <f t="shared" si="24"/>
        <v>15.160803687567613</v>
      </c>
      <c r="U37" s="70">
        <f t="shared" si="24"/>
        <v>16.523702971153845</v>
      </c>
      <c r="V37" s="360">
        <f t="shared" si="24"/>
        <v>16.303166216929419</v>
      </c>
      <c r="W37" s="25"/>
      <c r="X37" s="25"/>
      <c r="Y37" s="25"/>
      <c r="Z37" s="25"/>
      <c r="AA37" s="25"/>
      <c r="AE37" s="209"/>
    </row>
    <row r="38" spans="2:31" ht="16">
      <c r="B38" s="329" t="s">
        <v>305</v>
      </c>
      <c r="C38" s="330"/>
      <c r="D38" s="331"/>
      <c r="E38" s="331"/>
      <c r="F38" s="332">
        <f>MIN(F27:F32)</f>
        <v>308.80500000000001</v>
      </c>
      <c r="G38" s="332"/>
      <c r="H38" s="332"/>
      <c r="I38" s="332"/>
      <c r="J38" s="332"/>
      <c r="K38" s="332"/>
      <c r="L38" s="332"/>
      <c r="M38" s="332">
        <f t="shared" ref="M38:V38" si="25">MIN(M27:M32)</f>
        <v>325.90500000000003</v>
      </c>
      <c r="N38" s="368">
        <f t="shared" si="25"/>
        <v>1.3200362729269304</v>
      </c>
      <c r="O38" s="368">
        <f t="shared" si="25"/>
        <v>1.928431952662722</v>
      </c>
      <c r="P38" s="368">
        <f t="shared" si="25"/>
        <v>1.5897804878048782</v>
      </c>
      <c r="Q38" s="368">
        <f t="shared" si="25"/>
        <v>7.8637438471190038</v>
      </c>
      <c r="R38" s="368">
        <f t="shared" si="25"/>
        <v>4.4644520547945206</v>
      </c>
      <c r="S38" s="368">
        <f t="shared" si="25"/>
        <v>2.6934297520661161</v>
      </c>
      <c r="T38" s="368">
        <f t="shared" si="25"/>
        <v>3.4641293019367421</v>
      </c>
      <c r="U38" s="368">
        <f t="shared" si="25"/>
        <v>10.648448275862069</v>
      </c>
      <c r="V38" s="369">
        <f t="shared" si="25"/>
        <v>5.0623770491803279</v>
      </c>
      <c r="W38" s="25"/>
      <c r="X38" s="25"/>
      <c r="Y38" s="25"/>
      <c r="Z38" s="25"/>
      <c r="AA38" s="25"/>
      <c r="AE38" s="209"/>
    </row>
    <row r="39" spans="2:31" ht="16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E39" s="209"/>
    </row>
    <row r="40" spans="2:31" ht="16">
      <c r="B40" s="370" t="str">
        <f>INDEX(Pub_Comps_Range,MATCH(B$23,Pub_Comps_Params,0),MATCH($C40,Pub_Comps_Tickers,0))</f>
        <v>MP Materials Corp.</v>
      </c>
      <c r="C40" s="337" t="str">
        <f>Ticker</f>
        <v>MP</v>
      </c>
      <c r="D40" s="371"/>
      <c r="E40" s="371"/>
      <c r="F40" s="340">
        <f>INDEX(Pub_Comps_Range,MATCH(F$23,Pub_Comps_Params,0),MATCH($C40,Pub_Comps_Tickers,0))</f>
        <v>3515.90272</v>
      </c>
      <c r="G40" s="340"/>
      <c r="H40" s="340"/>
      <c r="I40" s="340"/>
      <c r="J40" s="340"/>
      <c r="K40" s="340"/>
      <c r="L40" s="340"/>
      <c r="M40" s="340">
        <f t="shared" ref="M40:V40" si="26">INDEX(Pub_Comps_Range,MATCH(M$23,Pub_Comps_Params,0),MATCH($C40,Pub_Comps_Tickers,0))</f>
        <v>3564.66372</v>
      </c>
      <c r="N40" s="372">
        <f t="shared" si="26"/>
        <v>17.482411574301128</v>
      </c>
      <c r="O40" s="372">
        <f t="shared" si="26"/>
        <v>11.326878214880821</v>
      </c>
      <c r="P40" s="372">
        <f t="shared" si="26"/>
        <v>8.9341062419328559</v>
      </c>
      <c r="Q40" s="372">
        <f t="shared" si="26"/>
        <v>13.768496407879491</v>
      </c>
      <c r="R40" s="372">
        <f t="shared" si="26"/>
        <v>37.772710656048162</v>
      </c>
      <c r="S40" s="372">
        <f t="shared" si="26"/>
        <v>23.322554035973742</v>
      </c>
      <c r="T40" s="372" t="str">
        <f t="shared" si="26"/>
        <v>NM</v>
      </c>
      <c r="U40" s="372">
        <f t="shared" si="26"/>
        <v>87.733181842659391</v>
      </c>
      <c r="V40" s="373">
        <f t="shared" si="26"/>
        <v>41.407797204686752</v>
      </c>
      <c r="W40" s="25"/>
      <c r="X40" s="25"/>
      <c r="Y40" s="25"/>
      <c r="Z40" s="25"/>
      <c r="AA40" s="2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74C42-EE2A-49A1-B120-0101FDFFBF6C}">
  <dimension ref="B3:AQ104"/>
  <sheetViews>
    <sheetView showGridLines="0" zoomScale="67" workbookViewId="0">
      <pane xSplit="4" ySplit="6" topLeftCell="E44" activePane="bottomRight" state="frozen"/>
      <selection pane="topRight" activeCell="E1" sqref="E1"/>
      <selection pane="bottomLeft" activeCell="A7" sqref="A7"/>
      <selection pane="bottomRight" activeCell="F68" sqref="F68"/>
    </sheetView>
  </sheetViews>
  <sheetFormatPr defaultRowHeight="14.5"/>
  <cols>
    <col min="3" max="3" width="24.81640625" customWidth="1"/>
    <col min="5" max="7" width="11.453125" bestFit="1" customWidth="1"/>
    <col min="8" max="8" width="12.7265625" bestFit="1" customWidth="1"/>
    <col min="9" max="11" width="13.7265625" bestFit="1" customWidth="1"/>
    <col min="12" max="12" width="11.453125" bestFit="1" customWidth="1"/>
    <col min="13" max="13" width="14.1796875" bestFit="1" customWidth="1"/>
    <col min="14" max="14" width="13.7265625" bestFit="1" customWidth="1"/>
    <col min="15" max="16" width="11.453125" bestFit="1" customWidth="1"/>
    <col min="17" max="17" width="13.453125" bestFit="1" customWidth="1"/>
    <col min="18" max="18" width="14.26953125" bestFit="1" customWidth="1"/>
    <col min="19" max="19" width="13.7265625" bestFit="1" customWidth="1"/>
    <col min="20" max="22" width="11.453125" bestFit="1" customWidth="1"/>
    <col min="23" max="23" width="18.453125" bestFit="1" customWidth="1"/>
    <col min="24" max="24" width="13.7265625" bestFit="1" customWidth="1"/>
    <col min="25" max="28" width="11.453125" bestFit="1" customWidth="1"/>
    <col min="30" max="33" width="11.453125" bestFit="1" customWidth="1"/>
    <col min="34" max="34" width="10.453125" bestFit="1" customWidth="1"/>
    <col min="35" max="35" width="12.6328125" customWidth="1"/>
    <col min="36" max="37" width="11" bestFit="1" customWidth="1"/>
    <col min="38" max="38" width="11.81640625" bestFit="1" customWidth="1"/>
    <col min="39" max="42" width="10.453125" customWidth="1"/>
  </cols>
  <sheetData>
    <row r="3" spans="2:43" ht="16">
      <c r="B3" s="203"/>
      <c r="C3" s="204" t="s">
        <v>73</v>
      </c>
      <c r="D3" s="205"/>
      <c r="E3" s="206"/>
      <c r="F3" s="206"/>
      <c r="G3" s="207"/>
      <c r="H3" s="208" t="str">
        <f>Ticker</f>
        <v>MP</v>
      </c>
      <c r="I3" s="209"/>
      <c r="J3" s="206"/>
      <c r="K3" s="206"/>
      <c r="L3" s="207"/>
      <c r="M3" s="208" t="s">
        <v>290</v>
      </c>
      <c r="N3" s="209"/>
      <c r="O3" s="206"/>
      <c r="P3" s="206"/>
      <c r="Q3" s="207"/>
      <c r="R3" s="208">
        <v>600111</v>
      </c>
      <c r="S3" s="209"/>
      <c r="T3" s="206"/>
      <c r="U3" s="206"/>
      <c r="V3" s="207"/>
      <c r="W3" s="208" t="s">
        <v>473</v>
      </c>
      <c r="X3" s="209"/>
      <c r="Y3" s="206"/>
      <c r="Z3" s="206"/>
      <c r="AA3" s="207"/>
      <c r="AB3" s="208" t="s">
        <v>293</v>
      </c>
      <c r="AC3" s="209"/>
      <c r="AD3" s="206"/>
      <c r="AE3" s="206"/>
      <c r="AF3" s="207"/>
      <c r="AG3" s="208" t="s">
        <v>295</v>
      </c>
      <c r="AH3" s="210"/>
      <c r="AI3" s="206"/>
      <c r="AJ3" s="206"/>
      <c r="AK3" s="207"/>
      <c r="AL3" s="208">
        <v>6762</v>
      </c>
      <c r="AM3" s="210"/>
      <c r="AN3" s="210"/>
      <c r="AO3" s="210"/>
      <c r="AP3" s="210"/>
      <c r="AQ3" t="s">
        <v>384</v>
      </c>
    </row>
    <row r="4" spans="2:43" ht="16">
      <c r="B4" s="203"/>
      <c r="C4" s="204" t="s">
        <v>70</v>
      </c>
      <c r="D4" s="205"/>
      <c r="E4" s="206"/>
      <c r="F4" s="206"/>
      <c r="G4" s="207"/>
      <c r="H4" s="211" t="str">
        <f>Company_Name</f>
        <v>MP Materials Corp.</v>
      </c>
      <c r="I4" s="209"/>
      <c r="J4" s="206"/>
      <c r="K4" s="206"/>
      <c r="L4" s="207"/>
      <c r="M4" s="211" t="s">
        <v>291</v>
      </c>
      <c r="N4" s="209"/>
      <c r="O4" s="206"/>
      <c r="P4" s="206"/>
      <c r="Q4" s="207"/>
      <c r="R4" s="211" t="s">
        <v>472</v>
      </c>
      <c r="S4" s="209"/>
      <c r="T4" s="206"/>
      <c r="U4" s="206"/>
      <c r="V4" s="207"/>
      <c r="W4" s="211" t="s">
        <v>474</v>
      </c>
      <c r="X4" s="209"/>
      <c r="Y4" s="206"/>
      <c r="Z4" s="206"/>
      <c r="AA4" s="207"/>
      <c r="AB4" s="211" t="s">
        <v>294</v>
      </c>
      <c r="AC4" s="209"/>
      <c r="AD4" s="206"/>
      <c r="AE4" s="206"/>
      <c r="AF4" s="207"/>
      <c r="AG4" s="211" t="s">
        <v>296</v>
      </c>
      <c r="AH4" s="212"/>
      <c r="AI4" s="206"/>
      <c r="AJ4" s="206"/>
      <c r="AK4" s="207"/>
      <c r="AL4" s="211" t="s">
        <v>476</v>
      </c>
      <c r="AM4" s="212"/>
      <c r="AN4" s="212"/>
      <c r="AO4" s="212"/>
      <c r="AP4" s="212"/>
      <c r="AQ4" t="s">
        <v>385</v>
      </c>
    </row>
    <row r="5" spans="2:43" ht="16">
      <c r="B5" s="203"/>
      <c r="C5" s="205"/>
      <c r="D5" s="205"/>
      <c r="E5" s="213" t="s">
        <v>242</v>
      </c>
      <c r="F5" s="214"/>
      <c r="G5" s="214"/>
      <c r="H5" s="214"/>
      <c r="I5" s="209"/>
      <c r="J5" s="213" t="s">
        <v>242</v>
      </c>
      <c r="K5" s="214"/>
      <c r="L5" s="214"/>
      <c r="M5" s="214"/>
      <c r="N5" s="209"/>
      <c r="O5" s="213" t="s">
        <v>242</v>
      </c>
      <c r="P5" s="214"/>
      <c r="Q5" s="214"/>
      <c r="R5" s="214"/>
      <c r="S5" s="209"/>
      <c r="T5" s="213" t="s">
        <v>242</v>
      </c>
      <c r="U5" s="214"/>
      <c r="V5" s="214"/>
      <c r="W5" s="214"/>
      <c r="X5" s="209"/>
      <c r="Y5" s="213" t="s">
        <v>242</v>
      </c>
      <c r="Z5" s="214"/>
      <c r="AA5" s="214"/>
      <c r="AB5" s="214"/>
      <c r="AC5" s="209"/>
      <c r="AD5" s="694" t="s">
        <v>242</v>
      </c>
      <c r="AE5" s="695"/>
      <c r="AF5" s="695"/>
      <c r="AG5" s="695"/>
      <c r="AH5" s="215"/>
      <c r="AI5" s="694" t="s">
        <v>242</v>
      </c>
      <c r="AJ5" s="695"/>
      <c r="AK5" s="695"/>
      <c r="AL5" s="695"/>
      <c r="AM5" s="215"/>
      <c r="AN5" s="215"/>
      <c r="AO5" s="215"/>
      <c r="AP5" s="215"/>
      <c r="AQ5" t="s">
        <v>386</v>
      </c>
    </row>
    <row r="6" spans="2:43" ht="16">
      <c r="B6" s="203"/>
      <c r="C6" s="205"/>
      <c r="D6" s="205"/>
      <c r="E6" s="216" t="s">
        <v>243</v>
      </c>
      <c r="F6" s="216" t="s">
        <v>243</v>
      </c>
      <c r="G6" s="216">
        <f>Hist_Year</f>
        <v>45657</v>
      </c>
      <c r="H6" s="216">
        <f>Hist_Year</f>
        <v>45657</v>
      </c>
      <c r="I6" s="209"/>
      <c r="J6" s="216">
        <v>45193</v>
      </c>
      <c r="K6" s="216">
        <v>45656</v>
      </c>
      <c r="L6" s="216">
        <v>45473</v>
      </c>
      <c r="M6" s="216">
        <f>+K6</f>
        <v>45656</v>
      </c>
      <c r="N6" s="209"/>
      <c r="O6" s="216"/>
      <c r="P6" s="216"/>
      <c r="Q6" s="216">
        <f>Hist_Year</f>
        <v>45657</v>
      </c>
      <c r="R6" s="216">
        <f>Hist_Year</f>
        <v>45657</v>
      </c>
      <c r="S6" s="209"/>
      <c r="T6" s="216">
        <v>45291</v>
      </c>
      <c r="U6" s="216">
        <v>45657</v>
      </c>
      <c r="V6" s="216" t="s">
        <v>475</v>
      </c>
      <c r="W6" s="216">
        <f>Hist_Year</f>
        <v>45657</v>
      </c>
      <c r="X6" s="209"/>
      <c r="Y6" s="216" t="s">
        <v>243</v>
      </c>
      <c r="Z6" s="216" t="s">
        <v>243</v>
      </c>
      <c r="AA6" s="216" t="s">
        <v>292</v>
      </c>
      <c r="AB6" s="216">
        <v>45564</v>
      </c>
      <c r="AC6" s="209"/>
      <c r="AD6" s="216" t="s">
        <v>243</v>
      </c>
      <c r="AE6" s="216" t="s">
        <v>243</v>
      </c>
      <c r="AF6" s="216">
        <v>45610</v>
      </c>
      <c r="AG6" s="216">
        <v>45610</v>
      </c>
      <c r="AH6" s="217"/>
      <c r="AI6" s="216" t="s">
        <v>243</v>
      </c>
      <c r="AJ6" s="216" t="s">
        <v>243</v>
      </c>
      <c r="AK6" s="216">
        <v>45610</v>
      </c>
      <c r="AL6" s="216">
        <v>45610</v>
      </c>
      <c r="AM6" s="217"/>
      <c r="AN6" s="217"/>
      <c r="AO6" s="217"/>
      <c r="AP6" s="217"/>
    </row>
    <row r="7" spans="2:43" ht="16">
      <c r="B7" s="203"/>
      <c r="C7" s="205"/>
      <c r="D7" s="205"/>
      <c r="E7" s="218" t="s">
        <v>244</v>
      </c>
      <c r="F7" s="218" t="s">
        <v>245</v>
      </c>
      <c r="G7" s="218" t="s">
        <v>246</v>
      </c>
      <c r="H7" s="218" t="s">
        <v>247</v>
      </c>
      <c r="I7" s="209"/>
      <c r="J7" s="219" t="s">
        <v>244</v>
      </c>
      <c r="K7" s="219" t="s">
        <v>245</v>
      </c>
      <c r="L7" s="219" t="s">
        <v>246</v>
      </c>
      <c r="M7" s="219" t="s">
        <v>247</v>
      </c>
      <c r="N7" s="209"/>
      <c r="O7" s="219" t="s">
        <v>244</v>
      </c>
      <c r="P7" s="219" t="s">
        <v>245</v>
      </c>
      <c r="Q7" s="219" t="s">
        <v>246</v>
      </c>
      <c r="R7" s="219" t="s">
        <v>247</v>
      </c>
      <c r="S7" s="209"/>
      <c r="T7" s="219" t="s">
        <v>244</v>
      </c>
      <c r="U7" s="219" t="s">
        <v>245</v>
      </c>
      <c r="V7" s="219" t="s">
        <v>246</v>
      </c>
      <c r="W7" s="219" t="s">
        <v>247</v>
      </c>
      <c r="X7" s="209"/>
      <c r="Y7" s="219" t="s">
        <v>244</v>
      </c>
      <c r="Z7" s="219" t="s">
        <v>245</v>
      </c>
      <c r="AA7" s="219" t="s">
        <v>246</v>
      </c>
      <c r="AB7" s="219" t="s">
        <v>247</v>
      </c>
      <c r="AC7" s="209"/>
      <c r="AD7" s="219" t="s">
        <v>244</v>
      </c>
      <c r="AE7" s="219" t="s">
        <v>245</v>
      </c>
      <c r="AF7" s="219" t="s">
        <v>246</v>
      </c>
      <c r="AG7" s="219" t="s">
        <v>247</v>
      </c>
      <c r="AH7" s="219"/>
      <c r="AI7" s="219" t="s">
        <v>244</v>
      </c>
      <c r="AJ7" s="219" t="s">
        <v>245</v>
      </c>
      <c r="AK7" s="219" t="s">
        <v>246</v>
      </c>
      <c r="AL7" s="219" t="s">
        <v>247</v>
      </c>
      <c r="AM7" s="219"/>
      <c r="AN7" s="219"/>
      <c r="AO7" s="219"/>
      <c r="AP7" s="219"/>
    </row>
    <row r="8" spans="2:43" ht="16">
      <c r="B8" s="203"/>
      <c r="C8" s="204" t="s">
        <v>248</v>
      </c>
      <c r="D8" s="205"/>
      <c r="E8" s="220"/>
      <c r="F8" s="220"/>
      <c r="G8" s="246">
        <v>203.9</v>
      </c>
      <c r="H8" s="251">
        <f>G8+F8-E8</f>
        <v>203.9</v>
      </c>
      <c r="I8" s="209"/>
      <c r="J8" s="220">
        <v>234.78</v>
      </c>
      <c r="K8" s="220">
        <v>254.31</v>
      </c>
      <c r="L8" s="220">
        <v>463.29</v>
      </c>
      <c r="M8" s="251">
        <f>L8+K8-J8</f>
        <v>482.82000000000005</v>
      </c>
      <c r="N8" s="209"/>
      <c r="O8" s="220"/>
      <c r="P8" s="220"/>
      <c r="Q8" s="220">
        <v>4516.5</v>
      </c>
      <c r="R8" s="221">
        <f t="shared" ref="R8:R13" si="0">+Q8+P8-O8</f>
        <v>4516.5</v>
      </c>
      <c r="S8" s="209"/>
      <c r="T8" s="220">
        <f>89.06*0.6185</f>
        <v>55.083610000000007</v>
      </c>
      <c r="U8" s="220">
        <f>121.5*0.6185</f>
        <v>75.147750000000002</v>
      </c>
      <c r="V8" s="220">
        <f>172.99*0.6185</f>
        <v>106.99431500000001</v>
      </c>
      <c r="W8" s="221">
        <f t="shared" ref="W8:W13" si="1">+V8+U8-T8</f>
        <v>127.058455</v>
      </c>
      <c r="X8" s="209"/>
      <c r="Y8" s="220"/>
      <c r="Z8" s="220"/>
      <c r="AA8" s="220">
        <v>1684.7</v>
      </c>
      <c r="AB8" s="221">
        <f t="shared" ref="AB8" si="2">+AA8+Z8-Y8</f>
        <v>1684.7</v>
      </c>
      <c r="AC8" s="209"/>
      <c r="AD8" s="220"/>
      <c r="AE8" s="220"/>
      <c r="AF8" s="220">
        <v>6941.2</v>
      </c>
      <c r="AG8" s="221">
        <f t="shared" ref="AG8" si="3">+AF8+AE8-AD8</f>
        <v>6941.2</v>
      </c>
      <c r="AH8" s="221"/>
      <c r="AI8" s="220"/>
      <c r="AJ8" s="220"/>
      <c r="AK8" s="220">
        <v>13909.5</v>
      </c>
      <c r="AL8" s="221">
        <f t="shared" ref="AL8" si="4">+AK8+AJ8-AI8</f>
        <v>13909.5</v>
      </c>
      <c r="AM8" s="221"/>
      <c r="AN8" s="221"/>
      <c r="AO8" s="221"/>
      <c r="AP8" s="221"/>
    </row>
    <row r="9" spans="2:43" ht="16">
      <c r="B9" s="203"/>
      <c r="C9" s="222" t="s">
        <v>249</v>
      </c>
      <c r="D9" s="223"/>
      <c r="E9" s="220"/>
      <c r="F9" s="220"/>
      <c r="G9" s="246">
        <v>-65.400000000000006</v>
      </c>
      <c r="H9" s="221">
        <f>G9+F9-E9</f>
        <v>-65.400000000000006</v>
      </c>
      <c r="I9" s="209"/>
      <c r="J9" s="220">
        <v>39.54</v>
      </c>
      <c r="K9" s="220">
        <v>5.85</v>
      </c>
      <c r="L9" s="220">
        <v>84.51</v>
      </c>
      <c r="M9" s="221">
        <f>L9+K9-J9</f>
        <v>50.82</v>
      </c>
      <c r="N9" s="209"/>
      <c r="O9" s="220"/>
      <c r="P9" s="220"/>
      <c r="Q9" s="220">
        <v>137.6</v>
      </c>
      <c r="R9" s="224">
        <f>+Q9+P9-O9</f>
        <v>137.6</v>
      </c>
      <c r="S9" s="209"/>
      <c r="T9" s="220">
        <f>12.43*0.6185</f>
        <v>7.6879550000000005</v>
      </c>
      <c r="U9" s="220">
        <f>13.16*0.6185</f>
        <v>8.1394600000000015</v>
      </c>
      <c r="V9" s="220">
        <f>17.86*0.6185</f>
        <v>11.04641</v>
      </c>
      <c r="W9" s="224">
        <f>+V9+U9-T9</f>
        <v>11.497915000000001</v>
      </c>
      <c r="X9" s="209"/>
      <c r="Y9" s="220"/>
      <c r="Z9" s="220"/>
      <c r="AA9" s="220">
        <v>6</v>
      </c>
      <c r="AB9" s="224">
        <f>+AA9+Z9-Y9</f>
        <v>6</v>
      </c>
      <c r="AC9" s="209"/>
      <c r="AD9" s="220"/>
      <c r="AE9" s="220"/>
      <c r="AF9" s="220">
        <v>1376.1</v>
      </c>
      <c r="AG9" s="224">
        <f>+AF9+AE9-AD9</f>
        <v>1376.1</v>
      </c>
      <c r="AH9" s="224"/>
      <c r="AI9" s="220"/>
      <c r="AJ9" s="220"/>
      <c r="AK9" s="220">
        <v>824.3</v>
      </c>
      <c r="AL9" s="224">
        <v>7177</v>
      </c>
      <c r="AM9" s="224"/>
      <c r="AN9" s="224"/>
      <c r="AO9" s="224"/>
      <c r="AP9" s="224"/>
    </row>
    <row r="10" spans="2:43" ht="16">
      <c r="B10" s="203"/>
      <c r="C10" s="205"/>
      <c r="D10" s="205"/>
      <c r="E10" s="226"/>
      <c r="F10" s="226"/>
      <c r="G10" s="290"/>
      <c r="H10" s="288"/>
      <c r="I10" s="209"/>
      <c r="J10" s="227"/>
      <c r="K10" s="227"/>
      <c r="L10" s="227"/>
      <c r="M10" s="288"/>
      <c r="N10" s="209"/>
      <c r="O10" s="227"/>
      <c r="P10" s="227"/>
      <c r="Q10" s="227"/>
      <c r="R10" s="227"/>
      <c r="S10" s="209"/>
      <c r="T10" s="227"/>
      <c r="U10" s="227"/>
      <c r="V10" s="227"/>
      <c r="W10" s="227"/>
      <c r="X10" s="209"/>
      <c r="Y10" s="227"/>
      <c r="Z10" s="227"/>
      <c r="AA10" s="227"/>
      <c r="AB10" s="227"/>
      <c r="AC10" s="209"/>
      <c r="AD10" s="227"/>
      <c r="AE10" s="227"/>
      <c r="AF10" s="220"/>
      <c r="AG10" s="227"/>
      <c r="AH10" s="227"/>
      <c r="AI10" s="227"/>
      <c r="AJ10" s="227"/>
      <c r="AK10" s="220"/>
      <c r="AL10" s="227"/>
      <c r="AM10" s="227"/>
      <c r="AN10" s="227"/>
      <c r="AO10" s="227"/>
      <c r="AP10" s="227"/>
    </row>
    <row r="11" spans="2:43" ht="16">
      <c r="B11" s="203"/>
      <c r="C11" s="204" t="s">
        <v>250</v>
      </c>
      <c r="D11" s="205"/>
      <c r="E11" s="220"/>
      <c r="F11" s="220"/>
      <c r="G11" s="246">
        <v>-162.30000000000001</v>
      </c>
      <c r="H11" s="221">
        <f t="shared" ref="H11:H13" si="5">G11+F11-E11</f>
        <v>-162.30000000000001</v>
      </c>
      <c r="I11" s="209"/>
      <c r="J11" s="220">
        <v>31.96</v>
      </c>
      <c r="K11" s="220">
        <v>13.24</v>
      </c>
      <c r="L11" s="220">
        <v>103</v>
      </c>
      <c r="M11" s="221">
        <f>L11+K11-J11</f>
        <v>84.28</v>
      </c>
      <c r="N11" s="209"/>
      <c r="O11" s="220"/>
      <c r="P11" s="220"/>
      <c r="Q11" s="220">
        <v>256.2</v>
      </c>
      <c r="R11" s="224">
        <f t="shared" si="0"/>
        <v>256.2</v>
      </c>
      <c r="S11" s="209"/>
      <c r="T11" s="220">
        <f>15.68*0.6185</f>
        <v>9.6980800000000009</v>
      </c>
      <c r="U11" s="220">
        <f>16.04*0.6185</f>
        <v>9.9207400000000003</v>
      </c>
      <c r="V11" s="220">
        <f>23.64*0.6185</f>
        <v>14.621340000000002</v>
      </c>
      <c r="W11" s="224">
        <f t="shared" si="1"/>
        <v>14.844000000000001</v>
      </c>
      <c r="X11" s="209"/>
      <c r="Y11" s="220"/>
      <c r="Z11" s="220"/>
      <c r="AA11" s="220">
        <v>152</v>
      </c>
      <c r="AB11" s="224">
        <f t="shared" ref="AB11:AB13" si="6">+AA11+Z11-Y11</f>
        <v>152</v>
      </c>
      <c r="AC11" s="209"/>
      <c r="AD11" s="220"/>
      <c r="AE11" s="220"/>
      <c r="AF11" s="220">
        <v>1779.6</v>
      </c>
      <c r="AG11" s="224">
        <f t="shared" ref="AG11:AG13" si="7">+AF11+AE11-AD11</f>
        <v>1779.6</v>
      </c>
      <c r="AH11" s="224"/>
      <c r="AI11" s="220"/>
      <c r="AJ11" s="220"/>
      <c r="AK11" s="220">
        <v>1111.4000000000001</v>
      </c>
      <c r="AL11" s="224">
        <f t="shared" ref="AL11:AL13" si="8">+AK11+AJ11-AI11</f>
        <v>1111.4000000000001</v>
      </c>
      <c r="AM11" s="224"/>
      <c r="AN11" s="224"/>
      <c r="AO11" s="224"/>
      <c r="AP11" s="224"/>
    </row>
    <row r="12" spans="2:43" ht="16">
      <c r="B12" s="203"/>
      <c r="C12" s="228" t="s">
        <v>251</v>
      </c>
      <c r="D12" s="223"/>
      <c r="E12" s="220"/>
      <c r="F12" s="220"/>
      <c r="G12" s="246">
        <v>61.5</v>
      </c>
      <c r="H12" s="221">
        <f t="shared" si="5"/>
        <v>61.5</v>
      </c>
      <c r="I12" s="209"/>
      <c r="J12" s="220">
        <v>0</v>
      </c>
      <c r="K12" s="220">
        <v>0</v>
      </c>
      <c r="L12" s="220">
        <v>0</v>
      </c>
      <c r="M12" s="221"/>
      <c r="N12" s="209"/>
      <c r="O12" s="220"/>
      <c r="P12" s="220"/>
      <c r="Q12" s="220">
        <f>251.7-220.4</f>
        <v>31.299999999999983</v>
      </c>
      <c r="R12" s="224">
        <f t="shared" si="0"/>
        <v>31.299999999999983</v>
      </c>
      <c r="S12" s="209"/>
      <c r="T12" s="220"/>
      <c r="U12" s="220"/>
      <c r="V12" s="220">
        <v>0</v>
      </c>
      <c r="W12" s="224">
        <f t="shared" si="1"/>
        <v>0</v>
      </c>
      <c r="X12" s="209"/>
      <c r="Y12" s="220"/>
      <c r="Z12" s="220"/>
      <c r="AA12" s="220">
        <v>0</v>
      </c>
      <c r="AB12" s="224">
        <f t="shared" si="6"/>
        <v>0</v>
      </c>
      <c r="AC12" s="209"/>
      <c r="AD12" s="220"/>
      <c r="AE12" s="220"/>
      <c r="AF12" s="220">
        <v>0</v>
      </c>
      <c r="AG12" s="224">
        <f t="shared" si="7"/>
        <v>0</v>
      </c>
      <c r="AH12" s="224"/>
      <c r="AI12" s="220"/>
      <c r="AJ12" s="220"/>
      <c r="AK12" s="220">
        <v>73.5</v>
      </c>
      <c r="AL12" s="224">
        <f t="shared" si="8"/>
        <v>73.5</v>
      </c>
      <c r="AM12" s="224"/>
      <c r="AN12" s="224"/>
      <c r="AO12" s="224"/>
      <c r="AP12" s="224"/>
    </row>
    <row r="13" spans="2:43" ht="16">
      <c r="B13" s="203"/>
      <c r="C13" s="228" t="s">
        <v>252</v>
      </c>
      <c r="D13" s="223"/>
      <c r="E13" s="220"/>
      <c r="F13" s="220"/>
      <c r="G13" s="246">
        <v>359.7</v>
      </c>
      <c r="H13" s="289">
        <f t="shared" si="5"/>
        <v>359.7</v>
      </c>
      <c r="I13" s="37"/>
      <c r="J13" s="220">
        <v>0</v>
      </c>
      <c r="K13" s="220">
        <v>0</v>
      </c>
      <c r="L13" s="220">
        <v>11.6</v>
      </c>
      <c r="M13" s="289">
        <f>L13+K13-J13</f>
        <v>11.6</v>
      </c>
      <c r="N13" s="209"/>
      <c r="O13" s="220"/>
      <c r="P13" s="220"/>
      <c r="Q13" s="220">
        <v>697.5</v>
      </c>
      <c r="R13" s="229">
        <f t="shared" si="0"/>
        <v>697.5</v>
      </c>
      <c r="S13" s="209"/>
      <c r="T13" s="220"/>
      <c r="U13" s="220"/>
      <c r="V13" s="220">
        <v>26.6</v>
      </c>
      <c r="W13" s="229">
        <f t="shared" si="1"/>
        <v>26.6</v>
      </c>
      <c r="X13" s="209"/>
      <c r="Y13" s="220"/>
      <c r="Z13" s="220"/>
      <c r="AA13" s="220">
        <v>69</v>
      </c>
      <c r="AB13" s="229">
        <f t="shared" si="6"/>
        <v>69</v>
      </c>
      <c r="AC13" s="209"/>
      <c r="AD13" s="220"/>
      <c r="AE13" s="220"/>
      <c r="AF13" s="220">
        <v>135.19999999999999</v>
      </c>
      <c r="AG13" s="229">
        <f t="shared" si="7"/>
        <v>135.19999999999999</v>
      </c>
      <c r="AH13" s="224"/>
      <c r="AI13" s="220"/>
      <c r="AJ13" s="220"/>
      <c r="AK13" s="220">
        <v>1259</v>
      </c>
      <c r="AL13" s="229">
        <f t="shared" si="8"/>
        <v>1259</v>
      </c>
      <c r="AM13" s="224"/>
      <c r="AN13" s="224"/>
      <c r="AO13" s="224"/>
      <c r="AP13" s="224"/>
    </row>
    <row r="14" spans="2:43" ht="16">
      <c r="B14" s="203"/>
      <c r="C14" s="230" t="s">
        <v>253</v>
      </c>
      <c r="D14" s="231"/>
      <c r="E14" s="232"/>
      <c r="F14" s="232"/>
      <c r="G14" s="232"/>
      <c r="H14" s="233">
        <f>SUM(H11:H13)</f>
        <v>258.89999999999998</v>
      </c>
      <c r="I14" s="37"/>
      <c r="J14" s="232"/>
      <c r="K14" s="232"/>
      <c r="L14" s="232"/>
      <c r="M14" s="233">
        <f>SUM(M11:M13)</f>
        <v>95.88</v>
      </c>
      <c r="N14" s="209"/>
      <c r="O14" s="232"/>
      <c r="P14" s="232"/>
      <c r="Q14" s="232"/>
      <c r="R14" s="233">
        <f>SUM(R11:R13)</f>
        <v>985</v>
      </c>
      <c r="S14" s="209"/>
      <c r="T14" s="232"/>
      <c r="U14" s="232"/>
      <c r="V14" s="232"/>
      <c r="W14" s="233">
        <f>SUM(W11:W13)</f>
        <v>41.444000000000003</v>
      </c>
      <c r="X14" s="209"/>
      <c r="Y14" s="232"/>
      <c r="Z14" s="232"/>
      <c r="AA14" s="232"/>
      <c r="AB14" s="233">
        <f>SUM(AB11:AB13)</f>
        <v>221</v>
      </c>
      <c r="AC14" s="209"/>
      <c r="AD14" s="232"/>
      <c r="AE14" s="232"/>
      <c r="AF14" s="232"/>
      <c r="AG14" s="233">
        <f>SUM(AG11:AG13)</f>
        <v>1914.8</v>
      </c>
      <c r="AH14" s="233"/>
      <c r="AI14" s="232"/>
      <c r="AJ14" s="232"/>
      <c r="AK14" s="232"/>
      <c r="AL14" s="233">
        <f>SUM(AL11:AL13)</f>
        <v>2443.9</v>
      </c>
      <c r="AM14" s="233"/>
      <c r="AN14" s="233"/>
      <c r="AO14" s="233"/>
      <c r="AP14" s="233"/>
    </row>
    <row r="15" spans="2:43" ht="16">
      <c r="B15" s="203"/>
      <c r="C15" s="234"/>
      <c r="D15" s="223"/>
      <c r="E15" s="235"/>
      <c r="F15" s="235"/>
      <c r="G15" s="235"/>
      <c r="H15" s="235"/>
      <c r="I15" s="209"/>
      <c r="J15" s="235"/>
      <c r="K15" s="235"/>
      <c r="L15" s="235"/>
      <c r="M15" s="235"/>
      <c r="N15" s="209"/>
      <c r="O15" s="235"/>
      <c r="P15" s="235"/>
      <c r="Q15" s="235"/>
      <c r="R15" s="235"/>
      <c r="S15" s="209"/>
      <c r="T15" s="235"/>
      <c r="U15" s="235"/>
      <c r="V15" s="235"/>
      <c r="W15" s="235"/>
      <c r="X15" s="209"/>
      <c r="Y15" s="235"/>
      <c r="Z15" s="235"/>
      <c r="AA15" s="235"/>
      <c r="AB15" s="235"/>
      <c r="AC15" s="209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</row>
    <row r="16" spans="2:43" ht="16">
      <c r="B16" s="203"/>
      <c r="C16" s="204" t="s">
        <v>81</v>
      </c>
      <c r="D16" s="205"/>
      <c r="E16" s="236"/>
      <c r="F16" s="236"/>
      <c r="G16" s="236"/>
      <c r="H16" s="237">
        <f>Tax_Rate</f>
        <v>0.15495232496007769</v>
      </c>
      <c r="I16" s="209"/>
      <c r="J16" s="236"/>
      <c r="K16" s="236"/>
      <c r="L16" s="236"/>
      <c r="M16" s="237">
        <v>0.184</v>
      </c>
      <c r="N16" s="238"/>
      <c r="O16" s="236"/>
      <c r="P16" s="236"/>
      <c r="Q16" s="236"/>
      <c r="R16" s="237">
        <v>0.13500000000000001</v>
      </c>
      <c r="S16" s="209"/>
      <c r="T16" s="236"/>
      <c r="U16" s="236"/>
      <c r="V16" s="236"/>
      <c r="W16" s="237">
        <v>0.247</v>
      </c>
      <c r="X16" s="209"/>
      <c r="Y16" s="236"/>
      <c r="Z16" s="236"/>
      <c r="AA16" s="236"/>
      <c r="AB16" s="237">
        <v>0.60499999999999998</v>
      </c>
      <c r="AC16" s="209"/>
      <c r="AD16" s="236"/>
      <c r="AE16" s="236"/>
      <c r="AF16" s="236"/>
      <c r="AG16" s="237">
        <v>0.17199999999999999</v>
      </c>
      <c r="AH16" s="237"/>
      <c r="AI16" s="236"/>
      <c r="AJ16" s="236"/>
      <c r="AK16" s="236"/>
      <c r="AL16" s="237">
        <v>0.29599999999999999</v>
      </c>
      <c r="AM16" s="237"/>
      <c r="AN16" s="237"/>
      <c r="AO16" s="237"/>
      <c r="AP16" s="237"/>
    </row>
    <row r="17" spans="2:42" ht="16">
      <c r="B17" s="203"/>
      <c r="C17" s="205"/>
      <c r="D17" s="205"/>
      <c r="E17" s="205"/>
      <c r="F17" s="205"/>
      <c r="G17" s="239"/>
      <c r="H17" s="236"/>
      <c r="I17" s="209"/>
      <c r="J17" s="205"/>
      <c r="K17" s="205"/>
      <c r="L17" s="239"/>
      <c r="M17" s="236"/>
      <c r="N17" s="209"/>
      <c r="O17" s="205"/>
      <c r="P17" s="205"/>
      <c r="Q17" s="239"/>
      <c r="R17" s="236"/>
      <c r="S17" s="209"/>
      <c r="T17" s="205"/>
      <c r="U17" s="205"/>
      <c r="V17" s="239"/>
      <c r="W17" s="236"/>
      <c r="X17" s="209"/>
      <c r="Y17" s="205"/>
      <c r="Z17" s="205"/>
      <c r="AA17" s="239"/>
      <c r="AB17" s="236"/>
      <c r="AC17" s="209"/>
      <c r="AD17" s="205"/>
      <c r="AE17" s="205"/>
      <c r="AF17" s="239"/>
      <c r="AG17" s="236"/>
      <c r="AH17" s="236"/>
      <c r="AI17" s="205"/>
      <c r="AJ17" s="205"/>
      <c r="AK17" s="239"/>
      <c r="AL17" s="236"/>
      <c r="AM17" s="236"/>
      <c r="AN17" s="236"/>
      <c r="AO17" s="236"/>
      <c r="AP17" s="236"/>
    </row>
    <row r="18" spans="2:42" ht="16">
      <c r="B18" s="203"/>
      <c r="C18" s="223"/>
      <c r="D18" s="223"/>
      <c r="E18" s="240" t="s">
        <v>254</v>
      </c>
      <c r="F18" s="241"/>
      <c r="G18" s="241"/>
      <c r="H18" s="241"/>
      <c r="I18" s="209"/>
      <c r="J18" s="240" t="s">
        <v>254</v>
      </c>
      <c r="K18" s="241"/>
      <c r="L18" s="241"/>
      <c r="M18" s="241"/>
      <c r="N18" s="209"/>
      <c r="O18" s="240" t="s">
        <v>254</v>
      </c>
      <c r="P18" s="241"/>
      <c r="Q18" s="241"/>
      <c r="R18" s="241"/>
      <c r="S18" s="209"/>
      <c r="T18" s="240" t="s">
        <v>254</v>
      </c>
      <c r="U18" s="241"/>
      <c r="V18" s="241"/>
      <c r="W18" s="241"/>
      <c r="X18" s="209"/>
      <c r="Y18" s="240" t="s">
        <v>254</v>
      </c>
      <c r="Z18" s="241"/>
      <c r="AA18" s="241"/>
      <c r="AB18" s="241"/>
      <c r="AC18" s="209"/>
      <c r="AD18" s="240" t="s">
        <v>254</v>
      </c>
      <c r="AE18" s="241"/>
      <c r="AF18" s="241"/>
      <c r="AG18" s="241"/>
      <c r="AH18" s="242"/>
      <c r="AI18" s="240" t="s">
        <v>254</v>
      </c>
      <c r="AJ18" s="241"/>
      <c r="AK18" s="241"/>
      <c r="AL18" s="241"/>
      <c r="AM18" s="242"/>
      <c r="AN18" s="242"/>
      <c r="AO18" s="242"/>
      <c r="AP18" s="242"/>
    </row>
    <row r="19" spans="2:42" ht="16">
      <c r="B19" s="203"/>
      <c r="C19" s="222" t="s">
        <v>255</v>
      </c>
      <c r="D19" s="234"/>
      <c r="E19" s="243"/>
      <c r="F19" s="244"/>
      <c r="G19" s="244"/>
      <c r="H19" s="245">
        <f>-(Model!K91+Model!K92)/Units</f>
        <v>-850.86800000000005</v>
      </c>
      <c r="I19" s="209"/>
      <c r="J19" s="243"/>
      <c r="K19" s="244"/>
      <c r="L19" s="244"/>
      <c r="M19" s="245">
        <v>-349</v>
      </c>
      <c r="N19" s="209"/>
      <c r="O19" s="243"/>
      <c r="P19" s="244"/>
      <c r="Q19" s="244"/>
      <c r="R19" s="245">
        <v>-777.3</v>
      </c>
      <c r="S19" s="209"/>
      <c r="T19" s="243"/>
      <c r="U19" s="244"/>
      <c r="V19" s="244"/>
      <c r="W19" s="245">
        <v>-21.7</v>
      </c>
      <c r="X19" s="209"/>
      <c r="Y19" s="243"/>
      <c r="Z19" s="244"/>
      <c r="AA19" s="244"/>
      <c r="AB19" s="245">
        <v>-19.399999999999999</v>
      </c>
      <c r="AC19" s="209"/>
      <c r="AD19" s="243"/>
      <c r="AE19" s="244"/>
      <c r="AF19" s="244"/>
      <c r="AG19" s="245">
        <v>-374</v>
      </c>
      <c r="AH19" s="245"/>
      <c r="AI19" s="243"/>
      <c r="AJ19" s="244"/>
      <c r="AK19" s="244"/>
      <c r="AL19" s="245">
        <v>-4656.5</v>
      </c>
      <c r="AM19" s="245"/>
      <c r="AN19" s="245"/>
      <c r="AO19" s="245"/>
      <c r="AP19" s="245"/>
    </row>
    <row r="20" spans="2:42" ht="16">
      <c r="B20" s="203"/>
      <c r="C20" s="222" t="s">
        <v>256</v>
      </c>
      <c r="D20" s="234"/>
      <c r="E20" s="243"/>
      <c r="F20" s="244"/>
      <c r="G20" s="244"/>
      <c r="H20" s="246">
        <v>-9.1</v>
      </c>
      <c r="I20" s="209"/>
      <c r="J20" s="243"/>
      <c r="K20" s="244"/>
      <c r="L20" s="244"/>
      <c r="M20" s="246">
        <v>0</v>
      </c>
      <c r="N20" s="209"/>
      <c r="O20" s="243"/>
      <c r="P20" s="244"/>
      <c r="Q20" s="244"/>
      <c r="R20" s="246">
        <v>-67</v>
      </c>
      <c r="S20" s="209"/>
      <c r="T20" s="243"/>
      <c r="U20" s="244"/>
      <c r="V20" s="244"/>
      <c r="W20" s="246">
        <v>0</v>
      </c>
      <c r="X20" s="209"/>
      <c r="Y20" s="243"/>
      <c r="Z20" s="244"/>
      <c r="AA20" s="244"/>
      <c r="AB20" s="246">
        <v>0</v>
      </c>
      <c r="AC20" s="209"/>
      <c r="AD20" s="243"/>
      <c r="AE20" s="244"/>
      <c r="AF20" s="244"/>
      <c r="AG20" s="246">
        <v>0</v>
      </c>
      <c r="AH20" s="246"/>
      <c r="AI20" s="243"/>
      <c r="AJ20" s="244"/>
      <c r="AK20" s="244"/>
      <c r="AL20" s="246">
        <v>-281.7</v>
      </c>
      <c r="AM20" s="246"/>
      <c r="AN20" s="246"/>
      <c r="AO20" s="246"/>
      <c r="AP20" s="246"/>
    </row>
    <row r="21" spans="2:42" ht="16">
      <c r="B21" s="203"/>
      <c r="C21" s="222" t="s">
        <v>257</v>
      </c>
      <c r="D21" s="234"/>
      <c r="E21" s="243"/>
      <c r="F21" s="244"/>
      <c r="G21" s="244"/>
      <c r="H21" s="246">
        <v>0</v>
      </c>
      <c r="I21" s="209"/>
      <c r="J21" s="243"/>
      <c r="K21" s="244"/>
      <c r="L21" s="244"/>
      <c r="M21" s="246">
        <v>0</v>
      </c>
      <c r="N21" s="209"/>
      <c r="O21" s="243"/>
      <c r="P21" s="244"/>
      <c r="Q21" s="244"/>
      <c r="R21" s="246">
        <v>0</v>
      </c>
      <c r="S21" s="209"/>
      <c r="T21" s="243"/>
      <c r="U21" s="244"/>
      <c r="V21" s="244"/>
      <c r="W21" s="246">
        <v>0</v>
      </c>
      <c r="X21" s="209"/>
      <c r="Y21" s="243"/>
      <c r="Z21" s="244"/>
      <c r="AA21" s="244"/>
      <c r="AB21" s="246">
        <v>0</v>
      </c>
      <c r="AC21" s="209"/>
      <c r="AD21" s="243"/>
      <c r="AE21" s="244"/>
      <c r="AF21" s="244"/>
      <c r="AG21" s="246">
        <v>0</v>
      </c>
      <c r="AH21" s="246"/>
      <c r="AI21" s="243"/>
      <c r="AJ21" s="244"/>
      <c r="AK21" s="244"/>
      <c r="AL21" s="246">
        <v>0</v>
      </c>
      <c r="AM21" s="246"/>
      <c r="AN21" s="246"/>
      <c r="AO21" s="246"/>
      <c r="AP21" s="246"/>
    </row>
    <row r="22" spans="2:42" ht="16">
      <c r="B22" s="203"/>
      <c r="C22" s="222" t="s">
        <v>140</v>
      </c>
      <c r="D22" s="234"/>
      <c r="E22" s="243"/>
      <c r="F22" s="244"/>
      <c r="G22" s="244"/>
      <c r="H22" s="246">
        <v>0</v>
      </c>
      <c r="I22" s="209"/>
      <c r="J22" s="243"/>
      <c r="K22" s="244"/>
      <c r="L22" s="244"/>
      <c r="M22" s="246">
        <v>0</v>
      </c>
      <c r="N22" s="209"/>
      <c r="O22" s="243"/>
      <c r="P22" s="244"/>
      <c r="Q22" s="244"/>
      <c r="R22" s="246">
        <v>0</v>
      </c>
      <c r="S22" s="209"/>
      <c r="T22" s="243"/>
      <c r="U22" s="244"/>
      <c r="V22" s="244"/>
      <c r="W22" s="246">
        <v>0</v>
      </c>
      <c r="X22" s="209"/>
      <c r="Y22" s="243"/>
      <c r="Z22" s="244"/>
      <c r="AA22" s="244"/>
      <c r="AB22" s="246">
        <v>0</v>
      </c>
      <c r="AC22" s="209"/>
      <c r="AD22" s="243"/>
      <c r="AE22" s="244"/>
      <c r="AF22" s="244"/>
      <c r="AG22" s="246">
        <v>0</v>
      </c>
      <c r="AH22" s="246"/>
      <c r="AI22" s="243"/>
      <c r="AJ22" s="244"/>
      <c r="AK22" s="244"/>
      <c r="AL22" s="246">
        <v>0</v>
      </c>
      <c r="AM22" s="246"/>
      <c r="AN22" s="246"/>
      <c r="AO22" s="246"/>
      <c r="AP22" s="246"/>
    </row>
    <row r="23" spans="2:42" ht="16">
      <c r="B23" s="203"/>
      <c r="C23" s="222" t="s">
        <v>258</v>
      </c>
      <c r="D23" s="234"/>
      <c r="E23" s="243"/>
      <c r="F23" s="244"/>
      <c r="G23" s="244"/>
      <c r="H23" s="246">
        <f>Drivers!K76/Units</f>
        <v>908.72900000000004</v>
      </c>
      <c r="I23" s="209"/>
      <c r="J23" s="243"/>
      <c r="K23" s="244"/>
      <c r="L23" s="244"/>
      <c r="M23" s="246">
        <v>123</v>
      </c>
      <c r="N23" s="209"/>
      <c r="O23" s="243"/>
      <c r="P23" s="244"/>
      <c r="Q23" s="244"/>
      <c r="R23" s="246">
        <v>706.5</v>
      </c>
      <c r="S23" s="209"/>
      <c r="T23" s="243"/>
      <c r="U23" s="244"/>
      <c r="V23" s="244"/>
      <c r="W23" s="246">
        <v>38.799999999999997</v>
      </c>
      <c r="X23" s="209"/>
      <c r="Y23" s="243"/>
      <c r="Z23" s="244"/>
      <c r="AA23" s="244"/>
      <c r="AB23" s="246">
        <v>524.79999999999995</v>
      </c>
      <c r="AC23" s="209"/>
      <c r="AD23" s="243"/>
      <c r="AE23" s="244"/>
      <c r="AF23" s="244"/>
      <c r="AG23" s="246">
        <v>2324.5</v>
      </c>
      <c r="AH23" s="246"/>
      <c r="AI23" s="243"/>
      <c r="AJ23" s="244"/>
      <c r="AK23" s="244"/>
      <c r="AL23" s="246">
        <v>2310.6</v>
      </c>
      <c r="AM23" s="246"/>
      <c r="AN23" s="246"/>
      <c r="AO23" s="246"/>
      <c r="AP23" s="246"/>
    </row>
    <row r="24" spans="2:42" ht="16">
      <c r="B24" s="203"/>
      <c r="C24" s="222" t="s">
        <v>144</v>
      </c>
      <c r="D24" s="234"/>
      <c r="E24" s="243"/>
      <c r="F24" s="244"/>
      <c r="G24" s="244"/>
      <c r="H24" s="246">
        <v>0</v>
      </c>
      <c r="I24" s="209"/>
      <c r="J24" s="243"/>
      <c r="K24" s="244"/>
      <c r="L24" s="244"/>
      <c r="M24" s="246">
        <v>0</v>
      </c>
      <c r="N24" s="209"/>
      <c r="O24" s="243"/>
      <c r="P24" s="244"/>
      <c r="Q24" s="244"/>
      <c r="R24" s="246">
        <v>0</v>
      </c>
      <c r="S24" s="209"/>
      <c r="T24" s="243"/>
      <c r="U24" s="244"/>
      <c r="V24" s="244"/>
      <c r="W24" s="246">
        <v>0</v>
      </c>
      <c r="X24" s="209"/>
      <c r="Y24" s="243"/>
      <c r="Z24" s="244"/>
      <c r="AA24" s="244"/>
      <c r="AB24" s="246">
        <v>0</v>
      </c>
      <c r="AC24" s="209"/>
      <c r="AD24" s="243"/>
      <c r="AE24" s="244"/>
      <c r="AF24" s="244"/>
      <c r="AG24" s="246">
        <v>0</v>
      </c>
      <c r="AH24" s="246"/>
      <c r="AI24" s="243"/>
      <c r="AJ24" s="244"/>
      <c r="AK24" s="244"/>
      <c r="AL24" s="246">
        <v>0</v>
      </c>
      <c r="AM24" s="246"/>
      <c r="AN24" s="246"/>
      <c r="AO24" s="246"/>
      <c r="AP24" s="246"/>
    </row>
    <row r="25" spans="2:42" ht="16">
      <c r="B25" s="203"/>
      <c r="C25" s="222" t="s">
        <v>147</v>
      </c>
      <c r="D25" s="234"/>
      <c r="E25" s="243"/>
      <c r="F25" s="244"/>
      <c r="G25" s="244"/>
      <c r="H25" s="246">
        <v>0</v>
      </c>
      <c r="I25" s="247"/>
      <c r="J25" s="243"/>
      <c r="K25" s="244"/>
      <c r="L25" s="244"/>
      <c r="M25" s="246">
        <v>0</v>
      </c>
      <c r="N25" s="209"/>
      <c r="O25" s="243"/>
      <c r="P25" s="244"/>
      <c r="Q25" s="244"/>
      <c r="R25" s="246">
        <v>0</v>
      </c>
      <c r="S25" s="209"/>
      <c r="T25" s="243"/>
      <c r="U25" s="244"/>
      <c r="V25" s="244"/>
      <c r="W25" s="246">
        <v>0</v>
      </c>
      <c r="X25" s="209"/>
      <c r="Y25" s="243"/>
      <c r="Z25" s="244"/>
      <c r="AA25" s="244"/>
      <c r="AB25" s="246">
        <v>0</v>
      </c>
      <c r="AC25" s="209"/>
      <c r="AD25" s="243"/>
      <c r="AE25" s="244"/>
      <c r="AF25" s="244"/>
      <c r="AG25" s="246">
        <v>0</v>
      </c>
      <c r="AH25" s="246"/>
      <c r="AI25" s="243"/>
      <c r="AJ25" s="244"/>
      <c r="AK25" s="244"/>
      <c r="AL25" s="246">
        <v>0</v>
      </c>
      <c r="AM25" s="246"/>
      <c r="AN25" s="246"/>
      <c r="AO25" s="246"/>
      <c r="AP25" s="246"/>
    </row>
    <row r="26" spans="2:42" ht="16">
      <c r="B26" s="203"/>
      <c r="C26" s="222" t="s">
        <v>259</v>
      </c>
      <c r="D26" s="234"/>
      <c r="E26" s="243"/>
      <c r="F26" s="244"/>
      <c r="G26" s="244"/>
      <c r="H26" s="246">
        <v>0</v>
      </c>
      <c r="I26" s="209"/>
      <c r="J26" s="243"/>
      <c r="K26" s="244"/>
      <c r="L26" s="244"/>
      <c r="M26" s="246">
        <v>0</v>
      </c>
      <c r="N26" s="209"/>
      <c r="O26" s="243"/>
      <c r="P26" s="244"/>
      <c r="Q26" s="244"/>
      <c r="R26" s="246">
        <v>0</v>
      </c>
      <c r="S26" s="209"/>
      <c r="T26" s="243"/>
      <c r="U26" s="244"/>
      <c r="V26" s="244"/>
      <c r="W26" s="246">
        <v>0</v>
      </c>
      <c r="X26" s="209"/>
      <c r="Y26" s="243"/>
      <c r="Z26" s="244"/>
      <c r="AA26" s="244"/>
      <c r="AB26" s="246">
        <v>0</v>
      </c>
      <c r="AC26" s="209"/>
      <c r="AD26" s="243"/>
      <c r="AE26" s="244"/>
      <c r="AF26" s="244"/>
      <c r="AG26" s="246">
        <v>0</v>
      </c>
      <c r="AH26" s="246"/>
      <c r="AI26" s="243"/>
      <c r="AJ26" s="244"/>
      <c r="AK26" s="244"/>
      <c r="AL26" s="246">
        <v>0</v>
      </c>
      <c r="AM26" s="246"/>
      <c r="AN26" s="246"/>
      <c r="AO26" s="246"/>
      <c r="AP26" s="246"/>
    </row>
    <row r="27" spans="2:42" ht="16">
      <c r="B27" s="203"/>
      <c r="C27" s="222" t="s">
        <v>260</v>
      </c>
      <c r="D27" s="234"/>
      <c r="E27" s="243"/>
      <c r="F27" s="244"/>
      <c r="G27" s="244"/>
      <c r="H27" s="246">
        <v>0</v>
      </c>
      <c r="I27" s="209"/>
      <c r="J27" s="243"/>
      <c r="K27" s="244"/>
      <c r="L27" s="244"/>
      <c r="M27" s="246">
        <v>0</v>
      </c>
      <c r="N27" s="209"/>
      <c r="O27" s="243"/>
      <c r="P27" s="244"/>
      <c r="Q27" s="244"/>
      <c r="R27" s="246">
        <v>0</v>
      </c>
      <c r="S27" s="209"/>
      <c r="T27" s="243"/>
      <c r="U27" s="244"/>
      <c r="V27" s="244"/>
      <c r="W27" s="246"/>
      <c r="X27" s="209"/>
      <c r="Y27" s="243"/>
      <c r="Z27" s="244"/>
      <c r="AA27" s="244"/>
      <c r="AB27" s="246">
        <v>0</v>
      </c>
      <c r="AC27" s="209"/>
      <c r="AD27" s="243"/>
      <c r="AE27" s="244"/>
      <c r="AF27" s="244"/>
      <c r="AG27" s="246"/>
      <c r="AH27" s="246"/>
      <c r="AI27" s="243"/>
      <c r="AJ27" s="244"/>
      <c r="AK27" s="244"/>
      <c r="AL27" s="246"/>
      <c r="AM27" s="246"/>
      <c r="AN27" s="246"/>
      <c r="AO27" s="246"/>
      <c r="AP27" s="246"/>
    </row>
    <row r="28" spans="2:42" ht="16">
      <c r="B28" s="203"/>
      <c r="C28" s="205"/>
      <c r="D28" s="205"/>
      <c r="E28" s="205"/>
      <c r="F28" s="205"/>
      <c r="G28" s="205"/>
      <c r="H28" s="205"/>
      <c r="I28" s="209"/>
      <c r="J28" s="205"/>
      <c r="K28" s="205"/>
      <c r="L28" s="205"/>
      <c r="M28" s="205"/>
      <c r="N28" s="209"/>
      <c r="O28" s="205"/>
      <c r="P28" s="205"/>
      <c r="Q28" s="205"/>
      <c r="R28" s="205"/>
      <c r="S28" s="209"/>
      <c r="T28" s="205"/>
      <c r="U28" s="205"/>
      <c r="V28" s="205"/>
      <c r="W28" s="205"/>
      <c r="X28" s="209"/>
      <c r="Y28" s="205"/>
      <c r="Z28" s="205"/>
      <c r="AA28" s="205"/>
      <c r="AB28" s="205"/>
      <c r="AC28" s="209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</row>
    <row r="29" spans="2:42" ht="16">
      <c r="B29" s="203"/>
      <c r="C29" s="205"/>
      <c r="D29" s="205"/>
      <c r="E29" s="240" t="s">
        <v>261</v>
      </c>
      <c r="F29" s="248"/>
      <c r="G29" s="248"/>
      <c r="H29" s="249"/>
      <c r="I29" s="209"/>
      <c r="J29" s="240" t="s">
        <v>261</v>
      </c>
      <c r="K29" s="248"/>
      <c r="L29" s="248"/>
      <c r="M29" s="249"/>
      <c r="N29" s="209"/>
      <c r="O29" s="240" t="s">
        <v>261</v>
      </c>
      <c r="P29" s="248"/>
      <c r="Q29" s="248"/>
      <c r="R29" s="249"/>
      <c r="S29" s="209"/>
      <c r="T29" s="240" t="s">
        <v>261</v>
      </c>
      <c r="U29" s="248"/>
      <c r="V29" s="248"/>
      <c r="W29" s="249"/>
      <c r="X29" s="209"/>
      <c r="Y29" s="240" t="s">
        <v>261</v>
      </c>
      <c r="Z29" s="248"/>
      <c r="AA29" s="248"/>
      <c r="AB29" s="249"/>
      <c r="AC29" s="209"/>
      <c r="AD29" s="240" t="s">
        <v>261</v>
      </c>
      <c r="AE29" s="248"/>
      <c r="AF29" s="248"/>
      <c r="AG29" s="249"/>
      <c r="AH29" s="244"/>
      <c r="AI29" s="240" t="s">
        <v>261</v>
      </c>
      <c r="AJ29" s="248"/>
      <c r="AK29" s="248"/>
      <c r="AL29" s="249"/>
      <c r="AM29" s="244"/>
      <c r="AN29" s="244"/>
      <c r="AO29" s="244"/>
      <c r="AP29" s="244"/>
    </row>
    <row r="30" spans="2:42" ht="16">
      <c r="B30" s="203"/>
      <c r="C30" s="205"/>
      <c r="D30" s="205"/>
      <c r="E30" s="216">
        <f>Forward_Year_1</f>
        <v>46022</v>
      </c>
      <c r="F30" s="216">
        <f>Forward_Year_2</f>
        <v>46387</v>
      </c>
      <c r="G30" s="216">
        <f>Forward_Year_3</f>
        <v>46752</v>
      </c>
      <c r="H30" s="250"/>
      <c r="I30" s="209"/>
      <c r="J30" s="216">
        <f>Forward_Year_1</f>
        <v>46022</v>
      </c>
      <c r="K30" s="216">
        <f>Forward_Year_2</f>
        <v>46387</v>
      </c>
      <c r="L30" s="216">
        <f>Forward_Year_3</f>
        <v>46752</v>
      </c>
      <c r="M30" s="250"/>
      <c r="N30" s="209"/>
      <c r="O30" s="216">
        <f>Forward_Year_1</f>
        <v>46022</v>
      </c>
      <c r="P30" s="216">
        <f>Forward_Year_2</f>
        <v>46387</v>
      </c>
      <c r="Q30" s="216">
        <f>Forward_Year_3</f>
        <v>46752</v>
      </c>
      <c r="R30" s="250"/>
      <c r="S30" s="209"/>
      <c r="T30" s="216">
        <f>Forward_Year_1</f>
        <v>46022</v>
      </c>
      <c r="U30" s="216">
        <f>Forward_Year_2</f>
        <v>46387</v>
      </c>
      <c r="V30" s="216">
        <f>Forward_Year_3</f>
        <v>46752</v>
      </c>
      <c r="W30" s="250"/>
      <c r="X30" s="209"/>
      <c r="Y30" s="216">
        <f>Forward_Year_1</f>
        <v>46022</v>
      </c>
      <c r="Z30" s="216">
        <f>Forward_Year_2</f>
        <v>46387</v>
      </c>
      <c r="AA30" s="216">
        <f>Forward_Year_3</f>
        <v>46752</v>
      </c>
      <c r="AB30" s="250"/>
      <c r="AC30" s="209"/>
      <c r="AD30" s="216">
        <f>Forward_Year_1</f>
        <v>46022</v>
      </c>
      <c r="AE30" s="216">
        <f>Forward_Year_2</f>
        <v>46387</v>
      </c>
      <c r="AF30" s="216">
        <f>Forward_Year_3</f>
        <v>46752</v>
      </c>
      <c r="AG30" s="250"/>
      <c r="AH30" s="244"/>
      <c r="AI30" s="216">
        <f>Forward_Year_1</f>
        <v>46022</v>
      </c>
      <c r="AJ30" s="216">
        <f>Forward_Year_2</f>
        <v>46387</v>
      </c>
      <c r="AK30" s="216">
        <f>Forward_Year_3</f>
        <v>46752</v>
      </c>
      <c r="AL30" s="250"/>
      <c r="AM30" s="244"/>
      <c r="AN30" s="244"/>
      <c r="AO30" s="244"/>
      <c r="AP30" s="244"/>
    </row>
    <row r="31" spans="2:42" ht="16">
      <c r="B31" s="203"/>
      <c r="C31" s="228" t="s">
        <v>161</v>
      </c>
      <c r="D31" s="223"/>
      <c r="E31" s="251">
        <f>Model!L56/Units</f>
        <v>314.70840000000004</v>
      </c>
      <c r="F31" s="251">
        <f>Model!M56/Units</f>
        <v>398.995</v>
      </c>
      <c r="G31" s="251">
        <f>Model!N56/Units</f>
        <v>522.40617467239485</v>
      </c>
      <c r="H31" s="244"/>
      <c r="I31" s="209"/>
      <c r="J31" s="251">
        <v>371</v>
      </c>
      <c r="K31" s="251">
        <v>648</v>
      </c>
      <c r="L31" s="251">
        <v>660</v>
      </c>
      <c r="M31" s="244"/>
      <c r="N31" s="209"/>
      <c r="O31" s="251">
        <v>4993</v>
      </c>
      <c r="P31" s="251">
        <v>5814</v>
      </c>
      <c r="Q31" s="251">
        <f>P31*(P31/O31)</f>
        <v>6769.9971960745042</v>
      </c>
      <c r="R31" s="244"/>
      <c r="S31" s="209"/>
      <c r="T31" s="251">
        <v>169</v>
      </c>
      <c r="U31" s="251">
        <v>205</v>
      </c>
      <c r="V31" s="251">
        <f>U31*(U31/T31)</f>
        <v>248.66863905325442</v>
      </c>
      <c r="W31" s="244"/>
      <c r="X31" s="209"/>
      <c r="Y31" s="251">
        <v>850</v>
      </c>
      <c r="Z31" s="251">
        <v>912</v>
      </c>
      <c r="AA31" s="251">
        <f t="shared" ref="AA31:AA33" si="9">Z31*(Z31/Y31)</f>
        <v>978.52235294117656</v>
      </c>
      <c r="AB31" s="244"/>
      <c r="AC31" s="209"/>
      <c r="AD31" s="251">
        <v>7132</v>
      </c>
      <c r="AE31" s="251">
        <v>7502</v>
      </c>
      <c r="AF31" s="251">
        <f t="shared" ref="AF31:AF33" si="10">AE31*(AE31/AD31)</f>
        <v>7891.195176668537</v>
      </c>
      <c r="AG31" s="244"/>
      <c r="AH31" s="244"/>
      <c r="AI31" s="251">
        <v>14474</v>
      </c>
      <c r="AJ31" s="251">
        <v>15612</v>
      </c>
      <c r="AK31" s="251">
        <v>16537</v>
      </c>
      <c r="AL31" s="244"/>
      <c r="AM31" s="244"/>
      <c r="AN31" s="244"/>
      <c r="AO31" s="244"/>
      <c r="AP31" s="244"/>
    </row>
    <row r="32" spans="2:42" ht="16">
      <c r="B32" s="203"/>
      <c r="C32" s="228" t="s">
        <v>164</v>
      </c>
      <c r="D32" s="223"/>
      <c r="E32" s="225">
        <f>Model!L78/Units</f>
        <v>94.371403536781287</v>
      </c>
      <c r="F32" s="225">
        <f>Model!M78/Units</f>
        <v>152.84191064587972</v>
      </c>
      <c r="G32" s="225">
        <f>Model!N78/Units</f>
        <v>236.68512008063476</v>
      </c>
      <c r="H32" s="244"/>
      <c r="I32" s="209"/>
      <c r="J32" s="225">
        <v>93</v>
      </c>
      <c r="K32" s="225">
        <v>276</v>
      </c>
      <c r="L32" s="225">
        <v>290</v>
      </c>
      <c r="M32" s="244"/>
      <c r="N32" s="209"/>
      <c r="O32" s="225">
        <v>591</v>
      </c>
      <c r="P32" s="225">
        <v>838</v>
      </c>
      <c r="Q32" s="225">
        <f t="shared" ref="Q32:Q33" si="11">P32*(P32/O32)</f>
        <v>1188.2301184433165</v>
      </c>
      <c r="R32" s="244"/>
      <c r="S32" s="209"/>
      <c r="T32" s="225">
        <v>73</v>
      </c>
      <c r="U32" s="225">
        <v>121</v>
      </c>
      <c r="V32" s="225">
        <f t="shared" ref="V32:V33" si="12">U32*(U32/T32)</f>
        <v>200.56164383561642</v>
      </c>
      <c r="W32" s="244"/>
      <c r="X32" s="209"/>
      <c r="Y32" s="225">
        <v>229</v>
      </c>
      <c r="Z32" s="225">
        <v>249</v>
      </c>
      <c r="AA32" s="225">
        <f t="shared" si="9"/>
        <v>270.74672489082968</v>
      </c>
      <c r="AB32" s="244"/>
      <c r="AC32" s="209"/>
      <c r="AD32" s="225">
        <v>2258</v>
      </c>
      <c r="AE32" s="225">
        <v>2418</v>
      </c>
      <c r="AF32" s="225">
        <f t="shared" si="10"/>
        <v>2589.3374667847652</v>
      </c>
      <c r="AG32" s="244"/>
      <c r="AH32" s="244"/>
      <c r="AI32" s="225">
        <v>2760.1918000000001</v>
      </c>
      <c r="AJ32" s="225">
        <v>3082</v>
      </c>
      <c r="AK32" s="225">
        <v>3403</v>
      </c>
      <c r="AL32" s="244"/>
      <c r="AM32" s="244"/>
      <c r="AN32" s="244"/>
      <c r="AO32" s="244"/>
      <c r="AP32" s="244"/>
    </row>
    <row r="33" spans="2:42" ht="16">
      <c r="B33" s="203"/>
      <c r="C33" s="228" t="s">
        <v>262</v>
      </c>
      <c r="D33" s="223"/>
      <c r="E33" s="225">
        <f>Model!L76/Units</f>
        <v>40.074948225466358</v>
      </c>
      <c r="F33" s="225">
        <f>Model!M76/Units</f>
        <v>84.909194821936865</v>
      </c>
      <c r="G33" s="225">
        <f>Model!N76/Units</f>
        <v>155.29401782727214</v>
      </c>
      <c r="H33" s="244"/>
      <c r="I33" s="209"/>
      <c r="J33" s="225">
        <v>36</v>
      </c>
      <c r="K33" s="225">
        <v>162</v>
      </c>
      <c r="L33" s="225">
        <v>180</v>
      </c>
      <c r="M33" s="244"/>
      <c r="N33" s="209"/>
      <c r="O33" s="225">
        <v>309</v>
      </c>
      <c r="P33" s="225">
        <v>462</v>
      </c>
      <c r="Q33" s="225">
        <f t="shared" si="11"/>
        <v>690.75728155339812</v>
      </c>
      <c r="R33" s="244"/>
      <c r="S33" s="209"/>
      <c r="T33" s="225">
        <v>29</v>
      </c>
      <c r="U33" s="225">
        <v>61</v>
      </c>
      <c r="V33" s="225">
        <f t="shared" si="12"/>
        <v>128.31034482758619</v>
      </c>
      <c r="W33" s="244"/>
      <c r="X33" s="209"/>
      <c r="Y33" s="225">
        <v>104</v>
      </c>
      <c r="Z33" s="225">
        <v>125</v>
      </c>
      <c r="AA33" s="225">
        <f t="shared" si="9"/>
        <v>150.24038461538461</v>
      </c>
      <c r="AB33" s="244"/>
      <c r="AC33" s="209"/>
      <c r="AD33" s="225">
        <v>1450</v>
      </c>
      <c r="AE33" s="225">
        <v>1601</v>
      </c>
      <c r="AF33" s="225">
        <f t="shared" si="10"/>
        <v>1767.7248275862069</v>
      </c>
      <c r="AG33" s="244"/>
      <c r="AH33" s="244"/>
      <c r="AI33" s="225">
        <v>1097</v>
      </c>
      <c r="AJ33" s="225">
        <v>1245</v>
      </c>
      <c r="AK33" s="225">
        <v>1428</v>
      </c>
      <c r="AL33" s="244"/>
      <c r="AM33" s="244"/>
      <c r="AN33" s="244"/>
      <c r="AO33" s="244"/>
      <c r="AP33" s="244"/>
    </row>
    <row r="34" spans="2:42" ht="16">
      <c r="B34" s="252"/>
      <c r="C34" s="209"/>
      <c r="D34" s="209"/>
      <c r="E34" s="209"/>
      <c r="F34" s="209"/>
      <c r="G34" s="209"/>
      <c r="H34" s="209"/>
      <c r="I34" s="209"/>
      <c r="J34" s="253"/>
      <c r="K34" s="253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09"/>
      <c r="AH34" s="209"/>
      <c r="AI34" s="209"/>
      <c r="AJ34" s="209"/>
      <c r="AK34" s="209"/>
      <c r="AL34" s="209"/>
      <c r="AM34" s="209"/>
      <c r="AN34" s="209"/>
      <c r="AO34" s="209"/>
      <c r="AP34" s="209"/>
    </row>
    <row r="35" spans="2:42" ht="16">
      <c r="B35" s="252"/>
      <c r="C35" s="209"/>
      <c r="D35" s="209"/>
      <c r="E35" s="240" t="s">
        <v>263</v>
      </c>
      <c r="F35" s="248"/>
      <c r="G35" s="248"/>
      <c r="H35" s="248"/>
      <c r="I35" s="209"/>
      <c r="J35" s="240" t="s">
        <v>263</v>
      </c>
      <c r="K35" s="248"/>
      <c r="L35" s="248"/>
      <c r="M35" s="248"/>
      <c r="N35" s="209"/>
      <c r="O35" s="240" t="s">
        <v>263</v>
      </c>
      <c r="P35" s="248"/>
      <c r="Q35" s="248"/>
      <c r="R35" s="248"/>
      <c r="S35" s="209"/>
      <c r="T35" s="240" t="s">
        <v>263</v>
      </c>
      <c r="U35" s="248"/>
      <c r="V35" s="248"/>
      <c r="W35" s="248"/>
      <c r="X35" s="209"/>
      <c r="Y35" s="240" t="s">
        <v>263</v>
      </c>
      <c r="Z35" s="248"/>
      <c r="AA35" s="248"/>
      <c r="AB35" s="248"/>
      <c r="AC35" s="209"/>
      <c r="AD35" s="240" t="s">
        <v>263</v>
      </c>
      <c r="AE35" s="248"/>
      <c r="AF35" s="248"/>
      <c r="AG35" s="248"/>
      <c r="AH35" s="254"/>
      <c r="AI35" s="240" t="s">
        <v>263</v>
      </c>
      <c r="AJ35" s="248"/>
      <c r="AK35" s="248"/>
      <c r="AL35" s="248"/>
      <c r="AM35" s="254"/>
      <c r="AN35" s="254"/>
      <c r="AO35" s="254"/>
      <c r="AP35" s="254"/>
    </row>
    <row r="36" spans="2:42" ht="16">
      <c r="B36" s="252"/>
      <c r="C36" s="255" t="s">
        <v>264</v>
      </c>
      <c r="D36" s="255"/>
      <c r="E36" s="256"/>
      <c r="F36" s="215"/>
      <c r="G36" s="215"/>
      <c r="H36" s="257">
        <f>Share_Price</f>
        <v>21.44</v>
      </c>
      <c r="I36" s="209"/>
      <c r="J36" s="256"/>
      <c r="K36" s="215"/>
      <c r="L36" s="215"/>
      <c r="M36" s="257">
        <v>5.48</v>
      </c>
      <c r="N36" s="209"/>
      <c r="O36" s="256"/>
      <c r="P36" s="215"/>
      <c r="Q36" s="215"/>
      <c r="R36" s="257">
        <v>5.19</v>
      </c>
      <c r="S36" s="209"/>
      <c r="T36" s="256"/>
      <c r="U36" s="215"/>
      <c r="V36" s="215"/>
      <c r="W36" s="257">
        <v>0.51</v>
      </c>
      <c r="X36" s="209"/>
      <c r="Y36" s="256"/>
      <c r="Z36" s="215"/>
      <c r="AA36" s="215"/>
      <c r="AB36" s="257">
        <v>82.38</v>
      </c>
      <c r="AC36" s="209"/>
      <c r="AD36" s="256"/>
      <c r="AE36" s="215"/>
      <c r="AF36" s="215"/>
      <c r="AG36" s="257">
        <v>166.29</v>
      </c>
      <c r="AH36" s="257"/>
      <c r="AI36" s="256"/>
      <c r="AJ36" s="215"/>
      <c r="AK36" s="215"/>
      <c r="AL36" s="257">
        <v>10.76</v>
      </c>
      <c r="AM36" s="257"/>
      <c r="AN36" s="257"/>
      <c r="AO36" s="257"/>
      <c r="AP36" s="257"/>
    </row>
    <row r="37" spans="2:42" ht="16">
      <c r="B37" s="252"/>
      <c r="C37" s="255" t="s">
        <v>265</v>
      </c>
      <c r="D37" s="255"/>
      <c r="E37" s="256"/>
      <c r="F37" s="215"/>
      <c r="G37" s="215"/>
      <c r="H37" s="258">
        <f>Diluted</f>
        <v>163.4</v>
      </c>
      <c r="I37" s="209"/>
      <c r="J37" s="256"/>
      <c r="K37" s="215"/>
      <c r="L37" s="215"/>
      <c r="M37" s="258">
        <v>934.7</v>
      </c>
      <c r="N37" s="209"/>
      <c r="O37" s="256"/>
      <c r="P37" s="215"/>
      <c r="Q37" s="215"/>
      <c r="R37" s="258">
        <v>3615.1</v>
      </c>
      <c r="S37" s="209"/>
      <c r="T37" s="256"/>
      <c r="U37" s="215"/>
      <c r="V37" s="215"/>
      <c r="W37" s="259">
        <v>603.5</v>
      </c>
      <c r="X37" s="209"/>
      <c r="Y37" s="256"/>
      <c r="Z37" s="215"/>
      <c r="AA37" s="215"/>
      <c r="AB37" s="259">
        <v>20.8</v>
      </c>
      <c r="AC37" s="209"/>
      <c r="AD37" s="256"/>
      <c r="AE37" s="215"/>
      <c r="AF37" s="215"/>
      <c r="AG37" s="259">
        <v>230.7</v>
      </c>
      <c r="AH37" s="259"/>
      <c r="AI37" s="256"/>
      <c r="AJ37" s="215"/>
      <c r="AK37" s="215"/>
      <c r="AL37" s="259">
        <v>2310.6</v>
      </c>
      <c r="AM37" s="259"/>
      <c r="AN37" s="259"/>
      <c r="AO37" s="259"/>
      <c r="AP37" s="259"/>
    </row>
    <row r="38" spans="2:42" ht="16">
      <c r="B38" s="252"/>
      <c r="C38" s="255" t="s">
        <v>266</v>
      </c>
      <c r="D38" s="255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</row>
    <row r="39" spans="2:42" ht="16">
      <c r="B39" s="252"/>
      <c r="C39" s="209"/>
      <c r="D39" s="209"/>
      <c r="E39" s="209"/>
      <c r="F39" s="260" t="s">
        <v>267</v>
      </c>
      <c r="G39" s="260" t="s">
        <v>268</v>
      </c>
      <c r="H39" s="260" t="s">
        <v>269</v>
      </c>
      <c r="I39" s="209"/>
      <c r="J39" s="209"/>
      <c r="K39" s="260" t="s">
        <v>267</v>
      </c>
      <c r="L39" s="260" t="s">
        <v>268</v>
      </c>
      <c r="M39" s="260" t="s">
        <v>269</v>
      </c>
      <c r="N39" s="209"/>
      <c r="O39" s="209"/>
      <c r="P39" s="261" t="s">
        <v>267</v>
      </c>
      <c r="Q39" s="261" t="s">
        <v>268</v>
      </c>
      <c r="R39" s="261" t="s">
        <v>269</v>
      </c>
      <c r="S39" s="209"/>
      <c r="T39" s="209"/>
      <c r="U39" s="261" t="s">
        <v>267</v>
      </c>
      <c r="V39" s="261" t="s">
        <v>268</v>
      </c>
      <c r="W39" s="261" t="s">
        <v>269</v>
      </c>
      <c r="X39" s="209"/>
      <c r="Y39" s="209"/>
      <c r="Z39" s="261" t="s">
        <v>267</v>
      </c>
      <c r="AA39" s="261" t="s">
        <v>268</v>
      </c>
      <c r="AB39" s="261" t="s">
        <v>269</v>
      </c>
      <c r="AC39" s="209"/>
      <c r="AD39" s="209"/>
      <c r="AE39" s="261" t="s">
        <v>267</v>
      </c>
      <c r="AF39" s="261" t="s">
        <v>268</v>
      </c>
      <c r="AG39" s="261" t="s">
        <v>269</v>
      </c>
      <c r="AH39" s="261"/>
      <c r="AI39" s="209"/>
      <c r="AJ39" s="261" t="s">
        <v>267</v>
      </c>
      <c r="AK39" s="261" t="s">
        <v>268</v>
      </c>
      <c r="AL39" s="261" t="s">
        <v>269</v>
      </c>
      <c r="AM39" s="261"/>
      <c r="AN39" s="261"/>
      <c r="AO39" s="261"/>
      <c r="AP39" s="261"/>
    </row>
    <row r="40" spans="2:42" ht="16">
      <c r="B40" s="252"/>
      <c r="C40" s="209"/>
      <c r="D40" s="209"/>
      <c r="E40" s="209"/>
      <c r="F40" s="262"/>
      <c r="G40" s="263"/>
      <c r="H40" s="264">
        <f t="shared" ref="H40:H48" si="13">IF(G40&lt;H$35,F40-((F40*G40)/H$35),0)</f>
        <v>0</v>
      </c>
      <c r="I40" s="209"/>
      <c r="J40" s="209"/>
      <c r="K40" s="262"/>
      <c r="L40" s="263"/>
      <c r="M40" s="264">
        <f>IF(L40&lt;M$35,K40-((K40*L40)/M$35),0)</f>
        <v>0</v>
      </c>
      <c r="N40" s="209"/>
      <c r="O40" s="209"/>
      <c r="P40" s="262"/>
      <c r="Q40" s="263"/>
      <c r="R40" s="264">
        <f>IF(Q40&lt;R$35,P40-((P40*Q40)/R$35),0)</f>
        <v>0</v>
      </c>
      <c r="S40" s="209"/>
      <c r="T40" s="209"/>
      <c r="U40" s="262"/>
      <c r="V40" s="263"/>
      <c r="W40" s="264">
        <f>IF(V40&lt;W$35,U40-((U40*V40)/W$35),0)</f>
        <v>0</v>
      </c>
      <c r="X40" s="209"/>
      <c r="Y40" s="209"/>
      <c r="Z40" s="262"/>
      <c r="AA40" s="263"/>
      <c r="AB40" s="264">
        <f>IF(AA40&lt;AB$35,Z40-((Z40*AA40)/AB$35),0)</f>
        <v>0</v>
      </c>
      <c r="AC40" s="209"/>
      <c r="AD40" s="209"/>
      <c r="AE40" s="262"/>
      <c r="AF40" s="263"/>
      <c r="AG40" s="264">
        <f>IF(AF40&lt;AG$35,AE40-((AE40*AF40)/AG$35),0)</f>
        <v>0</v>
      </c>
      <c r="AH40" s="264"/>
      <c r="AI40" s="209"/>
      <c r="AJ40" s="262"/>
      <c r="AK40" s="263"/>
      <c r="AL40" s="264">
        <f>IF(AK40&lt;AL$35,AJ40-((AJ40*AK40)/AL$35),0)</f>
        <v>0</v>
      </c>
      <c r="AM40" s="264"/>
      <c r="AN40" s="264"/>
      <c r="AO40" s="264"/>
      <c r="AP40" s="264"/>
    </row>
    <row r="41" spans="2:42" ht="16">
      <c r="B41" s="252"/>
      <c r="C41" s="209"/>
      <c r="D41" s="209"/>
      <c r="E41" s="209"/>
      <c r="F41" s="262"/>
      <c r="G41" s="263"/>
      <c r="H41" s="264">
        <f t="shared" si="13"/>
        <v>0</v>
      </c>
      <c r="I41" s="209"/>
      <c r="J41" s="209"/>
      <c r="K41" s="262"/>
      <c r="L41" s="263"/>
      <c r="M41" s="264">
        <f t="shared" ref="M41:M45" si="14">IF(L41&lt;M$35,K41-((K41*L41)/M$35),0)</f>
        <v>0</v>
      </c>
      <c r="N41" s="209"/>
      <c r="O41" s="209"/>
      <c r="P41" s="262"/>
      <c r="Q41" s="263"/>
      <c r="R41" s="264">
        <f t="shared" ref="R41:R45" si="15">IF(Q41&lt;R$35,P41-((P41*Q41)/R$35),0)</f>
        <v>0</v>
      </c>
      <c r="S41" s="209"/>
      <c r="T41" s="209"/>
      <c r="U41" s="262"/>
      <c r="V41" s="263"/>
      <c r="W41" s="264">
        <f t="shared" ref="W41:W45" si="16">IF(V41&lt;W$35,U41-((U41*V41)/W$35),0)</f>
        <v>0</v>
      </c>
      <c r="X41" s="209"/>
      <c r="Y41" s="209"/>
      <c r="Z41" s="262"/>
      <c r="AA41" s="263"/>
      <c r="AB41" s="264">
        <f t="shared" ref="AB41:AB45" si="17">IF(AA41&lt;AB$35,Z41-((Z41*AA41)/AB$35),0)</f>
        <v>0</v>
      </c>
      <c r="AC41" s="209"/>
      <c r="AD41" s="209"/>
      <c r="AE41" s="262"/>
      <c r="AF41" s="263"/>
      <c r="AG41" s="264">
        <f t="shared" ref="AG41:AG45" si="18">IF(AF41&lt;AG$35,AE41-((AE41*AF41)/AG$35),0)</f>
        <v>0</v>
      </c>
      <c r="AH41" s="264"/>
      <c r="AI41" s="209"/>
      <c r="AJ41" s="262"/>
      <c r="AK41" s="263"/>
      <c r="AL41" s="264">
        <f t="shared" ref="AL41:AL45" si="19">IF(AK41&lt;AL$35,AJ41-((AJ41*AK41)/AL$35),0)</f>
        <v>0</v>
      </c>
      <c r="AM41" s="264"/>
      <c r="AN41" s="264"/>
      <c r="AO41" s="264"/>
      <c r="AP41" s="264"/>
    </row>
    <row r="42" spans="2:42" ht="16">
      <c r="B42" s="252"/>
      <c r="C42" s="209"/>
      <c r="D42" s="209"/>
      <c r="E42" s="209"/>
      <c r="F42" s="262"/>
      <c r="G42" s="263"/>
      <c r="H42" s="264">
        <f t="shared" si="13"/>
        <v>0</v>
      </c>
      <c r="I42" s="209"/>
      <c r="J42" s="209"/>
      <c r="K42" s="262"/>
      <c r="L42" s="263"/>
      <c r="M42" s="264">
        <f t="shared" si="14"/>
        <v>0</v>
      </c>
      <c r="N42" s="209"/>
      <c r="O42" s="209"/>
      <c r="P42" s="262"/>
      <c r="Q42" s="263"/>
      <c r="R42" s="264">
        <f t="shared" si="15"/>
        <v>0</v>
      </c>
      <c r="S42" s="209"/>
      <c r="T42" s="209"/>
      <c r="U42" s="262"/>
      <c r="V42" s="263"/>
      <c r="W42" s="264">
        <f t="shared" si="16"/>
        <v>0</v>
      </c>
      <c r="X42" s="209"/>
      <c r="Y42" s="209"/>
      <c r="Z42" s="262"/>
      <c r="AA42" s="263"/>
      <c r="AB42" s="264">
        <f t="shared" si="17"/>
        <v>0</v>
      </c>
      <c r="AC42" s="209"/>
      <c r="AD42" s="209"/>
      <c r="AE42" s="262"/>
      <c r="AF42" s="263"/>
      <c r="AG42" s="264">
        <f t="shared" si="18"/>
        <v>0</v>
      </c>
      <c r="AH42" s="264"/>
      <c r="AI42" s="209"/>
      <c r="AJ42" s="262"/>
      <c r="AK42" s="263"/>
      <c r="AL42" s="264">
        <f t="shared" si="19"/>
        <v>0</v>
      </c>
      <c r="AM42" s="264"/>
      <c r="AN42" s="264"/>
      <c r="AO42" s="264"/>
      <c r="AP42" s="264"/>
    </row>
    <row r="43" spans="2:42" ht="16">
      <c r="B43" s="252"/>
      <c r="C43" s="209"/>
      <c r="D43" s="209"/>
      <c r="E43" s="209"/>
      <c r="F43" s="262"/>
      <c r="G43" s="263"/>
      <c r="H43" s="264">
        <f t="shared" si="13"/>
        <v>0</v>
      </c>
      <c r="I43" s="209"/>
      <c r="J43" s="209"/>
      <c r="K43" s="262"/>
      <c r="L43" s="263"/>
      <c r="M43" s="264">
        <f t="shared" si="14"/>
        <v>0</v>
      </c>
      <c r="N43" s="209"/>
      <c r="O43" s="209"/>
      <c r="P43" s="262"/>
      <c r="Q43" s="263"/>
      <c r="R43" s="264">
        <f t="shared" si="15"/>
        <v>0</v>
      </c>
      <c r="S43" s="209"/>
      <c r="T43" s="209"/>
      <c r="U43" s="262"/>
      <c r="V43" s="263"/>
      <c r="W43" s="264">
        <f t="shared" si="16"/>
        <v>0</v>
      </c>
      <c r="X43" s="209"/>
      <c r="Y43" s="209"/>
      <c r="Z43" s="262"/>
      <c r="AA43" s="263"/>
      <c r="AB43" s="264">
        <f t="shared" si="17"/>
        <v>0</v>
      </c>
      <c r="AC43" s="209"/>
      <c r="AD43" s="209"/>
      <c r="AE43" s="262"/>
      <c r="AF43" s="263"/>
      <c r="AG43" s="264">
        <f t="shared" si="18"/>
        <v>0</v>
      </c>
      <c r="AH43" s="264"/>
      <c r="AI43" s="209"/>
      <c r="AJ43" s="262"/>
      <c r="AK43" s="263"/>
      <c r="AL43" s="264">
        <f t="shared" si="19"/>
        <v>0</v>
      </c>
      <c r="AM43" s="264"/>
      <c r="AN43" s="264"/>
      <c r="AO43" s="264"/>
      <c r="AP43" s="264"/>
    </row>
    <row r="44" spans="2:42" ht="16">
      <c r="B44" s="252"/>
      <c r="C44" s="209"/>
      <c r="D44" s="209"/>
      <c r="E44" s="209"/>
      <c r="F44" s="262"/>
      <c r="G44" s="263"/>
      <c r="H44" s="264">
        <f t="shared" si="13"/>
        <v>0</v>
      </c>
      <c r="I44" s="209"/>
      <c r="J44" s="209"/>
      <c r="K44" s="262"/>
      <c r="L44" s="263"/>
      <c r="M44" s="264">
        <f t="shared" si="14"/>
        <v>0</v>
      </c>
      <c r="N44" s="209"/>
      <c r="O44" s="209"/>
      <c r="P44" s="262"/>
      <c r="Q44" s="263"/>
      <c r="R44" s="264">
        <f t="shared" si="15"/>
        <v>0</v>
      </c>
      <c r="S44" s="209"/>
      <c r="T44" s="209"/>
      <c r="U44" s="262"/>
      <c r="V44" s="263"/>
      <c r="W44" s="264">
        <f t="shared" si="16"/>
        <v>0</v>
      </c>
      <c r="X44" s="209"/>
      <c r="Y44" s="209"/>
      <c r="Z44" s="262"/>
      <c r="AA44" s="263"/>
      <c r="AB44" s="264">
        <f t="shared" si="17"/>
        <v>0</v>
      </c>
      <c r="AC44" s="209"/>
      <c r="AD44" s="209"/>
      <c r="AE44" s="262"/>
      <c r="AF44" s="263"/>
      <c r="AG44" s="264">
        <f t="shared" si="18"/>
        <v>0</v>
      </c>
      <c r="AH44" s="264"/>
      <c r="AI44" s="209"/>
      <c r="AJ44" s="262"/>
      <c r="AK44" s="263"/>
      <c r="AL44" s="264">
        <f t="shared" si="19"/>
        <v>0</v>
      </c>
      <c r="AM44" s="264"/>
      <c r="AN44" s="264"/>
      <c r="AO44" s="264"/>
      <c r="AP44" s="264"/>
    </row>
    <row r="45" spans="2:42" ht="16">
      <c r="B45" s="252"/>
      <c r="C45" s="209"/>
      <c r="D45" s="209"/>
      <c r="E45" s="209"/>
      <c r="F45" s="262"/>
      <c r="G45" s="263"/>
      <c r="H45" s="264">
        <f t="shared" si="13"/>
        <v>0</v>
      </c>
      <c r="I45" s="209"/>
      <c r="J45" s="209"/>
      <c r="K45" s="262"/>
      <c r="L45" s="263"/>
      <c r="M45" s="264">
        <f t="shared" si="14"/>
        <v>0</v>
      </c>
      <c r="N45" s="209"/>
      <c r="O45" s="209"/>
      <c r="P45" s="262"/>
      <c r="Q45" s="263"/>
      <c r="R45" s="264">
        <f t="shared" si="15"/>
        <v>0</v>
      </c>
      <c r="S45" s="209"/>
      <c r="T45" s="209"/>
      <c r="U45" s="262"/>
      <c r="V45" s="263"/>
      <c r="W45" s="264">
        <f t="shared" si="16"/>
        <v>0</v>
      </c>
      <c r="X45" s="209"/>
      <c r="Y45" s="209"/>
      <c r="Z45" s="262"/>
      <c r="AA45" s="263"/>
      <c r="AB45" s="264">
        <f t="shared" si="17"/>
        <v>0</v>
      </c>
      <c r="AC45" s="209"/>
      <c r="AD45" s="209"/>
      <c r="AE45" s="262"/>
      <c r="AF45" s="263"/>
      <c r="AG45" s="264">
        <f t="shared" si="18"/>
        <v>0</v>
      </c>
      <c r="AH45" s="264"/>
      <c r="AI45" s="209"/>
      <c r="AJ45" s="262"/>
      <c r="AK45" s="263"/>
      <c r="AL45" s="264">
        <f t="shared" si="19"/>
        <v>0</v>
      </c>
      <c r="AM45" s="264"/>
      <c r="AN45" s="264"/>
      <c r="AO45" s="264"/>
      <c r="AP45" s="264"/>
    </row>
    <row r="46" spans="2:42" ht="16">
      <c r="B46" s="252"/>
      <c r="C46" s="209"/>
      <c r="D46" s="209"/>
      <c r="E46" s="209"/>
      <c r="F46" s="262"/>
      <c r="G46" s="263"/>
      <c r="H46" s="264">
        <f t="shared" si="13"/>
        <v>0</v>
      </c>
      <c r="I46" s="209"/>
      <c r="J46" s="209"/>
      <c r="K46" s="262"/>
      <c r="L46" s="263"/>
      <c r="M46" s="264">
        <f>IF(L46&lt;M$35,K46-((K46*L46)/M$35),0)</f>
        <v>0</v>
      </c>
      <c r="N46" s="209"/>
      <c r="O46" s="209"/>
      <c r="P46" s="262"/>
      <c r="Q46" s="263"/>
      <c r="R46" s="264">
        <f>IF(Q46&lt;R$35,P46-((P46*Q46)/R$35),0)</f>
        <v>0</v>
      </c>
      <c r="S46" s="209"/>
      <c r="T46" s="209"/>
      <c r="U46" s="262"/>
      <c r="V46" s="263"/>
      <c r="W46" s="264">
        <f>IF(V46&lt;W$35,U46-((U46*V46)/W$35),0)</f>
        <v>0</v>
      </c>
      <c r="X46" s="209"/>
      <c r="Y46" s="209"/>
      <c r="Z46" s="262"/>
      <c r="AA46" s="263"/>
      <c r="AB46" s="264">
        <f>IF(AA46&lt;AB$35,Z46-((Z46*AA46)/AB$35),0)</f>
        <v>0</v>
      </c>
      <c r="AC46" s="209"/>
      <c r="AD46" s="209"/>
      <c r="AE46" s="262"/>
      <c r="AF46" s="263"/>
      <c r="AG46" s="264">
        <f>IF(AF46&lt;AG$35,AE46-((AE46*AF46)/AG$35),0)</f>
        <v>0</v>
      </c>
      <c r="AH46" s="264"/>
      <c r="AI46" s="209"/>
      <c r="AJ46" s="262"/>
      <c r="AK46" s="263"/>
      <c r="AL46" s="264">
        <f>IF(AK46&lt;AL$35,AJ46-((AJ46*AK46)/AL$35),0)</f>
        <v>0</v>
      </c>
      <c r="AM46" s="264"/>
      <c r="AN46" s="264"/>
      <c r="AO46" s="264"/>
      <c r="AP46" s="264"/>
    </row>
    <row r="47" spans="2:42" ht="16">
      <c r="B47" s="252"/>
      <c r="C47" s="209"/>
      <c r="D47" s="209"/>
      <c r="E47" s="209"/>
      <c r="F47" s="262"/>
      <c r="G47" s="263"/>
      <c r="H47" s="264">
        <f t="shared" si="13"/>
        <v>0</v>
      </c>
      <c r="I47" s="209"/>
      <c r="J47" s="209"/>
      <c r="K47" s="262"/>
      <c r="L47" s="263"/>
      <c r="M47" s="264">
        <f t="shared" ref="M47:M48" si="20">IF(L47&lt;M$35,K47-((K47*L47)/M$35),0)</f>
        <v>0</v>
      </c>
      <c r="N47" s="209"/>
      <c r="O47" s="209"/>
      <c r="P47" s="262"/>
      <c r="Q47" s="263"/>
      <c r="R47" s="264">
        <f t="shared" ref="R47:R48" si="21">IF(Q47&lt;R$35,P47-((P47*Q47)/R$35),0)</f>
        <v>0</v>
      </c>
      <c r="S47" s="209"/>
      <c r="T47" s="209"/>
      <c r="U47" s="262"/>
      <c r="V47" s="263"/>
      <c r="W47" s="264">
        <f t="shared" ref="W47:W48" si="22">IF(V47&lt;W$35,U47-((U47*V47)/W$35),0)</f>
        <v>0</v>
      </c>
      <c r="X47" s="209"/>
      <c r="Y47" s="209"/>
      <c r="Z47" s="262"/>
      <c r="AA47" s="263"/>
      <c r="AB47" s="264">
        <f t="shared" ref="AB47:AB48" si="23">IF(AA47&lt;AB$35,Z47-((Z47*AA47)/AB$35),0)</f>
        <v>0</v>
      </c>
      <c r="AC47" s="209"/>
      <c r="AD47" s="209"/>
      <c r="AE47" s="262"/>
      <c r="AF47" s="263"/>
      <c r="AG47" s="264">
        <f t="shared" ref="AG47:AG48" si="24">IF(AF47&lt;AG$35,AE47-((AE47*AF47)/AG$35),0)</f>
        <v>0</v>
      </c>
      <c r="AH47" s="264"/>
      <c r="AI47" s="209"/>
      <c r="AJ47" s="262"/>
      <c r="AK47" s="263"/>
      <c r="AL47" s="264">
        <f t="shared" ref="AL47:AL48" si="25">IF(AK47&lt;AL$35,AJ47-((AJ47*AK47)/AL$35),0)</f>
        <v>0</v>
      </c>
      <c r="AM47" s="264"/>
      <c r="AN47" s="264"/>
      <c r="AO47" s="264"/>
      <c r="AP47" s="264"/>
    </row>
    <row r="48" spans="2:42" ht="16">
      <c r="B48" s="252"/>
      <c r="C48" s="209"/>
      <c r="D48" s="209"/>
      <c r="E48" s="209"/>
      <c r="F48" s="262"/>
      <c r="G48" s="263"/>
      <c r="H48" s="264">
        <f t="shared" si="13"/>
        <v>0</v>
      </c>
      <c r="I48" s="264"/>
      <c r="J48" s="209"/>
      <c r="K48" s="262"/>
      <c r="L48" s="263"/>
      <c r="M48" s="264">
        <f t="shared" si="20"/>
        <v>0</v>
      </c>
      <c r="N48" s="209"/>
      <c r="O48" s="209"/>
      <c r="P48" s="262"/>
      <c r="Q48" s="263"/>
      <c r="R48" s="264">
        <f t="shared" si="21"/>
        <v>0</v>
      </c>
      <c r="S48" s="209"/>
      <c r="T48" s="209"/>
      <c r="U48" s="262"/>
      <c r="V48" s="263"/>
      <c r="W48" s="264">
        <f t="shared" si="22"/>
        <v>0</v>
      </c>
      <c r="X48" s="209"/>
      <c r="Y48" s="209"/>
      <c r="Z48" s="262"/>
      <c r="AA48" s="263"/>
      <c r="AB48" s="264">
        <f t="shared" si="23"/>
        <v>0</v>
      </c>
      <c r="AC48" s="209"/>
      <c r="AD48" s="209"/>
      <c r="AE48" s="262"/>
      <c r="AF48" s="263"/>
      <c r="AG48" s="264">
        <f t="shared" si="24"/>
        <v>0</v>
      </c>
      <c r="AH48" s="264"/>
      <c r="AI48" s="209"/>
      <c r="AJ48" s="262"/>
      <c r="AK48" s="263"/>
      <c r="AL48" s="264">
        <f t="shared" si="25"/>
        <v>0</v>
      </c>
      <c r="AM48" s="264"/>
      <c r="AN48" s="264"/>
      <c r="AO48" s="264"/>
      <c r="AP48" s="264"/>
    </row>
    <row r="49" spans="2:42" ht="16">
      <c r="B49" s="252"/>
      <c r="C49" s="209"/>
      <c r="D49" s="209"/>
      <c r="E49" s="209"/>
      <c r="F49" s="262"/>
      <c r="G49" s="263"/>
      <c r="H49" s="265"/>
      <c r="I49" s="209"/>
      <c r="J49" s="209"/>
      <c r="K49" s="262"/>
      <c r="L49" s="263"/>
      <c r="M49" s="265"/>
      <c r="N49" s="209"/>
      <c r="O49" s="209"/>
      <c r="P49" s="262"/>
      <c r="Q49" s="263"/>
      <c r="R49" s="265"/>
      <c r="S49" s="209"/>
      <c r="T49" s="209"/>
      <c r="U49" s="262"/>
      <c r="V49" s="263"/>
      <c r="W49" s="265"/>
      <c r="X49" s="209"/>
      <c r="Y49" s="209"/>
      <c r="Z49" s="262"/>
      <c r="AA49" s="263"/>
      <c r="AB49" s="265"/>
      <c r="AC49" s="209"/>
      <c r="AD49" s="209"/>
      <c r="AE49" s="262"/>
      <c r="AF49" s="263"/>
      <c r="AG49" s="265"/>
      <c r="AH49" s="265"/>
      <c r="AI49" s="209"/>
      <c r="AJ49" s="262"/>
      <c r="AK49" s="263"/>
      <c r="AL49" s="265"/>
      <c r="AM49" s="265"/>
      <c r="AN49" s="265"/>
      <c r="AO49" s="265"/>
      <c r="AP49" s="265"/>
    </row>
    <row r="50" spans="2:42" ht="16">
      <c r="B50" s="252"/>
      <c r="C50" s="255" t="s">
        <v>270</v>
      </c>
      <c r="D50" s="209"/>
      <c r="E50" s="266" t="s">
        <v>271</v>
      </c>
      <c r="F50" s="266" t="s">
        <v>272</v>
      </c>
      <c r="G50" s="266" t="s">
        <v>273</v>
      </c>
      <c r="H50" s="266" t="s">
        <v>269</v>
      </c>
      <c r="I50" s="209"/>
      <c r="J50" s="266" t="s">
        <v>271</v>
      </c>
      <c r="K50" s="266" t="s">
        <v>272</v>
      </c>
      <c r="L50" s="266" t="s">
        <v>273</v>
      </c>
      <c r="M50" s="266" t="s">
        <v>269</v>
      </c>
      <c r="N50" s="209"/>
      <c r="O50" s="266" t="s">
        <v>271</v>
      </c>
      <c r="P50" s="266" t="s">
        <v>272</v>
      </c>
      <c r="Q50" s="266" t="s">
        <v>273</v>
      </c>
      <c r="R50" s="266" t="s">
        <v>269</v>
      </c>
      <c r="S50" s="209"/>
      <c r="T50" s="266" t="s">
        <v>271</v>
      </c>
      <c r="U50" s="266" t="s">
        <v>272</v>
      </c>
      <c r="V50" s="266" t="s">
        <v>273</v>
      </c>
      <c r="W50" s="266" t="s">
        <v>269</v>
      </c>
      <c r="X50" s="209"/>
      <c r="Y50" s="266" t="s">
        <v>271</v>
      </c>
      <c r="Z50" s="266" t="s">
        <v>272</v>
      </c>
      <c r="AA50" s="266" t="s">
        <v>273</v>
      </c>
      <c r="AB50" s="266" t="s">
        <v>269</v>
      </c>
      <c r="AC50" s="209"/>
      <c r="AD50" s="266" t="s">
        <v>271</v>
      </c>
      <c r="AE50" s="266" t="s">
        <v>272</v>
      </c>
      <c r="AF50" s="266" t="s">
        <v>273</v>
      </c>
      <c r="AG50" s="266" t="s">
        <v>269</v>
      </c>
      <c r="AH50" s="267"/>
      <c r="AI50" s="266" t="s">
        <v>271</v>
      </c>
      <c r="AJ50" s="266" t="s">
        <v>272</v>
      </c>
      <c r="AK50" s="266" t="s">
        <v>273</v>
      </c>
      <c r="AL50" s="266" t="s">
        <v>269</v>
      </c>
      <c r="AM50" s="267"/>
      <c r="AN50" s="267"/>
      <c r="AO50" s="267"/>
      <c r="AP50" s="267"/>
    </row>
    <row r="51" spans="2:42" ht="16">
      <c r="B51" s="252"/>
      <c r="C51" s="209"/>
      <c r="D51" s="209"/>
      <c r="E51" s="268"/>
      <c r="F51" s="269"/>
      <c r="G51" s="257"/>
      <c r="H51" s="264">
        <f>IFERROR(IF(G51&gt;H$35,0,(+F51/G51)*E51/F51), 0)</f>
        <v>0</v>
      </c>
      <c r="I51" s="209"/>
      <c r="J51" s="268"/>
      <c r="K51" s="269"/>
      <c r="L51" s="257"/>
      <c r="M51" s="264">
        <f>IFERROR(IF(L51&gt;M$35,0,(+K51/L51)*J51/K51),0)</f>
        <v>0</v>
      </c>
      <c r="N51" s="209"/>
      <c r="O51" s="268"/>
      <c r="P51" s="269"/>
      <c r="Q51" s="257"/>
      <c r="R51" s="264">
        <f>IFERROR(IF(Q51&gt;R$35,0,(+P51/Q51)*O51/P51),0)</f>
        <v>0</v>
      </c>
      <c r="S51" s="270"/>
      <c r="T51" s="268"/>
      <c r="U51" s="269"/>
      <c r="V51" s="257"/>
      <c r="W51" s="264">
        <f>IFERROR(IF(V51&gt;W$35,0,(+U51/V51)*T51/U51),0)</f>
        <v>0</v>
      </c>
      <c r="X51" s="270"/>
      <c r="Y51" s="268"/>
      <c r="Z51" s="269"/>
      <c r="AA51" s="257"/>
      <c r="AB51" s="264">
        <f>IFERROR(IF(AA51&gt;AB$35,0,+Y51/AA51-(AB$35*(Y51/AA51)-Y51)*0.5/AB$35),0)</f>
        <v>0</v>
      </c>
      <c r="AC51" s="270"/>
      <c r="AD51" s="268"/>
      <c r="AE51" s="269"/>
      <c r="AF51" s="257"/>
      <c r="AG51" s="264">
        <f>IFERROR(IF(AF51&gt;AG$35,0,+AD51/AF51-(AG$35*(AD51/AF51)-AD51)*0.5/AG$35),0)</f>
        <v>0</v>
      </c>
      <c r="AH51" s="264"/>
      <c r="AI51" s="268"/>
      <c r="AJ51" s="269"/>
      <c r="AK51" s="257"/>
      <c r="AL51" s="264">
        <f>IFERROR(IF(AK51&gt;AL$35,0,+AI51/AK51-(AL$35*(AI51/AK51)-AI51)*0.5/AL$35),0)</f>
        <v>0</v>
      </c>
      <c r="AM51" s="264"/>
      <c r="AN51" s="264"/>
      <c r="AO51" s="264"/>
      <c r="AP51" s="264"/>
    </row>
    <row r="52" spans="2:42" ht="16">
      <c r="B52" s="252"/>
      <c r="C52" s="209"/>
      <c r="D52" s="209"/>
      <c r="E52" s="268"/>
      <c r="F52" s="269"/>
      <c r="G52" s="257"/>
      <c r="H52" s="264">
        <f>IFERROR(IF(G52&gt;H$35,0,(+F52/G52)*E52/F52),0)</f>
        <v>0</v>
      </c>
      <c r="I52" s="209"/>
      <c r="J52" s="268"/>
      <c r="K52" s="269"/>
      <c r="L52" s="257"/>
      <c r="M52" s="264">
        <f>IFERROR(IF(L52&gt;M$35,0,(+K52/L52)*J52/K52),0)</f>
        <v>0</v>
      </c>
      <c r="N52" s="209"/>
      <c r="O52" s="268"/>
      <c r="P52" s="269"/>
      <c r="Q52" s="257"/>
      <c r="R52" s="264">
        <f>IFERROR(IF(Q52&gt;R$35,0,(+P52/Q52)*O52/P52),0)</f>
        <v>0</v>
      </c>
      <c r="S52" s="209"/>
      <c r="T52" s="268"/>
      <c r="U52" s="269"/>
      <c r="V52" s="257"/>
      <c r="W52" s="264">
        <f>IFERROR(IF(V52&gt;W$35,0,(+U52/V52)*T52/U52),0)</f>
        <v>0</v>
      </c>
      <c r="X52" s="209"/>
      <c r="Y52" s="268"/>
      <c r="Z52" s="269"/>
      <c r="AA52" s="257"/>
      <c r="AB52" s="264">
        <f>IFERROR(IF(AA52&gt;AB$35,0,(+Z52/AA52)*Y52/Z52),0)</f>
        <v>0</v>
      </c>
      <c r="AC52" s="209"/>
      <c r="AD52" s="268"/>
      <c r="AE52" s="269"/>
      <c r="AF52" s="257"/>
      <c r="AG52" s="264">
        <f>IFERROR(IF(AF52&gt;AG$35,0,(+AE52/AF52)*AD52/AE52),0)</f>
        <v>0</v>
      </c>
      <c r="AH52" s="264"/>
      <c r="AI52" s="268"/>
      <c r="AJ52" s="269"/>
      <c r="AK52" s="257"/>
      <c r="AL52" s="264">
        <f>IFERROR(IF(AK52&gt;AL$35,0,(+AJ52/AK52)*AI52/AJ52),0)</f>
        <v>0</v>
      </c>
      <c r="AM52" s="264"/>
      <c r="AN52" s="264"/>
      <c r="AO52" s="264"/>
      <c r="AP52" s="264"/>
    </row>
    <row r="53" spans="2:42" ht="16">
      <c r="B53" s="252"/>
      <c r="C53" s="209"/>
      <c r="D53" s="209"/>
      <c r="E53" s="209"/>
      <c r="F53" s="262"/>
      <c r="G53" s="263"/>
      <c r="H53" s="265"/>
      <c r="I53" s="209"/>
      <c r="J53" s="209"/>
      <c r="K53" s="262"/>
      <c r="L53" s="263"/>
      <c r="M53" s="265"/>
      <c r="N53" s="209"/>
      <c r="O53" s="209"/>
      <c r="P53" s="262"/>
      <c r="Q53" s="263"/>
      <c r="R53" s="265"/>
      <c r="S53" s="209"/>
      <c r="T53" s="209"/>
      <c r="U53" s="262"/>
      <c r="V53" s="263"/>
      <c r="W53" s="265"/>
      <c r="X53" s="209"/>
      <c r="Y53" s="209"/>
      <c r="Z53" s="262"/>
      <c r="AA53" s="263"/>
      <c r="AB53" s="265"/>
      <c r="AC53" s="209"/>
      <c r="AD53" s="209"/>
      <c r="AE53" s="262"/>
      <c r="AF53" s="263"/>
      <c r="AG53" s="265"/>
      <c r="AH53" s="265"/>
      <c r="AI53" s="209"/>
      <c r="AJ53" s="262"/>
      <c r="AK53" s="263"/>
      <c r="AL53" s="265"/>
      <c r="AM53" s="265"/>
      <c r="AN53" s="265"/>
      <c r="AO53" s="265"/>
      <c r="AP53" s="265"/>
    </row>
    <row r="54" spans="2:42" ht="16">
      <c r="B54" s="252"/>
      <c r="C54" s="209"/>
      <c r="D54" s="209"/>
      <c r="E54" s="209"/>
      <c r="F54" s="262"/>
      <c r="G54" s="261" t="s">
        <v>274</v>
      </c>
      <c r="H54" s="261" t="s">
        <v>269</v>
      </c>
      <c r="I54" s="209"/>
      <c r="J54" s="209"/>
      <c r="K54" s="262"/>
      <c r="L54" s="261" t="s">
        <v>274</v>
      </c>
      <c r="M54" s="261" t="s">
        <v>269</v>
      </c>
      <c r="N54" s="209"/>
      <c r="O54" s="209"/>
      <c r="P54" s="262"/>
      <c r="Q54" s="261" t="s">
        <v>274</v>
      </c>
      <c r="R54" s="261" t="s">
        <v>269</v>
      </c>
      <c r="S54" s="209"/>
      <c r="T54" s="209"/>
      <c r="U54" s="262"/>
      <c r="V54" s="261" t="s">
        <v>274</v>
      </c>
      <c r="W54" s="261" t="s">
        <v>269</v>
      </c>
      <c r="X54" s="209"/>
      <c r="Y54" s="209"/>
      <c r="Z54" s="262"/>
      <c r="AA54" s="261" t="s">
        <v>274</v>
      </c>
      <c r="AB54" s="261" t="s">
        <v>269</v>
      </c>
      <c r="AC54" s="209"/>
      <c r="AD54" s="209"/>
      <c r="AE54" s="262"/>
      <c r="AF54" s="261" t="s">
        <v>274</v>
      </c>
      <c r="AG54" s="261" t="s">
        <v>269</v>
      </c>
      <c r="AH54" s="261"/>
      <c r="AI54" s="209"/>
      <c r="AJ54" s="262"/>
      <c r="AK54" s="261" t="s">
        <v>274</v>
      </c>
      <c r="AL54" s="261" t="s">
        <v>269</v>
      </c>
      <c r="AM54" s="261"/>
      <c r="AN54" s="261"/>
      <c r="AO54" s="261"/>
      <c r="AP54" s="261"/>
    </row>
    <row r="55" spans="2:42" ht="16">
      <c r="B55" s="252"/>
      <c r="C55" s="255" t="s">
        <v>275</v>
      </c>
      <c r="D55" s="209"/>
      <c r="E55" s="209"/>
      <c r="F55" s="262"/>
      <c r="G55" s="262">
        <f>(321+105+91+71)/Units</f>
        <v>0.58799999999999997</v>
      </c>
      <c r="H55" s="264">
        <f>+G55</f>
        <v>0.58799999999999997</v>
      </c>
      <c r="I55" s="264"/>
      <c r="J55" s="209"/>
      <c r="K55" s="262"/>
      <c r="L55" s="262">
        <v>0</v>
      </c>
      <c r="M55" s="264">
        <f>+L55</f>
        <v>0</v>
      </c>
      <c r="N55" s="209"/>
      <c r="O55" s="209"/>
      <c r="P55" s="262"/>
      <c r="Q55" s="262">
        <v>0</v>
      </c>
      <c r="R55" s="264">
        <f>+Q55</f>
        <v>0</v>
      </c>
      <c r="S55" s="209"/>
      <c r="T55" s="209"/>
      <c r="U55" s="262"/>
      <c r="V55" s="262">
        <v>2</v>
      </c>
      <c r="W55" s="264">
        <f>+V55</f>
        <v>2</v>
      </c>
      <c r="X55" s="209"/>
      <c r="Y55" s="209"/>
      <c r="Z55" s="262"/>
      <c r="AA55" s="262">
        <f>(3470929+976862+513318)/AB36/1000000</f>
        <v>6.0222250546249093E-2</v>
      </c>
      <c r="AB55" s="264">
        <f>+AA55</f>
        <v>6.0222250546249093E-2</v>
      </c>
      <c r="AC55" s="209"/>
      <c r="AD55" s="209"/>
      <c r="AE55" s="262"/>
      <c r="AF55" s="262">
        <f>(8164661+1555793+809887+769882+769882)/AG36/1000000</f>
        <v>7.2584671357267441E-2</v>
      </c>
      <c r="AG55" s="264">
        <f>+AF55</f>
        <v>7.2584671357267441E-2</v>
      </c>
      <c r="AH55" s="264"/>
      <c r="AI55" s="209"/>
      <c r="AJ55" s="262"/>
      <c r="AK55" s="262">
        <v>0</v>
      </c>
      <c r="AL55" s="264">
        <f>+AK55</f>
        <v>0</v>
      </c>
      <c r="AM55" s="264"/>
      <c r="AN55" s="264"/>
      <c r="AO55" s="264"/>
      <c r="AP55" s="264"/>
    </row>
    <row r="56" spans="2:42" ht="16">
      <c r="B56" s="252"/>
      <c r="C56" s="255"/>
      <c r="D56" s="209"/>
      <c r="E56" s="209"/>
      <c r="F56" s="262"/>
      <c r="G56" s="262"/>
      <c r="H56" s="262"/>
      <c r="I56" s="209"/>
      <c r="J56" s="209"/>
      <c r="K56" s="262"/>
      <c r="L56" s="262"/>
      <c r="M56" s="262"/>
      <c r="N56" s="209"/>
      <c r="O56" s="209"/>
      <c r="P56" s="262"/>
      <c r="Q56" s="262"/>
      <c r="R56" s="262"/>
      <c r="S56" s="209"/>
      <c r="T56" s="209"/>
      <c r="U56" s="262"/>
      <c r="V56" s="262"/>
      <c r="W56" s="262"/>
      <c r="X56" s="209"/>
      <c r="Y56" s="209"/>
      <c r="Z56" s="262"/>
      <c r="AA56" s="262"/>
      <c r="AB56" s="262"/>
      <c r="AC56" s="209"/>
      <c r="AD56" s="209"/>
      <c r="AE56" s="262"/>
      <c r="AF56" s="262"/>
      <c r="AG56" s="262"/>
      <c r="AH56" s="262"/>
      <c r="AI56" s="209"/>
      <c r="AJ56" s="262"/>
      <c r="AK56" s="262"/>
      <c r="AL56" s="262"/>
      <c r="AM56" s="262"/>
      <c r="AN56" s="262"/>
      <c r="AO56" s="262"/>
      <c r="AP56" s="262"/>
    </row>
    <row r="57" spans="2:42" ht="16">
      <c r="B57" s="252"/>
      <c r="C57" s="255" t="s">
        <v>276</v>
      </c>
      <c r="D57" s="255"/>
      <c r="E57" s="209"/>
      <c r="F57" s="209"/>
      <c r="G57" s="209"/>
      <c r="H57" s="271">
        <f>+H55+SUM(H40:H48)+SUM(H51:H52)+H37</f>
        <v>163.988</v>
      </c>
      <c r="I57" s="209"/>
      <c r="J57" s="209"/>
      <c r="K57" s="209"/>
      <c r="L57" s="209"/>
      <c r="M57" s="271">
        <f>+M55+SUM(M40:M48)+SUM(M51:M52)+M37</f>
        <v>934.7</v>
      </c>
      <c r="N57" s="209"/>
      <c r="O57" s="209"/>
      <c r="P57" s="209"/>
      <c r="Q57" s="209"/>
      <c r="R57" s="271">
        <f>+R55+SUM(R40:R48)+SUM(R51:R52)+R37</f>
        <v>3615.1</v>
      </c>
      <c r="S57" s="209"/>
      <c r="T57" s="209"/>
      <c r="U57" s="209"/>
      <c r="V57" s="209"/>
      <c r="W57" s="271">
        <f>+W55+SUM(W40:W48)+SUM(W51:W52)+W37</f>
        <v>605.5</v>
      </c>
      <c r="X57" s="209"/>
      <c r="Y57" s="209"/>
      <c r="Z57" s="209"/>
      <c r="AA57" s="209"/>
      <c r="AB57" s="271">
        <f>+AB55+SUM(AB40:AB48)+SUM(AB51:AB52)+AB37</f>
        <v>20.860222250546251</v>
      </c>
      <c r="AC57" s="209"/>
      <c r="AD57" s="209"/>
      <c r="AE57" s="209"/>
      <c r="AF57" s="209"/>
      <c r="AG57" s="271">
        <f>+AG55+SUM(AG40:AG48)+SUM(AG51:AG52)+AG37</f>
        <v>230.77258467135727</v>
      </c>
      <c r="AH57" s="271"/>
      <c r="AI57" s="209"/>
      <c r="AJ57" s="209"/>
      <c r="AK57" s="209"/>
      <c r="AL57" s="271">
        <f>+AL55+SUM(AL40:AL48)+SUM(AL51:AL52)+AL37</f>
        <v>2310.6</v>
      </c>
      <c r="AM57" s="271"/>
      <c r="AN57" s="271"/>
      <c r="AO57" s="271"/>
      <c r="AP57" s="271"/>
    </row>
    <row r="58" spans="2:42" ht="16">
      <c r="B58" s="252"/>
      <c r="C58" s="209"/>
      <c r="D58" s="209"/>
      <c r="E58" s="209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65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  <c r="AE58" s="209"/>
      <c r="AF58" s="209"/>
      <c r="AG58" s="209"/>
      <c r="AH58" s="209"/>
      <c r="AI58" s="209"/>
      <c r="AJ58" s="209"/>
      <c r="AK58" s="209"/>
      <c r="AL58" s="209"/>
      <c r="AM58" s="209"/>
      <c r="AN58" s="209"/>
      <c r="AO58" s="209"/>
      <c r="AP58" s="209"/>
    </row>
    <row r="59" spans="2:42" ht="16">
      <c r="B59" s="252"/>
      <c r="C59" s="209"/>
      <c r="D59" s="209"/>
      <c r="E59" s="240" t="s">
        <v>277</v>
      </c>
      <c r="F59" s="248"/>
      <c r="G59" s="248"/>
      <c r="H59" s="248"/>
      <c r="I59" s="209"/>
      <c r="J59" s="240" t="s">
        <v>277</v>
      </c>
      <c r="K59" s="248"/>
      <c r="L59" s="248"/>
      <c r="M59" s="248"/>
      <c r="N59" s="209"/>
      <c r="O59" s="240" t="s">
        <v>277</v>
      </c>
      <c r="P59" s="248"/>
      <c r="Q59" s="248"/>
      <c r="R59" s="248"/>
      <c r="S59" s="209"/>
      <c r="T59" s="240" t="s">
        <v>277</v>
      </c>
      <c r="U59" s="248"/>
      <c r="V59" s="248"/>
      <c r="W59" s="248"/>
      <c r="X59" s="209"/>
      <c r="Y59" s="240" t="s">
        <v>277</v>
      </c>
      <c r="Z59" s="248"/>
      <c r="AA59" s="248"/>
      <c r="AB59" s="248"/>
      <c r="AC59" s="209"/>
      <c r="AD59" s="240" t="s">
        <v>277</v>
      </c>
      <c r="AE59" s="248"/>
      <c r="AF59" s="248"/>
      <c r="AG59" s="248"/>
      <c r="AH59" s="254"/>
      <c r="AI59" s="240" t="s">
        <v>277</v>
      </c>
      <c r="AJ59" s="248"/>
      <c r="AK59" s="248"/>
      <c r="AL59" s="248"/>
      <c r="AM59" s="254"/>
      <c r="AN59" s="254"/>
      <c r="AO59" s="254"/>
      <c r="AP59" s="254"/>
    </row>
    <row r="60" spans="2:42" ht="16">
      <c r="B60" s="252"/>
      <c r="C60" s="209"/>
      <c r="D60" s="209"/>
      <c r="E60" s="256"/>
      <c r="F60" s="215"/>
      <c r="G60" s="215"/>
      <c r="H60" s="272"/>
      <c r="I60" s="209"/>
      <c r="J60" s="256"/>
      <c r="K60" s="215"/>
      <c r="L60" s="215"/>
      <c r="M60" s="215"/>
      <c r="N60" s="209"/>
      <c r="O60" s="256"/>
      <c r="P60" s="215"/>
      <c r="Q60" s="215"/>
      <c r="R60" s="215"/>
      <c r="S60" s="209"/>
      <c r="T60" s="256"/>
      <c r="U60" s="215"/>
      <c r="V60" s="215"/>
      <c r="W60" s="215"/>
      <c r="X60" s="209"/>
      <c r="Y60" s="256"/>
      <c r="Z60" s="215"/>
      <c r="AA60" s="215"/>
      <c r="AB60" s="215"/>
      <c r="AC60" s="209"/>
      <c r="AD60" s="256"/>
      <c r="AE60" s="215"/>
      <c r="AF60" s="215"/>
      <c r="AG60" s="215"/>
      <c r="AH60" s="215"/>
      <c r="AI60" s="256"/>
      <c r="AJ60" s="215"/>
      <c r="AK60" s="215"/>
      <c r="AL60" s="215"/>
      <c r="AM60" s="215"/>
      <c r="AN60" s="215"/>
      <c r="AO60" s="215"/>
      <c r="AP60" s="215"/>
    </row>
    <row r="61" spans="2:42" ht="16">
      <c r="B61" s="252"/>
      <c r="C61" s="209" t="s">
        <v>278</v>
      </c>
      <c r="D61" s="209"/>
      <c r="E61" s="256"/>
      <c r="F61" s="215"/>
      <c r="G61" s="215"/>
      <c r="H61" s="273">
        <f>+H57*H36</f>
        <v>3515.90272</v>
      </c>
      <c r="I61" s="209"/>
      <c r="J61" s="256"/>
      <c r="K61" s="215"/>
      <c r="L61" s="215"/>
      <c r="M61" s="273">
        <f>+M57*M36</f>
        <v>5122.1560000000009</v>
      </c>
      <c r="N61" s="209"/>
      <c r="O61" s="256"/>
      <c r="P61" s="215"/>
      <c r="Q61" s="215"/>
      <c r="R61" s="273">
        <f>+R57*R36</f>
        <v>18762.369000000002</v>
      </c>
      <c r="S61" s="209"/>
      <c r="T61" s="256"/>
      <c r="U61" s="215"/>
      <c r="V61" s="215"/>
      <c r="W61" s="273">
        <f>+W57*W36</f>
        <v>308.80500000000001</v>
      </c>
      <c r="X61" s="209"/>
      <c r="Y61" s="256"/>
      <c r="Z61" s="215"/>
      <c r="AA61" s="215"/>
      <c r="AB61" s="273">
        <f>+AB57*AB36</f>
        <v>1718.465109</v>
      </c>
      <c r="AC61" s="209"/>
      <c r="AD61" s="256"/>
      <c r="AE61" s="215"/>
      <c r="AF61" s="215"/>
      <c r="AG61" s="273">
        <f>+AG57*AG36</f>
        <v>38375.173104999994</v>
      </c>
      <c r="AH61" s="273"/>
      <c r="AI61" s="256"/>
      <c r="AJ61" s="215"/>
      <c r="AK61" s="215"/>
      <c r="AL61" s="273">
        <f>+AL57*AL36</f>
        <v>24862.055999999997</v>
      </c>
      <c r="AM61" s="273"/>
      <c r="AN61" s="273"/>
      <c r="AO61" s="273"/>
      <c r="AP61" s="273"/>
    </row>
    <row r="62" spans="2:42" ht="16">
      <c r="B62" s="252"/>
      <c r="C62" s="209" t="s">
        <v>279</v>
      </c>
      <c r="D62" s="209"/>
      <c r="E62" s="209"/>
      <c r="F62" s="209"/>
      <c r="G62" s="209"/>
      <c r="H62" s="274">
        <f>+H61+SUM(H19:H27)</f>
        <v>3564.66372</v>
      </c>
      <c r="I62" s="209"/>
      <c r="J62" s="209"/>
      <c r="K62" s="209"/>
      <c r="L62" s="209"/>
      <c r="M62" s="274">
        <f>+M61+SUM(M19:M27)</f>
        <v>4896.1560000000009</v>
      </c>
      <c r="N62" s="209"/>
      <c r="O62" s="209"/>
      <c r="P62" s="209"/>
      <c r="Q62" s="209"/>
      <c r="R62" s="274">
        <f>+R61+SUM(R19:R27)</f>
        <v>18624.569000000003</v>
      </c>
      <c r="S62" s="209"/>
      <c r="T62" s="209"/>
      <c r="U62" s="209"/>
      <c r="V62" s="209"/>
      <c r="W62" s="274">
        <f>+W61+SUM(W19:W27)</f>
        <v>325.90500000000003</v>
      </c>
      <c r="X62" s="209"/>
      <c r="Y62" s="209"/>
      <c r="Z62" s="209"/>
      <c r="AA62" s="209"/>
      <c r="AB62" s="274">
        <f>+AB61+SUM(AB19:AB27)</f>
        <v>2223.8651089999998</v>
      </c>
      <c r="AC62" s="209"/>
      <c r="AD62" s="209"/>
      <c r="AE62" s="209"/>
      <c r="AF62" s="209"/>
      <c r="AG62" s="274">
        <f>+AG61+SUM(AG19:AG27)</f>
        <v>40325.673104999994</v>
      </c>
      <c r="AH62" s="274"/>
      <c r="AI62" s="209"/>
      <c r="AJ62" s="209"/>
      <c r="AK62" s="209"/>
      <c r="AL62" s="274">
        <f>+AL61+SUM(AL19:AL27)</f>
        <v>22234.455999999998</v>
      </c>
      <c r="AM62" s="274"/>
      <c r="AN62" s="274"/>
      <c r="AO62" s="274"/>
      <c r="AP62" s="274"/>
    </row>
    <row r="63" spans="2:42" ht="16">
      <c r="B63" s="252"/>
      <c r="C63" s="209" t="s">
        <v>280</v>
      </c>
      <c r="D63" s="209"/>
      <c r="E63" s="209"/>
      <c r="F63" s="209"/>
      <c r="G63" s="209"/>
      <c r="H63" s="275">
        <v>2.2400000000000002</v>
      </c>
      <c r="I63" s="209"/>
      <c r="J63" s="209"/>
      <c r="K63" s="209"/>
      <c r="L63" s="209"/>
      <c r="M63" s="275">
        <v>0.86</v>
      </c>
      <c r="N63" s="209"/>
      <c r="O63" s="209"/>
      <c r="P63" s="209"/>
      <c r="Q63" s="209"/>
      <c r="R63" s="275">
        <v>0.4</v>
      </c>
      <c r="S63" s="209"/>
      <c r="T63" s="209"/>
      <c r="U63" s="209"/>
      <c r="V63" s="209"/>
      <c r="W63" s="275">
        <v>0.84</v>
      </c>
      <c r="X63" s="209"/>
      <c r="Y63" s="209"/>
      <c r="Z63" s="209"/>
      <c r="AA63" s="209"/>
      <c r="AB63" s="275">
        <v>1.1399999999999999</v>
      </c>
      <c r="AC63" s="209"/>
      <c r="AD63" s="209"/>
      <c r="AE63" s="209"/>
      <c r="AF63" s="209"/>
      <c r="AG63" s="275">
        <v>1.1399999999999999</v>
      </c>
      <c r="AH63" s="275"/>
      <c r="AI63" s="209"/>
      <c r="AJ63" s="209"/>
      <c r="AK63" s="209"/>
      <c r="AL63" s="275">
        <v>0.34</v>
      </c>
      <c r="AM63" s="275"/>
      <c r="AN63" s="275"/>
      <c r="AO63" s="275"/>
      <c r="AP63" s="275"/>
    </row>
    <row r="64" spans="2:42" ht="16">
      <c r="B64" s="252"/>
      <c r="C64" s="209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</row>
    <row r="65" spans="2:42" ht="16">
      <c r="B65" s="252"/>
      <c r="C65" s="209"/>
      <c r="D65" s="209"/>
      <c r="E65" s="240" t="s">
        <v>281</v>
      </c>
      <c r="F65" s="248"/>
      <c r="G65" s="248"/>
      <c r="H65" s="248"/>
      <c r="I65" s="209"/>
      <c r="J65" s="240" t="s">
        <v>281</v>
      </c>
      <c r="K65" s="248"/>
      <c r="L65" s="248"/>
      <c r="M65" s="248"/>
      <c r="N65" s="209"/>
      <c r="O65" s="240" t="s">
        <v>281</v>
      </c>
      <c r="P65" s="248"/>
      <c r="Q65" s="248"/>
      <c r="R65" s="248"/>
      <c r="S65" s="209"/>
      <c r="T65" s="240" t="s">
        <v>281</v>
      </c>
      <c r="U65" s="248"/>
      <c r="V65" s="248"/>
      <c r="W65" s="248"/>
      <c r="X65" s="209"/>
      <c r="Y65" s="240" t="s">
        <v>281</v>
      </c>
      <c r="Z65" s="248"/>
      <c r="AA65" s="248"/>
      <c r="AB65" s="248"/>
      <c r="AC65" s="209"/>
      <c r="AD65" s="240" t="s">
        <v>281</v>
      </c>
      <c r="AE65" s="248"/>
      <c r="AF65" s="248"/>
      <c r="AG65" s="248"/>
      <c r="AH65" s="254"/>
      <c r="AI65" s="240" t="s">
        <v>281</v>
      </c>
      <c r="AJ65" s="248"/>
      <c r="AK65" s="248"/>
      <c r="AL65" s="248"/>
      <c r="AM65" s="254"/>
      <c r="AN65" s="254"/>
      <c r="AO65" s="254"/>
      <c r="AP65" s="254"/>
    </row>
    <row r="66" spans="2:42" ht="16">
      <c r="B66" s="252"/>
      <c r="C66" s="209"/>
      <c r="D66" s="209"/>
      <c r="E66" s="276" t="str">
        <f>H7</f>
        <v>LTM</v>
      </c>
      <c r="F66" s="216">
        <f>E30</f>
        <v>46022</v>
      </c>
      <c r="G66" s="216">
        <f>F30</f>
        <v>46387</v>
      </c>
      <c r="H66" s="216">
        <f>G30</f>
        <v>46752</v>
      </c>
      <c r="I66" s="209"/>
      <c r="J66" s="276" t="str">
        <f>M7</f>
        <v>LTM</v>
      </c>
      <c r="K66" s="276">
        <f>J30</f>
        <v>46022</v>
      </c>
      <c r="L66" s="276">
        <f>K30</f>
        <v>46387</v>
      </c>
      <c r="M66" s="276">
        <f>L30</f>
        <v>46752</v>
      </c>
      <c r="N66" s="209"/>
      <c r="O66" s="276" t="str">
        <f>R7</f>
        <v>LTM</v>
      </c>
      <c r="P66" s="276">
        <f>O30</f>
        <v>46022</v>
      </c>
      <c r="Q66" s="276">
        <f>P30</f>
        <v>46387</v>
      </c>
      <c r="R66" s="276">
        <f>Q30</f>
        <v>46752</v>
      </c>
      <c r="S66" s="209"/>
      <c r="T66" s="276" t="str">
        <f>W7</f>
        <v>LTM</v>
      </c>
      <c r="U66" s="276">
        <f>T30</f>
        <v>46022</v>
      </c>
      <c r="V66" s="276">
        <f>U30</f>
        <v>46387</v>
      </c>
      <c r="W66" s="276">
        <f>V30</f>
        <v>46752</v>
      </c>
      <c r="X66" s="209"/>
      <c r="Y66" s="276" t="str">
        <f>AB7</f>
        <v>LTM</v>
      </c>
      <c r="Z66" s="276">
        <f>Y30</f>
        <v>46022</v>
      </c>
      <c r="AA66" s="276">
        <f>Z30</f>
        <v>46387</v>
      </c>
      <c r="AB66" s="276">
        <f>AA30</f>
        <v>46752</v>
      </c>
      <c r="AC66" s="209"/>
      <c r="AD66" s="276" t="str">
        <f>AG7</f>
        <v>LTM</v>
      </c>
      <c r="AE66" s="276">
        <f>AD30</f>
        <v>46022</v>
      </c>
      <c r="AF66" s="276">
        <f>AE30</f>
        <v>46387</v>
      </c>
      <c r="AG66" s="276">
        <f>AF30</f>
        <v>46752</v>
      </c>
      <c r="AH66" s="277"/>
      <c r="AI66" s="276" t="str">
        <f>AL7</f>
        <v>LTM</v>
      </c>
      <c r="AJ66" s="276">
        <f>AI30</f>
        <v>46022</v>
      </c>
      <c r="AK66" s="276">
        <f>AJ30</f>
        <v>46387</v>
      </c>
      <c r="AL66" s="276">
        <f>AK30</f>
        <v>46752</v>
      </c>
      <c r="AM66" s="277"/>
      <c r="AN66" s="277"/>
      <c r="AO66" s="277"/>
      <c r="AP66" s="277"/>
    </row>
    <row r="67" spans="2:42" ht="16">
      <c r="B67" s="252"/>
      <c r="C67" s="209" t="s">
        <v>282</v>
      </c>
      <c r="D67" s="209"/>
      <c r="E67" s="278">
        <f>IFERROR(IF(OR(+H$62/H8&lt;0,+H$62/H8&gt;=100),"NM",+H$62/H8), "N/A")</f>
        <v>17.482411574301128</v>
      </c>
      <c r="F67" s="278">
        <f>IFERROR(IF(OR(+H62/E31&lt;0,+H62/E31&gt;=100),"NM",+H62/E31), "N/A")</f>
        <v>11.326878214880821</v>
      </c>
      <c r="G67" s="278">
        <f t="shared" ref="G67:H68" si="26">IFERROR(IF(OR(+$H$62/F31&lt;0,+$H$62/F31&gt;=100),"NM",+$H$62/F31), "N/A")</f>
        <v>8.9341062419328559</v>
      </c>
      <c r="H67" s="278">
        <f t="shared" si="26"/>
        <v>6.8235482136776611</v>
      </c>
      <c r="I67" s="209"/>
      <c r="J67" s="278">
        <f>IFERROR(IF(OR(+M$62/M8&lt;0,+M$62/M8&gt;=100),"NM",+M$62/M8),"N/A")</f>
        <v>10.140748104883809</v>
      </c>
      <c r="K67" s="278">
        <f>IFERROR(IF(OR(+$M$62/J31&lt;0,+$M$62/J31&gt;=100),"NM",+$M$62/J31), "N/A")</f>
        <v>13.197185983827495</v>
      </c>
      <c r="L67" s="278">
        <f t="shared" ref="L67:M67" si="27">IFERROR(IF(OR(+$M$62/K31&lt;0,+$M$62/K31&gt;=100),"NM",+$M$62/K31), "N/A")</f>
        <v>7.5557962962962977</v>
      </c>
      <c r="M67" s="278">
        <f t="shared" si="27"/>
        <v>7.4184181818181827</v>
      </c>
      <c r="N67" s="209"/>
      <c r="O67" s="278">
        <f>IFERROR(IF(OR(+R$62/R8&lt;0,+R$62/R8&gt;=100),"NM",+R$62/R8),"N/A")</f>
        <v>4.1236729768626157</v>
      </c>
      <c r="P67" s="278">
        <f>IFERROR(IF(OR(+$R$62/O31&lt;0,+$R$62/O31&gt;=100),"NM",+$R$62/O31), "N/A")</f>
        <v>3.7301359903865419</v>
      </c>
      <c r="Q67" s="278">
        <f>IFERROR(IF(OR(+R62/P31&lt;0,+R62/P31&gt;=100),"NM",+R62/P31), "N/A")</f>
        <v>3.2034002407980742</v>
      </c>
      <c r="R67" s="278">
        <f>IFERROR(IF(OR(+R62/Q31&lt;0,+R62/Q31&gt;=100),"NM",+R62/Q31), "N/A")</f>
        <v>2.7510453048339842</v>
      </c>
      <c r="S67" s="209"/>
      <c r="T67" s="278">
        <f>IFERROR(IF(OR(+W$62/W8&lt;0,+W$62/W8&gt;=100),"NM",+W$62/W8),"N/A")</f>
        <v>2.5650004952444925</v>
      </c>
      <c r="U67" s="278">
        <f>IFERROR(IF(OR(+$W$62/T31&lt;0,+$W$62/T31&gt;=100),"NM",+$W$62/T31), "N/A")</f>
        <v>1.928431952662722</v>
      </c>
      <c r="V67" s="278">
        <f t="shared" ref="V67:W68" si="28">IFERROR(IF(OR(+$W$62/U31&lt;0,+$W$62/U31&gt;=100),"NM",+$W$62/U31), "N/A")</f>
        <v>1.5897804878048782</v>
      </c>
      <c r="W67" s="278">
        <f t="shared" si="28"/>
        <v>1.3105995240928021</v>
      </c>
      <c r="X67" s="209"/>
      <c r="Y67" s="278">
        <f>IFERROR(IF(OR(+AB$62/AB8&lt;0,+AB$62/AB8&gt;=100),"NM",+AB$62/AB8),"N/A")</f>
        <v>1.3200362729269304</v>
      </c>
      <c r="Z67" s="278">
        <f>IFERROR(IF(OR(+$AB$62/Y31&lt;0,+$AB$62/Y31&gt;=100),"NM",+$AB$62/Y31), "N/A")</f>
        <v>2.6163118929411762</v>
      </c>
      <c r="AA67" s="278">
        <f t="shared" ref="AA67:AB67" si="29">IFERROR(IF(OR(+$AB$62/Z31&lt;0,+$AB$62/Z31&gt;=100),"NM",+$AB$62/Z31), "N/A")</f>
        <v>2.4384485844298243</v>
      </c>
      <c r="AB67" s="278">
        <f t="shared" si="29"/>
        <v>2.272676860488323</v>
      </c>
      <c r="AC67" s="209"/>
      <c r="AD67" s="278">
        <f>IFERROR(IF(OR(+AG$62/AG8&lt;0,+AG$62/AG8&gt;=100),"NM",+AG$62/AG8),"N/A")</f>
        <v>5.8096111774621093</v>
      </c>
      <c r="AE67" s="278">
        <f t="shared" ref="AE67:AF67" si="30">IFERROR(IF(OR(+$AG$62/AD31&lt;0,+$AG$62/AD31&gt;=100),"NM",+$AG$62/AD31), "N/A")</f>
        <v>5.6541886013740879</v>
      </c>
      <c r="AF67" s="278">
        <f t="shared" si="30"/>
        <v>5.3753229945347902</v>
      </c>
      <c r="AG67" s="278">
        <f>IFERROR(IF(OR(+$AG$62/AF31&lt;0,+$AG$62/AF31&gt;=100),"NM",+$AG$62/AF31), "N/A")</f>
        <v>5.1102110899789546</v>
      </c>
      <c r="AH67" s="278"/>
      <c r="AI67" s="278">
        <f>IFERROR(IF(OR(+AL$62/AL8&lt;0,+AL$62/AL8&gt;=100),"NM",+AL$62/AL8),"N/A")</f>
        <v>1.5985086451705668</v>
      </c>
      <c r="AJ67" s="278">
        <f t="shared" ref="AJ67" si="31">IFERROR(IF(OR(+$AG$62/AI31&lt;0,+$AG$62/AI31&gt;=100),"NM",+$AG$62/AI31), "N/A")</f>
        <v>2.7860766274008562</v>
      </c>
      <c r="AK67" s="278">
        <f t="shared" ref="AK67" si="32">IFERROR(IF(OR(+$AG$62/AJ31&lt;0,+$AG$62/AJ31&gt;=100),"NM",+$AG$62/AJ31), "N/A")</f>
        <v>2.5829921281706376</v>
      </c>
      <c r="AL67" s="278">
        <f>IFERROR(IF(OR(+$AG$62/AK31&lt;0,+$AG$62/AK31&gt;=100),"NM",+$AG$62/AK31), "N/A")</f>
        <v>2.4385120097357436</v>
      </c>
      <c r="AM67" s="278"/>
      <c r="AN67" s="278"/>
      <c r="AO67" s="278"/>
      <c r="AP67" s="278"/>
    </row>
    <row r="68" spans="2:42" ht="16">
      <c r="B68" s="252"/>
      <c r="C68" s="209" t="s">
        <v>283</v>
      </c>
      <c r="D68" s="209"/>
      <c r="E68" s="278">
        <f>IFERROR(IF(OR(+H$62/H14&lt;0,+H$62/H14&gt;=100),"NM",+H$62/H14), "N/A")</f>
        <v>13.768496407879491</v>
      </c>
      <c r="F68" s="278">
        <f>IFERROR(IF(OR(+$H$62/E32&lt;0,+$H$62/E32&gt;=100),"NM",+$H$62/E32), "N/A")</f>
        <v>37.772710656048162</v>
      </c>
      <c r="G68" s="278">
        <f t="shared" si="26"/>
        <v>23.322554035973742</v>
      </c>
      <c r="H68" s="278">
        <f t="shared" si="26"/>
        <v>15.060785058163257</v>
      </c>
      <c r="I68" s="209"/>
      <c r="J68" s="278">
        <f>IFERROR(IF(OR(+M$62/M14&lt;0,+M$62/M14&gt;=100),"NM",+M$62/M14),"N/A")</f>
        <v>51.065456821026295</v>
      </c>
      <c r="K68" s="278">
        <f>IFERROR(IF(OR(+$M$62/J32&lt;0,+$M$62/J32&gt;=100),"NM",+$M$62/J32),"N/A")</f>
        <v>52.646838709677425</v>
      </c>
      <c r="L68" s="278">
        <f t="shared" ref="L68:M68" si="33">IFERROR(IF(OR(+$M$62/K32&lt;0,+$M$62/K32&gt;=100),"NM",+$M$62/K32),"N/A")</f>
        <v>17.739695652173918</v>
      </c>
      <c r="M68" s="278">
        <f t="shared" si="33"/>
        <v>16.88329655172414</v>
      </c>
      <c r="N68" s="209"/>
      <c r="O68" s="278">
        <f>IFERROR(IF(OR(+$R$62/R14&lt;0,+$R$62/R14&gt;=100),"NM",+$R$62/R14),"N/A")</f>
        <v>18.908191878172591</v>
      </c>
      <c r="P68" s="278">
        <f>IFERROR(IF(OR(+$R$62/O32&lt;0,+$R$62/O32&gt;=100),"NM",+$R$62/O32),"N/A")</f>
        <v>31.513653130287654</v>
      </c>
      <c r="Q68" s="278">
        <f t="shared" ref="Q68:R68" si="34">IFERROR(IF(OR(+$R$62/P32&lt;0,+$R$62/P32&gt;=100),"NM",+$R$62/P32),"N/A")</f>
        <v>22.225022673031031</v>
      </c>
      <c r="R68" s="278">
        <f t="shared" si="34"/>
        <v>15.674210500908517</v>
      </c>
      <c r="S68" s="209"/>
      <c r="T68" s="278">
        <f>IFERROR(IF(OR(+W$62/W14&lt;0,+W$62/W14&gt;=100),"NM",+W$62/W14),"N/A")</f>
        <v>7.8637438471190038</v>
      </c>
      <c r="U68" s="278">
        <f>IFERROR(IF(OR(+$W$62/T32&lt;0,+$W$62/T32&gt;=100),"NM",+$W$62/T32), "N/A")</f>
        <v>4.4644520547945206</v>
      </c>
      <c r="V68" s="278">
        <f t="shared" si="28"/>
        <v>2.6934297520661161</v>
      </c>
      <c r="W68" s="278">
        <f t="shared" si="28"/>
        <v>1.6249617512464998</v>
      </c>
      <c r="X68" s="209"/>
      <c r="Y68" s="278">
        <f>IFERROR(IF(OR(+AB$62/AB14&lt;0,+AB$62/AB14&gt;=100),"NM",+AB$62/AB14),"N/A")</f>
        <v>10.062738049773754</v>
      </c>
      <c r="Z68" s="278">
        <f>IFERROR(IF(OR(+$AB$62/Y32&lt;0,+$AB$62/Y32&gt;=100),"NM",+$AB$62/Y32),"N/A")</f>
        <v>9.7112013493449769</v>
      </c>
      <c r="AA68" s="278">
        <f t="shared" ref="AA68:AB68" si="35">IFERROR(IF(OR(+$AB$62/Z32&lt;0,+$AB$62/Z32&gt;=100),"NM",+$AB$62/Z32),"N/A")</f>
        <v>8.9311851767068262</v>
      </c>
      <c r="AB68" s="278">
        <f t="shared" si="35"/>
        <v>8.2138209054853952</v>
      </c>
      <c r="AC68" s="209"/>
      <c r="AD68" s="278">
        <f>IFERROR(IF(OR(+AG$62/AG14&lt;0,+AG$62/AG14&gt;=100),"NM",+AG$62/AG14),"N/A")</f>
        <v>21.059992221119696</v>
      </c>
      <c r="AE68" s="278">
        <f>IFERROR(IF(OR(+$AG$62/AD32&lt;0,+$AG$62/AD32&gt;=100),"NM",+$AG$62/AD32),"N/A")</f>
        <v>17.859022632860935</v>
      </c>
      <c r="AF68" s="278">
        <f t="shared" ref="AF68:AG68" si="36">IFERROR(IF(OR(+$AG$62/AE32&lt;0,+$AG$62/AE32&gt;=100),"NM",+$AG$62/AE32),"N/A")</f>
        <v>16.677284162531016</v>
      </c>
      <c r="AG68" s="278">
        <f t="shared" si="36"/>
        <v>15.573741786184877</v>
      </c>
      <c r="AH68" s="278"/>
      <c r="AI68" s="278">
        <f>IFERROR(IF(OR(+AL$62/AL14&lt;0,+AL$62/AL14&gt;=100),"NM",+AL$62/AL14),"N/A")</f>
        <v>9.0979401775850057</v>
      </c>
      <c r="AJ68" s="278">
        <f>IFERROR(IF(OR(+$AG$62/AI32&lt;0,+$AG$62/AI32&gt;=100),"NM",+$AG$62/AI32),"N/A")</f>
        <v>14.60973585422578</v>
      </c>
      <c r="AK68" s="278">
        <f t="shared" ref="AK68" si="37">IFERROR(IF(OR(+$AG$62/AJ32&lt;0,+$AG$62/AJ32&gt;=100),"NM",+$AG$62/AJ32),"N/A")</f>
        <v>13.084254738805969</v>
      </c>
      <c r="AL68" s="278">
        <f t="shared" ref="AL68" si="38">IFERROR(IF(OR(+$AG$62/AK32&lt;0,+$AG$62/AK32&gt;=100),"NM",+$AG$62/AK32),"N/A")</f>
        <v>11.85003617543344</v>
      </c>
      <c r="AM68" s="278"/>
      <c r="AN68" s="278"/>
      <c r="AO68" s="278"/>
      <c r="AP68" s="278"/>
    </row>
    <row r="69" spans="2:42" ht="16">
      <c r="B69" s="252"/>
      <c r="C69" s="209" t="s">
        <v>284</v>
      </c>
      <c r="D69" s="209"/>
      <c r="E69" s="278" t="str">
        <f>IFERROR(IF(OR(+H$61/H9&lt;0,+H$61/H9&gt;=100),"NM",+H$61/H9), "N/A")</f>
        <v>NM</v>
      </c>
      <c r="F69" s="278">
        <f>IFERROR(IF(OR($H$61/E$33&lt;0,+$H$61/E$33&gt;=100),"NM",+$H$61/E$33), "N/A")</f>
        <v>87.733181842659391</v>
      </c>
      <c r="G69" s="278">
        <f>IFERROR(IF(OR(H61/F$33&lt;0,+H61/F$33&gt;=100),"NM",+H61/F$33), "N/A")</f>
        <v>41.407797204686752</v>
      </c>
      <c r="H69" s="278">
        <f>IFERROR(IF(OR(H61/G$33&lt;0,+H61/G$33&gt;=100),"NM",+H61/G$33), "N/A")</f>
        <v>22.640297219372673</v>
      </c>
      <c r="I69" s="209"/>
      <c r="J69" s="278" t="str">
        <f>IFERROR(IF(OR(+M$61/M9&lt;0,+M$61/M9&gt;=100),"NM",+M$61/M9), "N/A")</f>
        <v>NM</v>
      </c>
      <c r="K69" s="278" t="str">
        <f>IFERROR(IF(OR($M$61/J$33&lt;0,+$M$61/J$33&gt;=100),"NM",+$M$61/J$33), "N/A")</f>
        <v>NM</v>
      </c>
      <c r="L69" s="278">
        <f>IFERROR(IF(OR(M61/K$33&lt;0,+M61/K$33&gt;=100),"NM",+M61/K$33), "N/A")</f>
        <v>31.618246913580251</v>
      </c>
      <c r="M69" s="278">
        <f t="shared" ref="M69" si="39">IFERROR(IF(OR(M61/L$33&lt;0,+M61/L$33&gt;=100),"NM",+M61/L$33), "N/A")</f>
        <v>28.456422222222226</v>
      </c>
      <c r="N69" s="209"/>
      <c r="O69" s="278" t="str">
        <f>IFERROR(IF(OR(+R$61/R9&lt;0,+R$61/R9&gt;=100),"NM",+R$61/R9), "N/A")</f>
        <v>NM</v>
      </c>
      <c r="P69" s="278">
        <f>IFERROR(IF(OR($R$61/O$33&lt;0,+$R$61/O$33&gt;=100),"NM",+$R$61/O$33), "N/A")</f>
        <v>60.719640776699038</v>
      </c>
      <c r="Q69" s="278">
        <f>IFERROR(IF(OR(R61/P$33&lt;0,+R61/P$33&gt;=100),"NM",+R61/P$33), "N/A")</f>
        <v>40.611188311688316</v>
      </c>
      <c r="R69" s="278">
        <f t="shared" ref="R69" si="40">IFERROR(IF(OR(R61/Q$33&lt;0,+R61/Q$33&gt;=100),"NM",+R61/Q$33), "N/A")</f>
        <v>27.162028546129196</v>
      </c>
      <c r="S69" s="209"/>
      <c r="T69" s="278">
        <f>IFERROR(IF(OR(+W$61/W9&lt;0,+W$61/W9&gt;=100),"NM",+W$61/W9),"N/A")</f>
        <v>26.857478073198486</v>
      </c>
      <c r="U69" s="278">
        <f>IFERROR(IF(OR(+W$61/T33&lt;0,+W$61/T33&gt;=100),"NM",+W$61/T33),"N/A")</f>
        <v>10.648448275862069</v>
      </c>
      <c r="V69" s="278">
        <f>IFERROR(IF(OR(+W$61/U33&lt;0,+W$61/U33&gt;=100),"NM",+W$61/U33),"N/A")</f>
        <v>5.0623770491803279</v>
      </c>
      <c r="W69" s="278">
        <f>IFERROR(IF(OR(+W$61/V33&lt;0,+W$61/V33&gt;=100),"NM",+W$61/V33),"N/A")</f>
        <v>2.4067038430529433</v>
      </c>
      <c r="X69" s="209"/>
      <c r="Y69" s="278" t="str">
        <f>IFERROR(IF(OR(+AB$61/AB9&lt;0,+AB$61/AB9&gt;=100),"NM",+AB$61/AB9),"N/A")</f>
        <v>NM</v>
      </c>
      <c r="Z69" s="278">
        <f>IFERROR(IF(OR(+$AB$61/Y33&lt;0,+$AB$61/Y33&gt;=100),"NM",+$AB$61/Y33),"N/A")</f>
        <v>16.523702971153845</v>
      </c>
      <c r="AA69" s="278">
        <f t="shared" ref="AA69:AB69" si="41">IFERROR(IF(OR(+$AB$61/Z33&lt;0,+$AB$61/Z33&gt;=100),"NM",+$AB$61/Z33),"N/A")</f>
        <v>13.747720872</v>
      </c>
      <c r="AB69" s="278">
        <f t="shared" si="41"/>
        <v>11.438103765504</v>
      </c>
      <c r="AC69" s="209"/>
      <c r="AD69" s="278">
        <f>IFERROR(IF(OR(+AG$61/AG9&lt;0,+AG$61/AG9&gt;=100),"NM",+AG$61/AG9),"N/A")</f>
        <v>27.88690727781411</v>
      </c>
      <c r="AE69" s="278">
        <f>IFERROR(IF(OR(+$AG$61/AD33&lt;0,+$AG$61/AD33&gt;=100),"NM",+$AG$61/AD33),"N/A")</f>
        <v>26.465636624137929</v>
      </c>
      <c r="AF69" s="278">
        <f t="shared" ref="AF69:AG69" si="42">IFERROR(IF(OR(+$AG$61/AE33&lt;0,+$AG$61/AE33&gt;=100),"NM",+$AG$61/AE33),"N/A")</f>
        <v>23.969502251717675</v>
      </c>
      <c r="AG69" s="278">
        <f t="shared" si="42"/>
        <v>21.708793419731808</v>
      </c>
      <c r="AH69" s="278"/>
      <c r="AI69" s="278">
        <f>IFERROR(IF(OR(+AL$61/AL9&lt;0,+AL$61/AL9&gt;=100),"NM",+AL$61/AL9),"N/A")</f>
        <v>3.4641293019367421</v>
      </c>
      <c r="AJ69" s="278">
        <f>IFERROR(IF(OR(+$AG$61/AI33&lt;0,+$AG$61/AI33&gt;=100),"NM",+$AG$61/AI33),"N/A")</f>
        <v>34.981926257976291</v>
      </c>
      <c r="AK69" s="278">
        <f t="shared" ref="AK69" si="43">IFERROR(IF(OR(+$AG$61/AJ33&lt;0,+$AG$61/AJ33&gt;=100),"NM",+$AG$61/AJ33),"N/A")</f>
        <v>30.823432212851401</v>
      </c>
      <c r="AL69" s="278">
        <f t="shared" ref="AL69" si="44">IFERROR(IF(OR(+$AG$61/AK33&lt;0,+$AG$61/AK33&gt;=100),"NM",+$AG$61/AK33),"N/A")</f>
        <v>26.873370521708679</v>
      </c>
      <c r="AM69" s="278"/>
      <c r="AN69" s="278"/>
      <c r="AO69" s="278"/>
      <c r="AP69" s="278"/>
    </row>
    <row r="70" spans="2:42" ht="16">
      <c r="B70" s="252"/>
      <c r="C70" s="209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09"/>
      <c r="O70" s="209"/>
      <c r="P70" s="209"/>
      <c r="Q70" s="209"/>
      <c r="R70" s="209"/>
      <c r="S70" s="209"/>
      <c r="T70" s="209"/>
      <c r="U70" s="209"/>
      <c r="V70" s="209"/>
      <c r="W70" s="209"/>
      <c r="X70" s="209"/>
      <c r="Y70" s="209"/>
      <c r="Z70" s="209"/>
      <c r="AA70" s="209"/>
      <c r="AB70" s="209"/>
      <c r="AC70" s="209"/>
      <c r="AD70" s="209"/>
      <c r="AE70" s="209"/>
      <c r="AF70" s="209"/>
      <c r="AG70" s="209"/>
      <c r="AH70" s="209"/>
      <c r="AI70" s="209"/>
      <c r="AJ70" s="209"/>
      <c r="AK70" s="209"/>
      <c r="AL70" s="209"/>
      <c r="AM70" s="209"/>
      <c r="AN70" s="209"/>
      <c r="AO70" s="209"/>
      <c r="AP70" s="209"/>
    </row>
    <row r="71" spans="2:42" ht="16">
      <c r="B71" s="252"/>
      <c r="C71" s="209"/>
      <c r="D71" s="209"/>
      <c r="E71" s="240" t="s">
        <v>285</v>
      </c>
      <c r="F71" s="248"/>
      <c r="G71" s="248"/>
      <c r="H71" s="248"/>
      <c r="I71" s="209"/>
      <c r="J71" s="240" t="s">
        <v>285</v>
      </c>
      <c r="K71" s="248"/>
      <c r="L71" s="248"/>
      <c r="M71" s="248"/>
      <c r="N71" s="209"/>
      <c r="O71" s="240" t="s">
        <v>285</v>
      </c>
      <c r="P71" s="248"/>
      <c r="Q71" s="248"/>
      <c r="R71" s="248"/>
      <c r="S71" s="209"/>
      <c r="T71" s="240" t="s">
        <v>285</v>
      </c>
      <c r="U71" s="248"/>
      <c r="V71" s="248"/>
      <c r="W71" s="248"/>
      <c r="X71" s="209"/>
      <c r="Y71" s="240" t="s">
        <v>285</v>
      </c>
      <c r="Z71" s="248"/>
      <c r="AA71" s="248"/>
      <c r="AB71" s="248"/>
      <c r="AC71" s="209"/>
      <c r="AD71" s="240" t="s">
        <v>285</v>
      </c>
      <c r="AE71" s="248"/>
      <c r="AF71" s="248"/>
      <c r="AG71" s="248"/>
      <c r="AH71" s="254"/>
      <c r="AI71" s="240" t="s">
        <v>285</v>
      </c>
      <c r="AJ71" s="248"/>
      <c r="AK71" s="248"/>
      <c r="AL71" s="248"/>
      <c r="AM71" s="254"/>
      <c r="AN71" s="254"/>
      <c r="AO71" s="254"/>
      <c r="AP71" s="254"/>
    </row>
    <row r="72" spans="2:42" ht="16">
      <c r="B72" s="252"/>
      <c r="C72" s="209"/>
      <c r="D72" s="209"/>
      <c r="E72" s="279"/>
      <c r="F72" s="279"/>
      <c r="G72" s="279"/>
      <c r="H72" s="279"/>
      <c r="I72" s="209"/>
      <c r="J72" s="279"/>
      <c r="K72" s="279"/>
      <c r="L72" s="279"/>
      <c r="M72" s="279"/>
      <c r="N72" s="209"/>
      <c r="O72" s="279"/>
      <c r="P72" s="279"/>
      <c r="Q72" s="279"/>
      <c r="R72" s="279"/>
      <c r="S72" s="209"/>
      <c r="T72" s="279"/>
      <c r="U72" s="279"/>
      <c r="V72" s="279"/>
      <c r="W72" s="279"/>
      <c r="X72" s="209"/>
      <c r="Y72" s="279"/>
      <c r="Z72" s="279"/>
      <c r="AA72" s="279"/>
      <c r="AB72" s="279"/>
      <c r="AC72" s="209"/>
      <c r="AD72" s="279"/>
      <c r="AE72" s="279"/>
      <c r="AF72" s="279"/>
      <c r="AG72" s="279"/>
      <c r="AH72" s="209"/>
      <c r="AI72" s="279"/>
      <c r="AJ72" s="279"/>
      <c r="AK72" s="279"/>
      <c r="AL72" s="279"/>
      <c r="AM72" s="209"/>
      <c r="AN72" s="209"/>
      <c r="AO72" s="209"/>
      <c r="AP72" s="209"/>
    </row>
    <row r="73" spans="2:42" ht="16">
      <c r="B73" s="252"/>
      <c r="C73" s="209" t="str">
        <f>TEXT(Forward_Year_1,"yyyy-mm-dd")&amp;" "&amp;C31</f>
        <v>2025-12-31 Revenue:</v>
      </c>
      <c r="D73" s="209"/>
      <c r="E73" s="279"/>
      <c r="F73" s="279"/>
      <c r="G73" s="279"/>
      <c r="H73" s="280">
        <f>+E31</f>
        <v>314.70840000000004</v>
      </c>
      <c r="I73" s="209"/>
      <c r="J73" s="279"/>
      <c r="K73" s="279"/>
      <c r="L73" s="279"/>
      <c r="M73" s="280">
        <f>+J31</f>
        <v>371</v>
      </c>
      <c r="N73" s="209"/>
      <c r="O73" s="279"/>
      <c r="P73" s="279"/>
      <c r="Q73" s="279"/>
      <c r="R73" s="280">
        <f>+O31</f>
        <v>4993</v>
      </c>
      <c r="S73" s="209"/>
      <c r="T73" s="279"/>
      <c r="U73" s="279"/>
      <c r="V73" s="279"/>
      <c r="W73" s="280">
        <f>+T31</f>
        <v>169</v>
      </c>
      <c r="X73" s="209"/>
      <c r="Y73" s="279"/>
      <c r="Z73" s="279"/>
      <c r="AA73" s="279"/>
      <c r="AB73" s="280">
        <f>+Y31</f>
        <v>850</v>
      </c>
      <c r="AC73" s="209"/>
      <c r="AD73" s="279"/>
      <c r="AE73" s="279"/>
      <c r="AF73" s="279"/>
      <c r="AG73" s="280">
        <f>+AD31</f>
        <v>7132</v>
      </c>
      <c r="AH73" s="280"/>
      <c r="AI73" s="279"/>
      <c r="AJ73" s="279"/>
      <c r="AK73" s="279"/>
      <c r="AL73" s="280">
        <f>+AI31</f>
        <v>14474</v>
      </c>
      <c r="AM73" s="280"/>
      <c r="AN73" s="280"/>
      <c r="AO73" s="280"/>
      <c r="AP73" s="280"/>
    </row>
    <row r="74" spans="2:42" ht="16">
      <c r="B74" s="252"/>
      <c r="C74" s="209" t="str">
        <f>TEXT(Forward_Year_1,"yyyy-mm-dd")&amp;" "&amp;C32</f>
        <v>2025-12-31 EBITDA:</v>
      </c>
      <c r="D74" s="209"/>
      <c r="E74" s="279"/>
      <c r="F74" s="279"/>
      <c r="G74" s="279"/>
      <c r="H74" s="281">
        <f>+E32</f>
        <v>94.371403536781287</v>
      </c>
      <c r="I74" s="209"/>
      <c r="J74" s="279"/>
      <c r="K74" s="279"/>
      <c r="L74" s="279"/>
      <c r="M74" s="281">
        <f>+J32</f>
        <v>93</v>
      </c>
      <c r="N74" s="209"/>
      <c r="O74" s="279"/>
      <c r="P74" s="279"/>
      <c r="Q74" s="279"/>
      <c r="R74" s="281">
        <f>+O32</f>
        <v>591</v>
      </c>
      <c r="S74" s="209"/>
      <c r="T74" s="279"/>
      <c r="U74" s="279"/>
      <c r="V74" s="279"/>
      <c r="W74" s="281">
        <f>+T32</f>
        <v>73</v>
      </c>
      <c r="X74" s="209"/>
      <c r="Y74" s="279"/>
      <c r="Z74" s="279"/>
      <c r="AA74" s="279"/>
      <c r="AB74" s="281">
        <f>+Y32</f>
        <v>229</v>
      </c>
      <c r="AC74" s="209"/>
      <c r="AD74" s="279"/>
      <c r="AE74" s="279"/>
      <c r="AF74" s="279"/>
      <c r="AG74" s="281">
        <f>+AD32</f>
        <v>2258</v>
      </c>
      <c r="AH74" s="281"/>
      <c r="AI74" s="279"/>
      <c r="AJ74" s="279"/>
      <c r="AK74" s="279"/>
      <c r="AL74" s="281">
        <f>+AI32</f>
        <v>2760.1918000000001</v>
      </c>
      <c r="AM74" s="281"/>
      <c r="AN74" s="281"/>
      <c r="AO74" s="281"/>
      <c r="AP74" s="281"/>
    </row>
    <row r="75" spans="2:42" ht="16">
      <c r="B75" s="252"/>
      <c r="C75" s="209" t="str">
        <f>TEXT(Forward_Year_1,"yyyy-mm-dd")&amp;" "&amp;C33</f>
        <v>2025-12-31 Reported Net Income:</v>
      </c>
      <c r="D75" s="209"/>
      <c r="E75" s="279"/>
      <c r="F75" s="279"/>
      <c r="G75" s="279"/>
      <c r="H75" s="281">
        <f>+E33</f>
        <v>40.074948225466358</v>
      </c>
      <c r="I75" s="209"/>
      <c r="J75" s="279"/>
      <c r="K75" s="279"/>
      <c r="L75" s="279"/>
      <c r="M75" s="281">
        <f>+J33</f>
        <v>36</v>
      </c>
      <c r="N75" s="209"/>
      <c r="O75" s="279"/>
      <c r="P75" s="279"/>
      <c r="Q75" s="279"/>
      <c r="R75" s="281">
        <f>+O33</f>
        <v>309</v>
      </c>
      <c r="S75" s="209"/>
      <c r="T75" s="279"/>
      <c r="U75" s="279"/>
      <c r="V75" s="279"/>
      <c r="W75" s="281">
        <f>+T33</f>
        <v>29</v>
      </c>
      <c r="X75" s="209"/>
      <c r="Y75" s="279"/>
      <c r="Z75" s="279"/>
      <c r="AA75" s="279"/>
      <c r="AB75" s="281">
        <f>+Y33</f>
        <v>104</v>
      </c>
      <c r="AC75" s="209"/>
      <c r="AD75" s="279"/>
      <c r="AE75" s="279"/>
      <c r="AF75" s="279"/>
      <c r="AG75" s="281">
        <f>+AD33</f>
        <v>1450</v>
      </c>
      <c r="AH75" s="281"/>
      <c r="AI75" s="279"/>
      <c r="AJ75" s="279"/>
      <c r="AK75" s="279"/>
      <c r="AL75" s="281">
        <f>+AI33</f>
        <v>1097</v>
      </c>
      <c r="AM75" s="281"/>
      <c r="AN75" s="281"/>
      <c r="AO75" s="281"/>
      <c r="AP75" s="281"/>
    </row>
    <row r="76" spans="2:42" ht="16">
      <c r="B76" s="252"/>
      <c r="C76" s="209"/>
      <c r="D76" s="209"/>
      <c r="E76" s="279"/>
      <c r="F76" s="279"/>
      <c r="G76" s="279"/>
      <c r="H76" s="279"/>
      <c r="I76" s="209"/>
      <c r="J76" s="279"/>
      <c r="K76" s="279"/>
      <c r="L76" s="279"/>
      <c r="M76" s="279"/>
      <c r="N76" s="209"/>
      <c r="O76" s="279"/>
      <c r="P76" s="279"/>
      <c r="Q76" s="279"/>
      <c r="R76" s="279"/>
      <c r="S76" s="209"/>
      <c r="T76" s="279"/>
      <c r="U76" s="279"/>
      <c r="V76" s="279"/>
      <c r="W76" s="279"/>
      <c r="X76" s="209"/>
      <c r="Y76" s="279"/>
      <c r="Z76" s="279"/>
      <c r="AA76" s="279"/>
      <c r="AB76" s="279"/>
      <c r="AC76" s="209"/>
      <c r="AD76" s="279"/>
      <c r="AE76" s="279"/>
      <c r="AF76" s="279"/>
      <c r="AG76" s="279"/>
      <c r="AH76" s="209"/>
      <c r="AI76" s="279"/>
      <c r="AJ76" s="279"/>
      <c r="AK76" s="279"/>
      <c r="AL76" s="279"/>
      <c r="AM76" s="209"/>
      <c r="AN76" s="209"/>
      <c r="AO76" s="209"/>
      <c r="AP76" s="209"/>
    </row>
    <row r="77" spans="2:42" ht="16">
      <c r="B77" s="252"/>
      <c r="C77" s="209" t="str">
        <f>TEXT(Forward_Year_2,"yyyy-mm-dd")&amp;" "&amp;C31</f>
        <v>2026-12-31 Revenue:</v>
      </c>
      <c r="D77" s="209"/>
      <c r="E77" s="279"/>
      <c r="F77" s="279"/>
      <c r="G77" s="279"/>
      <c r="H77" s="282">
        <f>+F31</f>
        <v>398.995</v>
      </c>
      <c r="I77" s="209"/>
      <c r="J77" s="279"/>
      <c r="K77" s="279"/>
      <c r="L77" s="279"/>
      <c r="M77" s="282">
        <f>+K31</f>
        <v>648</v>
      </c>
      <c r="N77" s="209"/>
      <c r="O77" s="279"/>
      <c r="P77" s="279"/>
      <c r="Q77" s="279"/>
      <c r="R77" s="282">
        <f>+P31</f>
        <v>5814</v>
      </c>
      <c r="S77" s="209"/>
      <c r="T77" s="279"/>
      <c r="U77" s="279"/>
      <c r="V77" s="279"/>
      <c r="W77" s="282">
        <f>+U31</f>
        <v>205</v>
      </c>
      <c r="X77" s="209"/>
      <c r="Y77" s="279"/>
      <c r="Z77" s="279"/>
      <c r="AA77" s="279"/>
      <c r="AB77" s="282">
        <f>+Z31</f>
        <v>912</v>
      </c>
      <c r="AC77" s="209"/>
      <c r="AD77" s="279"/>
      <c r="AE77" s="279"/>
      <c r="AF77" s="279"/>
      <c r="AG77" s="282">
        <f>+AE31</f>
        <v>7502</v>
      </c>
      <c r="AH77" s="282"/>
      <c r="AI77" s="279"/>
      <c r="AJ77" s="279"/>
      <c r="AK77" s="279"/>
      <c r="AL77" s="282">
        <f>+AJ31</f>
        <v>15612</v>
      </c>
      <c r="AM77" s="282"/>
      <c r="AN77" s="282"/>
      <c r="AO77" s="282"/>
      <c r="AP77" s="282"/>
    </row>
    <row r="78" spans="2:42" ht="16">
      <c r="B78" s="252"/>
      <c r="C78" s="209" t="str">
        <f>TEXT(Forward_Year_2,"yyyy-mm-dd")&amp;" "&amp;C32</f>
        <v>2026-12-31 EBITDA:</v>
      </c>
      <c r="D78" s="209"/>
      <c r="E78" s="279"/>
      <c r="F78" s="279"/>
      <c r="G78" s="279"/>
      <c r="H78" s="281">
        <f>+F32</f>
        <v>152.84191064587972</v>
      </c>
      <c r="I78" s="209"/>
      <c r="J78" s="279"/>
      <c r="K78" s="279"/>
      <c r="L78" s="279"/>
      <c r="M78" s="281">
        <f>+K32</f>
        <v>276</v>
      </c>
      <c r="N78" s="209"/>
      <c r="O78" s="279"/>
      <c r="P78" s="279"/>
      <c r="Q78" s="279"/>
      <c r="R78" s="281">
        <f>+P32</f>
        <v>838</v>
      </c>
      <c r="S78" s="209"/>
      <c r="T78" s="279"/>
      <c r="U78" s="279"/>
      <c r="V78" s="279"/>
      <c r="W78" s="281">
        <f>+U32</f>
        <v>121</v>
      </c>
      <c r="X78" s="209"/>
      <c r="Y78" s="279"/>
      <c r="Z78" s="279"/>
      <c r="AA78" s="279"/>
      <c r="AB78" s="281">
        <f>+Z32</f>
        <v>249</v>
      </c>
      <c r="AC78" s="209"/>
      <c r="AD78" s="279"/>
      <c r="AE78" s="279"/>
      <c r="AF78" s="279"/>
      <c r="AG78" s="281">
        <f>+AE32</f>
        <v>2418</v>
      </c>
      <c r="AH78" s="281"/>
      <c r="AI78" s="279"/>
      <c r="AJ78" s="279"/>
      <c r="AK78" s="279"/>
      <c r="AL78" s="281">
        <f>+AJ32</f>
        <v>3082</v>
      </c>
      <c r="AM78" s="281"/>
      <c r="AN78" s="281"/>
      <c r="AO78" s="281"/>
      <c r="AP78" s="281"/>
    </row>
    <row r="79" spans="2:42" ht="16">
      <c r="B79" s="252"/>
      <c r="C79" s="209" t="str">
        <f>TEXT(Forward_Year_2,"yyyy-mm-dd")&amp;" "&amp;C33</f>
        <v>2026-12-31 Reported Net Income:</v>
      </c>
      <c r="D79" s="209"/>
      <c r="E79" s="279"/>
      <c r="F79" s="279"/>
      <c r="G79" s="279"/>
      <c r="H79" s="281">
        <f>+F33</f>
        <v>84.909194821936865</v>
      </c>
      <c r="I79" s="209"/>
      <c r="J79" s="279"/>
      <c r="K79" s="279"/>
      <c r="L79" s="279"/>
      <c r="M79" s="281">
        <f>+K33</f>
        <v>162</v>
      </c>
      <c r="N79" s="209"/>
      <c r="O79" s="279"/>
      <c r="P79" s="279"/>
      <c r="Q79" s="279"/>
      <c r="R79" s="281">
        <f>+P33</f>
        <v>462</v>
      </c>
      <c r="S79" s="209"/>
      <c r="T79" s="279"/>
      <c r="U79" s="279"/>
      <c r="V79" s="279"/>
      <c r="W79" s="281">
        <f>+U33</f>
        <v>61</v>
      </c>
      <c r="X79" s="209"/>
      <c r="Y79" s="279"/>
      <c r="Z79" s="279"/>
      <c r="AA79" s="279"/>
      <c r="AB79" s="281">
        <f>+Z33</f>
        <v>125</v>
      </c>
      <c r="AC79" s="209"/>
      <c r="AD79" s="279"/>
      <c r="AE79" s="279"/>
      <c r="AF79" s="279"/>
      <c r="AG79" s="281">
        <f>+AE33</f>
        <v>1601</v>
      </c>
      <c r="AH79" s="281"/>
      <c r="AI79" s="279"/>
      <c r="AJ79" s="279"/>
      <c r="AK79" s="279"/>
      <c r="AL79" s="281">
        <f>+AJ33</f>
        <v>1245</v>
      </c>
      <c r="AM79" s="281"/>
      <c r="AN79" s="281"/>
      <c r="AO79" s="281"/>
      <c r="AP79" s="281"/>
    </row>
    <row r="80" spans="2:42" ht="16">
      <c r="B80" s="252"/>
      <c r="C80" s="209"/>
      <c r="D80" s="209"/>
      <c r="E80" s="279"/>
      <c r="F80" s="279"/>
      <c r="G80" s="279"/>
      <c r="H80" s="279"/>
      <c r="I80" s="209"/>
      <c r="J80" s="279"/>
      <c r="K80" s="279"/>
      <c r="L80" s="279"/>
      <c r="M80" s="279"/>
      <c r="N80" s="209"/>
      <c r="O80" s="279"/>
      <c r="P80" s="279"/>
      <c r="Q80" s="279"/>
      <c r="R80" s="279"/>
      <c r="S80" s="209"/>
      <c r="T80" s="279"/>
      <c r="U80" s="279"/>
      <c r="V80" s="279"/>
      <c r="W80" s="279"/>
      <c r="X80" s="209"/>
      <c r="Y80" s="279"/>
      <c r="Z80" s="279"/>
      <c r="AA80" s="279"/>
      <c r="AB80" s="279"/>
      <c r="AC80" s="209"/>
      <c r="AD80" s="279"/>
      <c r="AE80" s="279"/>
      <c r="AF80" s="279"/>
      <c r="AG80" s="279"/>
      <c r="AH80" s="209"/>
      <c r="AI80" s="279"/>
      <c r="AJ80" s="279"/>
      <c r="AK80" s="279"/>
      <c r="AL80" s="279"/>
      <c r="AM80" s="209"/>
      <c r="AN80" s="209"/>
      <c r="AO80" s="209"/>
      <c r="AP80" s="209"/>
    </row>
    <row r="81" spans="2:42" ht="16">
      <c r="B81" s="252"/>
      <c r="C81" s="209" t="str">
        <f>TEXT(Forward_Year_3,"yyyy-mm-dd")&amp;" "&amp;C31</f>
        <v>2027-12-31 Revenue:</v>
      </c>
      <c r="D81" s="209"/>
      <c r="E81" s="279"/>
      <c r="F81" s="279"/>
      <c r="G81" s="279"/>
      <c r="H81" s="281">
        <f>+G31</f>
        <v>522.40617467239485</v>
      </c>
      <c r="I81" s="209"/>
      <c r="J81" s="279"/>
      <c r="K81" s="279"/>
      <c r="L81" s="279"/>
      <c r="M81" s="281">
        <f>+L31</f>
        <v>660</v>
      </c>
      <c r="N81" s="209"/>
      <c r="O81" s="279"/>
      <c r="P81" s="279"/>
      <c r="Q81" s="279"/>
      <c r="R81" s="281">
        <f>+Q31</f>
        <v>6769.9971960745042</v>
      </c>
      <c r="S81" s="209"/>
      <c r="T81" s="279"/>
      <c r="U81" s="279"/>
      <c r="V81" s="279"/>
      <c r="W81" s="281">
        <f>+V31</f>
        <v>248.66863905325442</v>
      </c>
      <c r="X81" s="209"/>
      <c r="Y81" s="279"/>
      <c r="Z81" s="279"/>
      <c r="AA81" s="279"/>
      <c r="AB81" s="281">
        <f>+AA31</f>
        <v>978.52235294117656</v>
      </c>
      <c r="AC81" s="209"/>
      <c r="AD81" s="279"/>
      <c r="AE81" s="279"/>
      <c r="AF81" s="279"/>
      <c r="AG81" s="281">
        <f>+AF31</f>
        <v>7891.195176668537</v>
      </c>
      <c r="AH81" s="281"/>
      <c r="AI81" s="279"/>
      <c r="AJ81" s="279"/>
      <c r="AK81" s="279"/>
      <c r="AL81" s="281">
        <f>+AK31</f>
        <v>16537</v>
      </c>
      <c r="AM81" s="281"/>
      <c r="AN81" s="281"/>
      <c r="AO81" s="281"/>
      <c r="AP81" s="281"/>
    </row>
    <row r="82" spans="2:42" ht="16">
      <c r="B82" s="252"/>
      <c r="C82" s="209" t="str">
        <f>TEXT(Forward_Year_3,"yyyy-mm-dd")&amp;" "&amp;C32</f>
        <v>2027-12-31 EBITDA:</v>
      </c>
      <c r="D82" s="209"/>
      <c r="E82" s="279"/>
      <c r="F82" s="279"/>
      <c r="G82" s="279"/>
      <c r="H82" s="281">
        <f>+G32</f>
        <v>236.68512008063476</v>
      </c>
      <c r="I82" s="209"/>
      <c r="J82" s="279"/>
      <c r="K82" s="279"/>
      <c r="L82" s="279"/>
      <c r="M82" s="281">
        <f>+L32</f>
        <v>290</v>
      </c>
      <c r="N82" s="209"/>
      <c r="O82" s="279"/>
      <c r="P82" s="279"/>
      <c r="Q82" s="279"/>
      <c r="R82" s="281">
        <f>+Q32</f>
        <v>1188.2301184433165</v>
      </c>
      <c r="S82" s="209"/>
      <c r="T82" s="279"/>
      <c r="U82" s="279"/>
      <c r="V82" s="279"/>
      <c r="W82" s="281">
        <f>+V32</f>
        <v>200.56164383561642</v>
      </c>
      <c r="X82" s="209"/>
      <c r="Y82" s="279"/>
      <c r="Z82" s="279"/>
      <c r="AA82" s="279"/>
      <c r="AB82" s="281">
        <f>+AA32</f>
        <v>270.74672489082968</v>
      </c>
      <c r="AC82" s="209"/>
      <c r="AD82" s="279"/>
      <c r="AE82" s="279"/>
      <c r="AF82" s="279"/>
      <c r="AG82" s="281">
        <f>+AF32</f>
        <v>2589.3374667847652</v>
      </c>
      <c r="AH82" s="281"/>
      <c r="AI82" s="279"/>
      <c r="AJ82" s="279"/>
      <c r="AK82" s="279"/>
      <c r="AL82" s="281">
        <f>+AK32</f>
        <v>3403</v>
      </c>
      <c r="AM82" s="281"/>
      <c r="AN82" s="281"/>
      <c r="AO82" s="281"/>
      <c r="AP82" s="281"/>
    </row>
    <row r="83" spans="2:42" ht="16">
      <c r="B83" s="252"/>
      <c r="C83" s="209" t="str">
        <f>TEXT(Forward_Year_3,"yyyy-mm-dd")&amp;" "&amp;C33</f>
        <v>2027-12-31 Reported Net Income:</v>
      </c>
      <c r="D83" s="209"/>
      <c r="E83" s="279"/>
      <c r="F83" s="279"/>
      <c r="G83" s="279"/>
      <c r="H83" s="281">
        <f>+G33</f>
        <v>155.29401782727214</v>
      </c>
      <c r="I83" s="209"/>
      <c r="J83" s="279"/>
      <c r="K83" s="279"/>
      <c r="L83" s="279"/>
      <c r="M83" s="281">
        <f>+L33</f>
        <v>180</v>
      </c>
      <c r="N83" s="209"/>
      <c r="O83" s="279"/>
      <c r="P83" s="279"/>
      <c r="Q83" s="279"/>
      <c r="R83" s="281">
        <f>+Q33</f>
        <v>690.75728155339812</v>
      </c>
      <c r="S83" s="209"/>
      <c r="T83" s="279"/>
      <c r="U83" s="279"/>
      <c r="V83" s="279"/>
      <c r="W83" s="281">
        <f>+V33</f>
        <v>128.31034482758619</v>
      </c>
      <c r="X83" s="209"/>
      <c r="Y83" s="279"/>
      <c r="Z83" s="279"/>
      <c r="AA83" s="279"/>
      <c r="AB83" s="281">
        <f>+AA33</f>
        <v>150.24038461538461</v>
      </c>
      <c r="AC83" s="209"/>
      <c r="AD83" s="279"/>
      <c r="AE83" s="279"/>
      <c r="AF83" s="279"/>
      <c r="AG83" s="281">
        <f>+AF33</f>
        <v>1767.7248275862069</v>
      </c>
      <c r="AH83" s="281"/>
      <c r="AI83" s="279"/>
      <c r="AJ83" s="279"/>
      <c r="AK83" s="279"/>
      <c r="AL83" s="281">
        <f>+AK33</f>
        <v>1428</v>
      </c>
      <c r="AM83" s="281"/>
      <c r="AN83" s="281"/>
      <c r="AO83" s="281"/>
      <c r="AP83" s="281"/>
    </row>
    <row r="84" spans="2:42" ht="16">
      <c r="B84" s="252"/>
      <c r="C84" s="209"/>
      <c r="D84" s="209"/>
      <c r="E84" s="279"/>
      <c r="F84" s="279"/>
      <c r="G84" s="279"/>
      <c r="H84" s="279"/>
      <c r="I84" s="209"/>
      <c r="J84" s="279"/>
      <c r="K84" s="279"/>
      <c r="L84" s="279"/>
      <c r="M84" s="279"/>
      <c r="N84" s="209"/>
      <c r="O84" s="279"/>
      <c r="P84" s="279"/>
      <c r="Q84" s="279"/>
      <c r="R84" s="279"/>
      <c r="S84" s="209"/>
      <c r="T84" s="279"/>
      <c r="U84" s="279"/>
      <c r="V84" s="279"/>
      <c r="W84" s="279"/>
      <c r="X84" s="209"/>
      <c r="Y84" s="279"/>
      <c r="Z84" s="279"/>
      <c r="AA84" s="279"/>
      <c r="AB84" s="279"/>
      <c r="AC84" s="209"/>
      <c r="AD84" s="279"/>
      <c r="AE84" s="279"/>
      <c r="AF84" s="279"/>
      <c r="AG84" s="279"/>
      <c r="AH84" s="209"/>
      <c r="AI84" s="279"/>
      <c r="AJ84" s="279"/>
      <c r="AK84" s="279"/>
      <c r="AL84" s="279"/>
      <c r="AM84" s="209"/>
      <c r="AN84" s="209"/>
      <c r="AO84" s="209"/>
      <c r="AP84" s="209"/>
    </row>
    <row r="85" spans="2:42" ht="16">
      <c r="B85" s="252"/>
      <c r="C85" s="209" t="s">
        <v>286</v>
      </c>
      <c r="D85" s="209"/>
      <c r="E85" s="279"/>
      <c r="F85" s="279"/>
      <c r="G85" s="279"/>
      <c r="H85" s="283">
        <f>IFERROR(+H77/H73-1,"N/A")</f>
        <v>0.26782443684375745</v>
      </c>
      <c r="I85" s="209"/>
      <c r="J85" s="279"/>
      <c r="K85" s="279"/>
      <c r="L85" s="279"/>
      <c r="M85" s="283">
        <f>IFERROR(+M77/M73-1,"N/A")</f>
        <v>0.74663072776280326</v>
      </c>
      <c r="N85" s="209"/>
      <c r="O85" s="279"/>
      <c r="P85" s="279"/>
      <c r="Q85" s="279"/>
      <c r="R85" s="283">
        <f>IFERROR(+R77/R73-1,"N/A")</f>
        <v>0.16443020228319649</v>
      </c>
      <c r="S85" s="209"/>
      <c r="T85" s="279"/>
      <c r="U85" s="279"/>
      <c r="V85" s="279"/>
      <c r="W85" s="283">
        <f>IFERROR(+W77/W73-1,"N/A")</f>
        <v>0.21301775147928992</v>
      </c>
      <c r="X85" s="209"/>
      <c r="Y85" s="279"/>
      <c r="Z85" s="279"/>
      <c r="AA85" s="279"/>
      <c r="AB85" s="283">
        <f>IFERROR(+AB77/AB73-1,"N/A")</f>
        <v>7.2941176470588287E-2</v>
      </c>
      <c r="AC85" s="209"/>
      <c r="AD85" s="279"/>
      <c r="AE85" s="279"/>
      <c r="AF85" s="279"/>
      <c r="AG85" s="283">
        <f>IFERROR(+AG77/AG73-1,"N/A")</f>
        <v>5.1878855860908679E-2</v>
      </c>
      <c r="AH85" s="283"/>
      <c r="AI85" s="279"/>
      <c r="AJ85" s="279"/>
      <c r="AK85" s="279"/>
      <c r="AL85" s="283">
        <f>IFERROR(+AL77/AL73-1,"N/A")</f>
        <v>7.8623739118419245E-2</v>
      </c>
      <c r="AM85" s="283"/>
      <c r="AN85" s="283"/>
      <c r="AO85" s="283"/>
      <c r="AP85" s="283"/>
    </row>
    <row r="86" spans="2:42" ht="16">
      <c r="B86" s="252"/>
      <c r="C86" s="209" t="s">
        <v>287</v>
      </c>
      <c r="D86" s="209"/>
      <c r="E86" s="279"/>
      <c r="F86" s="279"/>
      <c r="G86" s="279"/>
      <c r="H86" s="283">
        <f>IFERROR(+H78/H74-1,"N/A")</f>
        <v>0.61957865325495054</v>
      </c>
      <c r="I86" s="209"/>
      <c r="J86" s="279"/>
      <c r="K86" s="279"/>
      <c r="L86" s="279"/>
      <c r="M86" s="283">
        <f>IFERROR(+M78/M74-1,"N/A")</f>
        <v>1.967741935483871</v>
      </c>
      <c r="N86" s="209"/>
      <c r="O86" s="279"/>
      <c r="P86" s="279"/>
      <c r="Q86" s="279"/>
      <c r="R86" s="283">
        <f>IFERROR(+R78/R74-1,"N/A")</f>
        <v>0.4179357021996617</v>
      </c>
      <c r="S86" s="209"/>
      <c r="T86" s="279"/>
      <c r="U86" s="279"/>
      <c r="V86" s="279"/>
      <c r="W86" s="283">
        <f>IFERROR(+W78/W74-1,"N/A")</f>
        <v>0.65753424657534243</v>
      </c>
      <c r="X86" s="209"/>
      <c r="Y86" s="279"/>
      <c r="Z86" s="279"/>
      <c r="AA86" s="279"/>
      <c r="AB86" s="283">
        <f>IFERROR(+AB78/AB74-1,"N/A")</f>
        <v>8.7336244541484698E-2</v>
      </c>
      <c r="AC86" s="209"/>
      <c r="AD86" s="279"/>
      <c r="AE86" s="279"/>
      <c r="AF86" s="279"/>
      <c r="AG86" s="283">
        <f>IFERROR(+AG78/AG74-1,"N/A")</f>
        <v>7.085916740478293E-2</v>
      </c>
      <c r="AH86" s="283"/>
      <c r="AI86" s="279"/>
      <c r="AJ86" s="279"/>
      <c r="AK86" s="279"/>
      <c r="AL86" s="283">
        <f>IFERROR(+AL78/AL74-1,"N/A")</f>
        <v>0.11658907181740052</v>
      </c>
      <c r="AM86" s="283"/>
      <c r="AN86" s="283"/>
      <c r="AO86" s="283"/>
      <c r="AP86" s="283"/>
    </row>
    <row r="87" spans="2:42" ht="16">
      <c r="B87" s="252"/>
      <c r="C87" s="209"/>
      <c r="D87" s="209"/>
      <c r="E87" s="279"/>
      <c r="F87" s="279"/>
      <c r="G87" s="279"/>
      <c r="H87" s="279"/>
      <c r="I87" s="209"/>
      <c r="J87" s="279"/>
      <c r="K87" s="279"/>
      <c r="L87" s="279"/>
      <c r="M87" s="279"/>
      <c r="N87" s="209"/>
      <c r="O87" s="279"/>
      <c r="P87" s="279"/>
      <c r="Q87" s="279"/>
      <c r="R87" s="279"/>
      <c r="S87" s="209"/>
      <c r="T87" s="279"/>
      <c r="U87" s="279"/>
      <c r="V87" s="279"/>
      <c r="W87" s="279"/>
      <c r="X87" s="209"/>
      <c r="Y87" s="279"/>
      <c r="Z87" s="279"/>
      <c r="AA87" s="279"/>
      <c r="AB87" s="279"/>
      <c r="AC87" s="209"/>
      <c r="AD87" s="279"/>
      <c r="AE87" s="279"/>
      <c r="AF87" s="279"/>
      <c r="AG87" s="279"/>
      <c r="AH87" s="209"/>
      <c r="AI87" s="279"/>
      <c r="AJ87" s="279"/>
      <c r="AK87" s="279"/>
      <c r="AL87" s="279"/>
      <c r="AM87" s="209"/>
      <c r="AN87" s="209"/>
      <c r="AO87" s="209"/>
      <c r="AP87" s="209"/>
    </row>
    <row r="88" spans="2:42" ht="16">
      <c r="B88" s="252"/>
      <c r="C88" s="209" t="s">
        <v>288</v>
      </c>
      <c r="D88" s="209"/>
      <c r="E88" s="279"/>
      <c r="F88" s="279"/>
      <c r="G88" s="279"/>
      <c r="H88" s="283">
        <f>IFERROR(+H14/H8,"N/A")</f>
        <v>1.2697400686611082</v>
      </c>
      <c r="I88" s="209"/>
      <c r="J88" s="279"/>
      <c r="K88" s="279"/>
      <c r="L88" s="279"/>
      <c r="M88" s="283">
        <f>IFERROR(+M14/M8,"N/A")</f>
        <v>0.19858332297750711</v>
      </c>
      <c r="N88" s="209"/>
      <c r="O88" s="279"/>
      <c r="P88" s="279"/>
      <c r="Q88" s="279"/>
      <c r="R88" s="283">
        <f>IFERROR(+R14/R8,"N/A")</f>
        <v>0.21808922838481123</v>
      </c>
      <c r="S88" s="209"/>
      <c r="T88" s="279"/>
      <c r="U88" s="279"/>
      <c r="V88" s="279"/>
      <c r="W88" s="283">
        <f>IFERROR(+W14/W8,"N/A")</f>
        <v>0.32618057570430875</v>
      </c>
      <c r="X88" s="209"/>
      <c r="Y88" s="279"/>
      <c r="Z88" s="279"/>
      <c r="AA88" s="279"/>
      <c r="AB88" s="283">
        <f>IFERROR(+AB14/AB8,"N/A")</f>
        <v>0.13118062563067609</v>
      </c>
      <c r="AC88" s="209"/>
      <c r="AD88" s="279"/>
      <c r="AE88" s="279"/>
      <c r="AF88" s="279"/>
      <c r="AG88" s="283">
        <f>IFERROR(+AG14/AG8,"N/A")</f>
        <v>0.27586008183023109</v>
      </c>
      <c r="AH88" s="283"/>
      <c r="AI88" s="279"/>
      <c r="AJ88" s="279"/>
      <c r="AK88" s="279"/>
      <c r="AL88" s="283">
        <f>IFERROR(+AL14/AL8,"N/A")</f>
        <v>0.1757000611093138</v>
      </c>
      <c r="AM88" s="283"/>
      <c r="AN88" s="283"/>
      <c r="AO88" s="283"/>
      <c r="AP88" s="283"/>
    </row>
    <row r="89" spans="2:42" ht="16">
      <c r="B89" s="252"/>
      <c r="C89" s="209" t="str">
        <f>TEXT(Forward_Year_1,"yyyy-mm-dd")&amp;" EBITDA Margin:"</f>
        <v>2025-12-31 EBITDA Margin:</v>
      </c>
      <c r="D89" s="209"/>
      <c r="E89" s="279"/>
      <c r="F89" s="279"/>
      <c r="G89" s="279"/>
      <c r="H89" s="283">
        <f>IFERROR(+H74/H73,"N/A")</f>
        <v>0.29986935060132258</v>
      </c>
      <c r="I89" s="209"/>
      <c r="J89" s="279"/>
      <c r="K89" s="279"/>
      <c r="L89" s="279"/>
      <c r="M89" s="283">
        <f>IFERROR(+M74/M73,"N/A")</f>
        <v>0.25067385444743934</v>
      </c>
      <c r="N89" s="209"/>
      <c r="O89" s="279"/>
      <c r="P89" s="279"/>
      <c r="Q89" s="279"/>
      <c r="R89" s="283">
        <f>IFERROR(+R74/R73,"N/A")</f>
        <v>0.11836571199679552</v>
      </c>
      <c r="S89" s="209"/>
      <c r="T89" s="279"/>
      <c r="U89" s="279"/>
      <c r="V89" s="279"/>
      <c r="W89" s="283">
        <f>IFERROR(+W74/W73,"N/A")</f>
        <v>0.43195266272189348</v>
      </c>
      <c r="X89" s="209"/>
      <c r="Y89" s="279"/>
      <c r="Z89" s="279"/>
      <c r="AA89" s="279"/>
      <c r="AB89" s="283">
        <f>IFERROR(+AB74/AB73,"N/A")</f>
        <v>0.26941176470588235</v>
      </c>
      <c r="AC89" s="209"/>
      <c r="AD89" s="279"/>
      <c r="AE89" s="279"/>
      <c r="AF89" s="279"/>
      <c r="AG89" s="283">
        <f>IFERROR(+AG74/AG73,"N/A")</f>
        <v>0.31660123387549077</v>
      </c>
      <c r="AH89" s="283"/>
      <c r="AI89" s="279"/>
      <c r="AJ89" s="279"/>
      <c r="AK89" s="279"/>
      <c r="AL89" s="283">
        <f>IFERROR(+AL74/AL73,"N/A")</f>
        <v>0.19070000000000001</v>
      </c>
      <c r="AM89" s="283"/>
      <c r="AN89" s="283"/>
      <c r="AO89" s="283"/>
      <c r="AP89" s="283"/>
    </row>
    <row r="90" spans="2:42" ht="16">
      <c r="B90" s="252"/>
      <c r="C90" s="209" t="str">
        <f>TEXT(Forward_Year_2,"yyyy-mm-dd")&amp;" EBITDA Margin:"</f>
        <v>2026-12-31 EBITDA Margin:</v>
      </c>
      <c r="D90" s="209"/>
      <c r="E90" s="279"/>
      <c r="F90" s="279"/>
      <c r="G90" s="279"/>
      <c r="H90" s="283">
        <f>IFERROR(+H78/H77,"N/A")</f>
        <v>0.38306723303770651</v>
      </c>
      <c r="I90" s="209"/>
      <c r="J90" s="279"/>
      <c r="K90" s="279"/>
      <c r="L90" s="279"/>
      <c r="M90" s="283">
        <f>IFERROR(+M78/M77,"N/A")</f>
        <v>0.42592592592592593</v>
      </c>
      <c r="N90" s="209"/>
      <c r="O90" s="279"/>
      <c r="P90" s="279"/>
      <c r="Q90" s="279"/>
      <c r="R90" s="283">
        <f>IFERROR(+R78/R77,"N/A")</f>
        <v>0.14413484692122464</v>
      </c>
      <c r="S90" s="209"/>
      <c r="T90" s="279"/>
      <c r="U90" s="279"/>
      <c r="V90" s="279"/>
      <c r="W90" s="283">
        <f>IFERROR(+W78/W77,"N/A")</f>
        <v>0.59024390243902436</v>
      </c>
      <c r="X90" s="209"/>
      <c r="Y90" s="279"/>
      <c r="Z90" s="279"/>
      <c r="AA90" s="279"/>
      <c r="AB90" s="283">
        <f>IFERROR(+AB78/AB77,"N/A")</f>
        <v>0.27302631578947367</v>
      </c>
      <c r="AC90" s="209"/>
      <c r="AD90" s="279"/>
      <c r="AE90" s="279"/>
      <c r="AF90" s="279"/>
      <c r="AG90" s="283">
        <f>IFERROR(+AG78/AG77,"N/A")</f>
        <v>0.32231404958677684</v>
      </c>
      <c r="AH90" s="283"/>
      <c r="AI90" s="279"/>
      <c r="AJ90" s="279"/>
      <c r="AK90" s="279"/>
      <c r="AL90" s="283">
        <f>IFERROR(+AL78/AL77,"N/A")</f>
        <v>0.19741224698949525</v>
      </c>
      <c r="AM90" s="283"/>
      <c r="AN90" s="283"/>
      <c r="AO90" s="283"/>
      <c r="AP90" s="283"/>
    </row>
    <row r="91" spans="2:42" ht="16">
      <c r="B91" s="252"/>
      <c r="C91" s="209"/>
      <c r="D91" s="209"/>
      <c r="E91" s="279"/>
      <c r="F91" s="279"/>
      <c r="G91" s="279"/>
      <c r="H91" s="279"/>
      <c r="I91" s="209"/>
      <c r="J91" s="279"/>
      <c r="K91" s="279"/>
      <c r="L91" s="279"/>
      <c r="M91" s="279"/>
      <c r="N91" s="209"/>
      <c r="O91" s="279"/>
      <c r="P91" s="279"/>
      <c r="Q91" s="279"/>
      <c r="R91" s="279"/>
      <c r="S91" s="209"/>
      <c r="T91" s="279"/>
      <c r="U91" s="279"/>
      <c r="V91" s="279"/>
      <c r="W91" s="279"/>
      <c r="X91" s="209"/>
      <c r="Y91" s="279"/>
      <c r="Z91" s="279"/>
      <c r="AA91" s="279"/>
      <c r="AB91" s="279"/>
      <c r="AC91" s="209"/>
      <c r="AD91" s="279"/>
      <c r="AE91" s="279"/>
      <c r="AF91" s="279"/>
      <c r="AG91" s="279"/>
      <c r="AH91" s="209"/>
      <c r="AI91" s="279"/>
      <c r="AJ91" s="279"/>
      <c r="AK91" s="279"/>
      <c r="AL91" s="279"/>
      <c r="AM91" s="209"/>
      <c r="AN91" s="209"/>
      <c r="AO91" s="209"/>
      <c r="AP91" s="209"/>
    </row>
    <row r="92" spans="2:42" ht="16">
      <c r="B92" s="252"/>
      <c r="C92" s="209" t="str">
        <f>TEXT(E66,"mm/dd/yyyy")&amp;" "&amp;C67</f>
        <v>LTM EV / Revenue:</v>
      </c>
      <c r="D92" s="209"/>
      <c r="E92" s="279"/>
      <c r="F92" s="279"/>
      <c r="G92" s="279"/>
      <c r="H92" s="278">
        <f>+E67</f>
        <v>17.482411574301128</v>
      </c>
      <c r="I92" s="209"/>
      <c r="J92" s="279"/>
      <c r="K92" s="279"/>
      <c r="L92" s="279"/>
      <c r="M92" s="278">
        <f>+J67</f>
        <v>10.140748104883809</v>
      </c>
      <c r="N92" s="209"/>
      <c r="O92" s="279"/>
      <c r="P92" s="279"/>
      <c r="Q92" s="279"/>
      <c r="R92" s="278">
        <f>+O67</f>
        <v>4.1236729768626157</v>
      </c>
      <c r="S92" s="209"/>
      <c r="T92" s="279"/>
      <c r="U92" s="279"/>
      <c r="V92" s="279"/>
      <c r="W92" s="278">
        <f>+T67</f>
        <v>2.5650004952444925</v>
      </c>
      <c r="X92" s="209"/>
      <c r="Y92" s="279"/>
      <c r="Z92" s="279"/>
      <c r="AA92" s="279"/>
      <c r="AB92" s="278">
        <f>+Y67</f>
        <v>1.3200362729269304</v>
      </c>
      <c r="AC92" s="209"/>
      <c r="AD92" s="279"/>
      <c r="AE92" s="279"/>
      <c r="AF92" s="279"/>
      <c r="AG92" s="278">
        <f>+AD67</f>
        <v>5.8096111774621093</v>
      </c>
      <c r="AH92" s="278"/>
      <c r="AI92" s="279"/>
      <c r="AJ92" s="279"/>
      <c r="AK92" s="279"/>
      <c r="AL92" s="278">
        <f>+AI67</f>
        <v>1.5985086451705668</v>
      </c>
      <c r="AM92" s="278"/>
      <c r="AN92" s="278"/>
      <c r="AO92" s="278"/>
      <c r="AP92" s="278"/>
    </row>
    <row r="93" spans="2:42" ht="16">
      <c r="B93" s="252"/>
      <c r="C93" s="209" t="str">
        <f>TEXT(E66,"mm/dd/yyyy")&amp;" "&amp;C68</f>
        <v>LTM EV / EBITDA:</v>
      </c>
      <c r="D93" s="209"/>
      <c r="E93" s="279"/>
      <c r="F93" s="279"/>
      <c r="G93" s="279"/>
      <c r="H93" s="278">
        <f>+E68</f>
        <v>13.768496407879491</v>
      </c>
      <c r="I93" s="209"/>
      <c r="J93" s="279"/>
      <c r="K93" s="279"/>
      <c r="L93" s="279"/>
      <c r="M93" s="278">
        <f>+J68</f>
        <v>51.065456821026295</v>
      </c>
      <c r="N93" s="209"/>
      <c r="O93" s="279"/>
      <c r="P93" s="279"/>
      <c r="Q93" s="279"/>
      <c r="R93" s="278">
        <f>+O68</f>
        <v>18.908191878172591</v>
      </c>
      <c r="S93" s="209"/>
      <c r="T93" s="279"/>
      <c r="U93" s="279"/>
      <c r="V93" s="279"/>
      <c r="W93" s="278">
        <f>+T68</f>
        <v>7.8637438471190038</v>
      </c>
      <c r="X93" s="209"/>
      <c r="Y93" s="279"/>
      <c r="Z93" s="279"/>
      <c r="AA93" s="279"/>
      <c r="AB93" s="278">
        <f>+Y68</f>
        <v>10.062738049773754</v>
      </c>
      <c r="AC93" s="209"/>
      <c r="AD93" s="279"/>
      <c r="AE93" s="279"/>
      <c r="AF93" s="279"/>
      <c r="AG93" s="278">
        <f>+AD68</f>
        <v>21.059992221119696</v>
      </c>
      <c r="AH93" s="278"/>
      <c r="AI93" s="279"/>
      <c r="AJ93" s="279"/>
      <c r="AK93" s="279"/>
      <c r="AL93" s="278">
        <f>+AI68</f>
        <v>9.0979401775850057</v>
      </c>
      <c r="AM93" s="278"/>
      <c r="AN93" s="278"/>
      <c r="AO93" s="278"/>
      <c r="AP93" s="278"/>
    </row>
    <row r="94" spans="2:42" ht="16">
      <c r="B94" s="252"/>
      <c r="C94" s="209" t="str">
        <f>TEXT(E66,"mm/dd/yyyy")&amp;" "&amp;C69</f>
        <v>LTM P / E:</v>
      </c>
      <c r="D94" s="209"/>
      <c r="E94" s="279"/>
      <c r="F94" s="279"/>
      <c r="G94" s="279"/>
      <c r="H94" s="278" t="str">
        <f>+E69</f>
        <v>NM</v>
      </c>
      <c r="I94" s="209"/>
      <c r="J94" s="279"/>
      <c r="K94" s="279"/>
      <c r="L94" s="279"/>
      <c r="M94" s="278" t="str">
        <f>+J69</f>
        <v>NM</v>
      </c>
      <c r="N94" s="209"/>
      <c r="O94" s="279"/>
      <c r="P94" s="279"/>
      <c r="Q94" s="279"/>
      <c r="R94" s="278" t="str">
        <f>+O69</f>
        <v>NM</v>
      </c>
      <c r="S94" s="209"/>
      <c r="T94" s="279"/>
      <c r="U94" s="279"/>
      <c r="V94" s="279"/>
      <c r="W94" s="278">
        <f>+T69</f>
        <v>26.857478073198486</v>
      </c>
      <c r="X94" s="209"/>
      <c r="Y94" s="279"/>
      <c r="Z94" s="279"/>
      <c r="AA94" s="279"/>
      <c r="AB94" s="278" t="str">
        <f>+Y69</f>
        <v>NM</v>
      </c>
      <c r="AC94" s="209"/>
      <c r="AD94" s="279"/>
      <c r="AE94" s="279"/>
      <c r="AF94" s="279"/>
      <c r="AG94" s="278">
        <f>+AD69</f>
        <v>27.88690727781411</v>
      </c>
      <c r="AH94" s="278"/>
      <c r="AI94" s="279"/>
      <c r="AJ94" s="279"/>
      <c r="AK94" s="279"/>
      <c r="AL94" s="278">
        <f>+AI69</f>
        <v>3.4641293019367421</v>
      </c>
      <c r="AM94" s="278"/>
      <c r="AN94" s="278"/>
      <c r="AO94" s="278"/>
      <c r="AP94" s="278"/>
    </row>
    <row r="95" spans="2:42" ht="16">
      <c r="B95" s="252"/>
      <c r="C95" s="209"/>
      <c r="D95" s="209"/>
      <c r="E95" s="279"/>
      <c r="F95" s="279"/>
      <c r="G95" s="279"/>
      <c r="H95" s="279"/>
      <c r="I95" s="209"/>
      <c r="J95" s="279"/>
      <c r="K95" s="279"/>
      <c r="L95" s="279"/>
      <c r="M95" s="279"/>
      <c r="N95" s="209"/>
      <c r="O95" s="279"/>
      <c r="P95" s="279"/>
      <c r="Q95" s="279"/>
      <c r="R95" s="279"/>
      <c r="S95" s="209"/>
      <c r="T95" s="279"/>
      <c r="U95" s="279"/>
      <c r="V95" s="279"/>
      <c r="W95" s="279"/>
      <c r="X95" s="209"/>
      <c r="Y95" s="279"/>
      <c r="Z95" s="279"/>
      <c r="AA95" s="279"/>
      <c r="AB95" s="279"/>
      <c r="AC95" s="209"/>
      <c r="AD95" s="279"/>
      <c r="AE95" s="279"/>
      <c r="AF95" s="279"/>
      <c r="AG95" s="279"/>
      <c r="AH95" s="209"/>
      <c r="AI95" s="279"/>
      <c r="AJ95" s="279"/>
      <c r="AK95" s="279"/>
      <c r="AL95" s="279"/>
      <c r="AM95" s="209"/>
      <c r="AN95" s="209"/>
      <c r="AO95" s="209"/>
      <c r="AP95" s="209"/>
    </row>
    <row r="96" spans="2:42" ht="16">
      <c r="B96" s="252"/>
      <c r="C96" s="209" t="str">
        <f>TEXT(Forward_Year_1,"yyyy-mm-dd")&amp;" "&amp;C67</f>
        <v>2025-12-31 EV / Revenue:</v>
      </c>
      <c r="D96" s="209"/>
      <c r="E96" s="279"/>
      <c r="F96" s="279"/>
      <c r="G96" s="279"/>
      <c r="H96" s="278">
        <f>+F67</f>
        <v>11.326878214880821</v>
      </c>
      <c r="I96" s="209"/>
      <c r="J96" s="279"/>
      <c r="K96" s="279"/>
      <c r="L96" s="279"/>
      <c r="M96" s="278">
        <f>+K67</f>
        <v>13.197185983827495</v>
      </c>
      <c r="N96" s="209"/>
      <c r="O96" s="279"/>
      <c r="P96" s="279"/>
      <c r="Q96" s="279"/>
      <c r="R96" s="278">
        <f>+P67</f>
        <v>3.7301359903865419</v>
      </c>
      <c r="S96" s="209"/>
      <c r="T96" s="279"/>
      <c r="U96" s="279"/>
      <c r="V96" s="279"/>
      <c r="W96" s="278">
        <f>+U67</f>
        <v>1.928431952662722</v>
      </c>
      <c r="X96" s="209"/>
      <c r="Y96" s="279"/>
      <c r="Z96" s="279"/>
      <c r="AA96" s="279"/>
      <c r="AB96" s="278">
        <f>+Z67</f>
        <v>2.6163118929411762</v>
      </c>
      <c r="AC96" s="209"/>
      <c r="AD96" s="279"/>
      <c r="AE96" s="279"/>
      <c r="AF96" s="279"/>
      <c r="AG96" s="278">
        <f>+AE67</f>
        <v>5.6541886013740879</v>
      </c>
      <c r="AH96" s="278"/>
      <c r="AI96" s="279"/>
      <c r="AJ96" s="279"/>
      <c r="AK96" s="279"/>
      <c r="AL96" s="278">
        <f>+AJ67</f>
        <v>2.7860766274008562</v>
      </c>
      <c r="AM96" s="278"/>
      <c r="AN96" s="278"/>
      <c r="AO96" s="278"/>
      <c r="AP96" s="278"/>
    </row>
    <row r="97" spans="2:42" ht="16">
      <c r="B97" s="252"/>
      <c r="C97" s="209" t="str">
        <f>TEXT(Forward_Year_1,"yyyy-mm-dd")&amp;" "&amp;C68</f>
        <v>2025-12-31 EV / EBITDA:</v>
      </c>
      <c r="D97" s="209"/>
      <c r="E97" s="279"/>
      <c r="F97" s="279"/>
      <c r="G97" s="279"/>
      <c r="H97" s="278">
        <f>+F68</f>
        <v>37.772710656048162</v>
      </c>
      <c r="I97" s="209"/>
      <c r="J97" s="279"/>
      <c r="K97" s="279"/>
      <c r="L97" s="279"/>
      <c r="M97" s="278">
        <f>+K68</f>
        <v>52.646838709677425</v>
      </c>
      <c r="N97" s="209"/>
      <c r="O97" s="279"/>
      <c r="P97" s="279"/>
      <c r="Q97" s="279"/>
      <c r="R97" s="278">
        <f>+P68</f>
        <v>31.513653130287654</v>
      </c>
      <c r="S97" s="209"/>
      <c r="T97" s="279"/>
      <c r="U97" s="279"/>
      <c r="V97" s="279"/>
      <c r="W97" s="278">
        <f>+U68</f>
        <v>4.4644520547945206</v>
      </c>
      <c r="X97" s="209"/>
      <c r="Y97" s="279"/>
      <c r="Z97" s="279"/>
      <c r="AA97" s="279"/>
      <c r="AB97" s="278">
        <f>+Z68</f>
        <v>9.7112013493449769</v>
      </c>
      <c r="AC97" s="209"/>
      <c r="AD97" s="279"/>
      <c r="AE97" s="279"/>
      <c r="AF97" s="279"/>
      <c r="AG97" s="278">
        <f>+AE68</f>
        <v>17.859022632860935</v>
      </c>
      <c r="AH97" s="278"/>
      <c r="AI97" s="279"/>
      <c r="AJ97" s="279"/>
      <c r="AK97" s="279"/>
      <c r="AL97" s="278">
        <f>+AJ68</f>
        <v>14.60973585422578</v>
      </c>
      <c r="AM97" s="278"/>
      <c r="AN97" s="278"/>
      <c r="AO97" s="278"/>
      <c r="AP97" s="278"/>
    </row>
    <row r="98" spans="2:42" ht="16">
      <c r="B98" s="252"/>
      <c r="C98" s="209" t="str">
        <f>TEXT(Forward_Year_1,"yyyy-mm-dd")&amp;" "&amp;C69</f>
        <v>2025-12-31 P / E:</v>
      </c>
      <c r="D98" s="209"/>
      <c r="E98" s="279"/>
      <c r="F98" s="279"/>
      <c r="G98" s="279"/>
      <c r="H98" s="278">
        <f>+F69</f>
        <v>87.733181842659391</v>
      </c>
      <c r="I98" s="209"/>
      <c r="J98" s="279"/>
      <c r="K98" s="279"/>
      <c r="L98" s="279"/>
      <c r="M98" s="278" t="str">
        <f>+K69</f>
        <v>NM</v>
      </c>
      <c r="N98" s="209"/>
      <c r="O98" s="279"/>
      <c r="P98" s="279"/>
      <c r="Q98" s="279"/>
      <c r="R98" s="278">
        <f>+P69</f>
        <v>60.719640776699038</v>
      </c>
      <c r="S98" s="209"/>
      <c r="T98" s="279"/>
      <c r="U98" s="279"/>
      <c r="V98" s="279"/>
      <c r="W98" s="278">
        <f>+U69</f>
        <v>10.648448275862069</v>
      </c>
      <c r="X98" s="209"/>
      <c r="Y98" s="279"/>
      <c r="Z98" s="279"/>
      <c r="AA98" s="279"/>
      <c r="AB98" s="278">
        <f>+Z69</f>
        <v>16.523702971153845</v>
      </c>
      <c r="AC98" s="209"/>
      <c r="AD98" s="279"/>
      <c r="AE98" s="279"/>
      <c r="AF98" s="279"/>
      <c r="AG98" s="278">
        <f>+AE69</f>
        <v>26.465636624137929</v>
      </c>
      <c r="AH98" s="278"/>
      <c r="AI98" s="279"/>
      <c r="AJ98" s="279"/>
      <c r="AK98" s="279"/>
      <c r="AL98" s="278">
        <f>+AJ69</f>
        <v>34.981926257976291</v>
      </c>
      <c r="AM98" s="278"/>
      <c r="AN98" s="278"/>
      <c r="AO98" s="278"/>
      <c r="AP98" s="278"/>
    </row>
    <row r="99" spans="2:42" ht="16">
      <c r="B99" s="252"/>
      <c r="C99" s="209"/>
      <c r="D99" s="209"/>
      <c r="E99" s="279"/>
      <c r="F99" s="279"/>
      <c r="G99" s="279"/>
      <c r="H99" s="279"/>
      <c r="I99" s="209"/>
      <c r="J99" s="279"/>
      <c r="K99" s="279"/>
      <c r="L99" s="279"/>
      <c r="M99" s="279"/>
      <c r="N99" s="209"/>
      <c r="O99" s="279"/>
      <c r="P99" s="279"/>
      <c r="Q99" s="279"/>
      <c r="R99" s="279"/>
      <c r="S99" s="209"/>
      <c r="T99" s="279"/>
      <c r="U99" s="279"/>
      <c r="V99" s="279"/>
      <c r="W99" s="279"/>
      <c r="X99" s="209"/>
      <c r="Y99" s="279"/>
      <c r="Z99" s="279"/>
      <c r="AA99" s="279"/>
      <c r="AB99" s="279"/>
      <c r="AC99" s="209"/>
      <c r="AD99" s="279"/>
      <c r="AE99" s="279"/>
      <c r="AF99" s="279"/>
      <c r="AG99" s="279"/>
      <c r="AH99" s="209"/>
      <c r="AI99" s="279"/>
      <c r="AJ99" s="279"/>
      <c r="AK99" s="279"/>
      <c r="AL99" s="279"/>
      <c r="AM99" s="209"/>
      <c r="AN99" s="209"/>
      <c r="AO99" s="209"/>
      <c r="AP99" s="209"/>
    </row>
    <row r="100" spans="2:42" ht="16">
      <c r="B100" s="252"/>
      <c r="C100" s="209" t="str">
        <f>TEXT(Forward_Year_2,"yyyy-mm-dd")&amp;" "&amp;C67</f>
        <v>2026-12-31 EV / Revenue:</v>
      </c>
      <c r="D100" s="209"/>
      <c r="E100" s="279"/>
      <c r="F100" s="279"/>
      <c r="G100" s="279"/>
      <c r="H100" s="278">
        <f>+G67</f>
        <v>8.9341062419328559</v>
      </c>
      <c r="I100" s="209"/>
      <c r="J100" s="279"/>
      <c r="K100" s="279"/>
      <c r="L100" s="279"/>
      <c r="M100" s="278">
        <f>+L67</f>
        <v>7.5557962962962977</v>
      </c>
      <c r="N100" s="209"/>
      <c r="O100" s="279"/>
      <c r="P100" s="279"/>
      <c r="Q100" s="279"/>
      <c r="R100" s="278">
        <f>+Q67</f>
        <v>3.2034002407980742</v>
      </c>
      <c r="S100" s="209"/>
      <c r="T100" s="279"/>
      <c r="U100" s="279"/>
      <c r="V100" s="279"/>
      <c r="W100" s="278">
        <f>+V67</f>
        <v>1.5897804878048782</v>
      </c>
      <c r="X100" s="209"/>
      <c r="Y100" s="279"/>
      <c r="Z100" s="279"/>
      <c r="AA100" s="279"/>
      <c r="AB100" s="278">
        <f>+AA67</f>
        <v>2.4384485844298243</v>
      </c>
      <c r="AC100" s="209"/>
      <c r="AD100" s="279"/>
      <c r="AE100" s="279"/>
      <c r="AF100" s="279"/>
      <c r="AG100" s="278">
        <f>+AF67</f>
        <v>5.3753229945347902</v>
      </c>
      <c r="AH100" s="278"/>
      <c r="AI100" s="279"/>
      <c r="AJ100" s="279"/>
      <c r="AK100" s="279"/>
      <c r="AL100" s="278">
        <f>+AK67</f>
        <v>2.5829921281706376</v>
      </c>
      <c r="AM100" s="278"/>
      <c r="AN100" s="278"/>
      <c r="AO100" s="278"/>
      <c r="AP100" s="278"/>
    </row>
    <row r="101" spans="2:42" ht="16">
      <c r="B101" s="252"/>
      <c r="C101" s="209" t="str">
        <f>TEXT(Forward_Year_2,"yyyy-mm-dd")&amp;" "&amp;C68</f>
        <v>2026-12-31 EV / EBITDA:</v>
      </c>
      <c r="D101" s="209"/>
      <c r="E101" s="279"/>
      <c r="F101" s="279"/>
      <c r="G101" s="279"/>
      <c r="H101" s="278">
        <f>+G68</f>
        <v>23.322554035973742</v>
      </c>
      <c r="I101" s="209"/>
      <c r="J101" s="279"/>
      <c r="K101" s="279"/>
      <c r="L101" s="279"/>
      <c r="M101" s="278">
        <f>+L68</f>
        <v>17.739695652173918</v>
      </c>
      <c r="N101" s="209"/>
      <c r="O101" s="279"/>
      <c r="P101" s="279"/>
      <c r="Q101" s="279"/>
      <c r="R101" s="278">
        <f>+Q68</f>
        <v>22.225022673031031</v>
      </c>
      <c r="S101" s="209"/>
      <c r="T101" s="279"/>
      <c r="U101" s="279"/>
      <c r="V101" s="279"/>
      <c r="W101" s="278">
        <f>+V68</f>
        <v>2.6934297520661161</v>
      </c>
      <c r="X101" s="209"/>
      <c r="Y101" s="279"/>
      <c r="Z101" s="279"/>
      <c r="AA101" s="279"/>
      <c r="AB101" s="278">
        <f>+AA68</f>
        <v>8.9311851767068262</v>
      </c>
      <c r="AC101" s="209"/>
      <c r="AD101" s="279"/>
      <c r="AE101" s="279"/>
      <c r="AF101" s="279"/>
      <c r="AG101" s="278">
        <f>+AF68</f>
        <v>16.677284162531016</v>
      </c>
      <c r="AH101" s="278"/>
      <c r="AI101" s="279"/>
      <c r="AJ101" s="279"/>
      <c r="AK101" s="279"/>
      <c r="AL101" s="278">
        <f>+AK68</f>
        <v>13.084254738805969</v>
      </c>
      <c r="AM101" s="278"/>
      <c r="AN101" s="278"/>
      <c r="AO101" s="278"/>
      <c r="AP101" s="278"/>
    </row>
    <row r="102" spans="2:42" ht="16">
      <c r="B102" s="252"/>
      <c r="C102" s="209" t="str">
        <f>TEXT(Forward_Year_2,"yyyy-mm-dd")&amp;" "&amp;C69</f>
        <v>2026-12-31 P / E:</v>
      </c>
      <c r="D102" s="209"/>
      <c r="E102" s="279"/>
      <c r="F102" s="279"/>
      <c r="G102" s="279"/>
      <c r="H102" s="278">
        <f>+G69</f>
        <v>41.407797204686752</v>
      </c>
      <c r="I102" s="209"/>
      <c r="J102" s="279"/>
      <c r="K102" s="279"/>
      <c r="L102" s="279"/>
      <c r="M102" s="278">
        <f>+L69</f>
        <v>31.618246913580251</v>
      </c>
      <c r="N102" s="209"/>
      <c r="O102" s="279"/>
      <c r="P102" s="279"/>
      <c r="Q102" s="279"/>
      <c r="R102" s="278">
        <f>+Q69</f>
        <v>40.611188311688316</v>
      </c>
      <c r="S102" s="209"/>
      <c r="T102" s="279"/>
      <c r="U102" s="279"/>
      <c r="V102" s="279"/>
      <c r="W102" s="278">
        <f>+V69</f>
        <v>5.0623770491803279</v>
      </c>
      <c r="X102" s="209"/>
      <c r="Y102" s="279"/>
      <c r="Z102" s="279"/>
      <c r="AA102" s="279"/>
      <c r="AB102" s="278">
        <f>+AA69</f>
        <v>13.747720872</v>
      </c>
      <c r="AC102" s="209"/>
      <c r="AD102" s="279"/>
      <c r="AE102" s="279"/>
      <c r="AF102" s="279"/>
      <c r="AG102" s="278">
        <f>+AF69</f>
        <v>23.969502251717675</v>
      </c>
      <c r="AH102" s="278"/>
      <c r="AI102" s="279"/>
      <c r="AJ102" s="279"/>
      <c r="AK102" s="279"/>
      <c r="AL102" s="278">
        <f>+AK69</f>
        <v>30.823432212851401</v>
      </c>
      <c r="AM102" s="278"/>
      <c r="AN102" s="278"/>
      <c r="AO102" s="278"/>
      <c r="AP102" s="278"/>
    </row>
    <row r="103" spans="2:42" ht="16">
      <c r="B103" s="252"/>
      <c r="C103" s="209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  <c r="S103" s="209"/>
      <c r="T103" s="209"/>
      <c r="U103" s="209"/>
      <c r="V103" s="209"/>
      <c r="W103" s="209"/>
      <c r="X103" s="209"/>
      <c r="Y103" s="209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09"/>
      <c r="AM103" s="209"/>
      <c r="AN103" s="209"/>
      <c r="AO103" s="209"/>
      <c r="AP103" s="209"/>
    </row>
    <row r="104" spans="2:42" ht="16">
      <c r="B104" s="252"/>
      <c r="C104" s="284" t="s">
        <v>289</v>
      </c>
      <c r="D104" s="209"/>
      <c r="E104" s="564" t="s">
        <v>477</v>
      </c>
      <c r="F104" s="209"/>
      <c r="G104" s="209"/>
      <c r="H104" s="286"/>
      <c r="I104" s="209"/>
      <c r="J104" s="564" t="s">
        <v>478</v>
      </c>
      <c r="K104" s="209"/>
      <c r="L104" s="209"/>
      <c r="M104" s="286"/>
      <c r="N104" s="209"/>
      <c r="O104" s="564" t="s">
        <v>479</v>
      </c>
      <c r="P104" s="209"/>
      <c r="Q104" s="209"/>
      <c r="R104" s="286"/>
      <c r="S104" s="209"/>
      <c r="T104" s="564" t="s">
        <v>480</v>
      </c>
      <c r="U104" s="209"/>
      <c r="V104" s="209"/>
      <c r="W104" s="286"/>
      <c r="X104" s="209"/>
      <c r="Y104" s="564" t="s">
        <v>481</v>
      </c>
      <c r="Z104" s="209"/>
      <c r="AA104" s="209"/>
      <c r="AB104" s="286"/>
      <c r="AC104" s="209"/>
      <c r="AD104" s="564" t="s">
        <v>482</v>
      </c>
      <c r="AE104" s="209"/>
      <c r="AF104" s="209"/>
      <c r="AG104" s="286"/>
      <c r="AH104" s="287"/>
      <c r="AI104" s="564" t="s">
        <v>483</v>
      </c>
      <c r="AJ104" s="209"/>
      <c r="AK104" s="209"/>
      <c r="AL104" s="286"/>
      <c r="AM104" s="287"/>
      <c r="AN104" s="287"/>
      <c r="AO104" s="287"/>
      <c r="AP104" s="287"/>
    </row>
  </sheetData>
  <mergeCells count="2">
    <mergeCell ref="AD5:AG5"/>
    <mergeCell ref="AI5:AL5"/>
  </mergeCells>
  <hyperlinks>
    <hyperlink ref="G8" r:id="rId1" tooltip="Revenue_x000a_ FY: 2024_x000a_ Period End Date: Jun-30-2024_x000a_ Filing Date: Aug-29-2024_x000a_ Period Type: Annual_x000a_ Value: 14,905.4, Currency: USD, Millions" display="javascript:void(0);" xr:uid="{6987B807-45DB-4C7F-8D79-DFACC45D8E33}"/>
    <hyperlink ref="E104" r:id="rId2" display="https://mpmaterials.com/" xr:uid="{A3299415-90FE-4CBA-BD4A-8B14D1EE628E}"/>
    <hyperlink ref="J104" r:id="rId3" display="https://lynasrareearths.com/" xr:uid="{A0288367-8C92-4B71-8150-C472C691669F}"/>
    <hyperlink ref="O104" r:id="rId4" display="https://www.reht.com/index" xr:uid="{763D0B96-6E43-439F-A747-61D0308C6096}"/>
    <hyperlink ref="T104" r:id="rId5" display="https://alkane.com.au/" xr:uid="{484B1F2E-8C22-47D1-8CB6-F057598DBD7A}"/>
    <hyperlink ref="Y104" r:id="rId6" display="https://www.materion.com/" xr:uid="{3D14A3A1-3A28-4D6D-9FCB-1DC54815DD90}"/>
    <hyperlink ref="AD104" r:id="rId7" display="https://www.ametek.com/" xr:uid="{83CC8BB2-76BD-48E0-9EFF-E0F088FE2A91}"/>
    <hyperlink ref="AI104" r:id="rId8" display="https://www.tdk.com/en/index.html" xr:uid="{20429BAE-DEFD-44D1-BA4F-579554E7E600}"/>
  </hyperlinks>
  <pageMargins left="0.7" right="0.7" top="0.75" bottom="0.75" header="0.3" footer="0.3"/>
  <legacyDrawing r:id="rId9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1D24A-0825-4FFE-ABD6-01D840F1EBDC}">
  <dimension ref="B2:AH97"/>
  <sheetViews>
    <sheetView showGridLines="0" topLeftCell="F1" zoomScale="56" workbookViewId="0">
      <selection activeCell="J14" sqref="J14"/>
    </sheetView>
  </sheetViews>
  <sheetFormatPr defaultRowHeight="14.5"/>
  <cols>
    <col min="2" max="2" width="11.08984375" bestFit="1" customWidth="1"/>
    <col min="3" max="3" width="14.7265625" bestFit="1" customWidth="1"/>
    <col min="4" max="4" width="20.54296875" bestFit="1" customWidth="1"/>
    <col min="5" max="5" width="14.7265625" bestFit="1" customWidth="1"/>
    <col min="6" max="6" width="20.54296875" bestFit="1" customWidth="1"/>
    <col min="7" max="12" width="15.08984375" bestFit="1" customWidth="1"/>
    <col min="13" max="13" width="50" bestFit="1" customWidth="1"/>
    <col min="14" max="16" width="15.08984375" bestFit="1" customWidth="1"/>
    <col min="17" max="17" width="18.90625" bestFit="1" customWidth="1"/>
    <col min="19" max="19" width="24" customWidth="1"/>
    <col min="23" max="23" width="12.90625" bestFit="1" customWidth="1"/>
    <col min="24" max="24" width="13.7265625" bestFit="1" customWidth="1"/>
    <col min="25" max="27" width="12.90625" bestFit="1" customWidth="1"/>
    <col min="28" max="32" width="12.81640625" bestFit="1" customWidth="1"/>
    <col min="34" max="34" width="9.90625" bestFit="1" customWidth="1"/>
  </cols>
  <sheetData>
    <row r="2" spans="2:34" ht="21">
      <c r="B2" s="553" t="s">
        <v>467</v>
      </c>
      <c r="C2" s="550"/>
      <c r="D2" s="550"/>
      <c r="E2" s="550"/>
      <c r="F2" s="549"/>
      <c r="H2" s="567" t="s">
        <v>136</v>
      </c>
      <c r="I2" s="568"/>
      <c r="J2" s="569"/>
      <c r="K2" s="570">
        <f>DCF!G10*DCF!G11</f>
        <v>3217.3460000000005</v>
      </c>
      <c r="M2" s="665" t="s">
        <v>316</v>
      </c>
      <c r="N2" s="666" t="s">
        <v>317</v>
      </c>
      <c r="O2" s="666" t="s">
        <v>484</v>
      </c>
      <c r="P2" s="666" t="s">
        <v>485</v>
      </c>
      <c r="Q2" s="667" t="s">
        <v>486</v>
      </c>
      <c r="S2" s="12"/>
      <c r="T2" s="12"/>
      <c r="U2" s="12"/>
      <c r="V2" s="12"/>
      <c r="W2" s="12"/>
      <c r="X2" s="12"/>
      <c r="Y2" s="16" t="s">
        <v>67</v>
      </c>
      <c r="Z2" s="12"/>
      <c r="AA2" s="12"/>
      <c r="AB2" s="12"/>
      <c r="AC2" s="16" t="s">
        <v>68</v>
      </c>
      <c r="AD2" s="12"/>
      <c r="AE2" s="12"/>
      <c r="AF2" s="12"/>
      <c r="AG2" s="1"/>
      <c r="AH2" s="478" t="s">
        <v>310</v>
      </c>
    </row>
    <row r="3" spans="2:34" ht="21">
      <c r="B3" s="571"/>
      <c r="C3" s="557" t="s">
        <v>466</v>
      </c>
      <c r="D3" s="558"/>
      <c r="E3" s="557" t="s">
        <v>465</v>
      </c>
      <c r="F3" s="559"/>
      <c r="H3" s="572" t="s">
        <v>139</v>
      </c>
      <c r="I3" s="1"/>
      <c r="J3" s="21"/>
      <c r="K3" s="573">
        <f>PubComps_Data!$H$19</f>
        <v>-850.86800000000005</v>
      </c>
      <c r="M3" s="668" t="s">
        <v>291</v>
      </c>
      <c r="N3" s="669" t="s">
        <v>290</v>
      </c>
      <c r="O3" s="670">
        <v>7.5557962962962977</v>
      </c>
      <c r="P3" s="670">
        <v>17.739695652173918</v>
      </c>
      <c r="Q3" s="671">
        <v>31.618246913580251</v>
      </c>
      <c r="S3" s="16" t="s">
        <v>91</v>
      </c>
      <c r="T3" s="12"/>
      <c r="U3" s="17" t="s">
        <v>69</v>
      </c>
      <c r="V3" s="18"/>
      <c r="W3" s="19">
        <v>44561</v>
      </c>
      <c r="X3" s="19">
        <v>44926</v>
      </c>
      <c r="Y3" s="19">
        <v>45291</v>
      </c>
      <c r="Z3" s="19">
        <v>45657</v>
      </c>
      <c r="AA3" s="19">
        <v>46022</v>
      </c>
      <c r="AB3" s="19">
        <v>46387</v>
      </c>
      <c r="AC3" s="19">
        <v>46752</v>
      </c>
      <c r="AD3" s="19">
        <v>47118</v>
      </c>
      <c r="AE3" s="19">
        <v>47483</v>
      </c>
      <c r="AF3" s="19">
        <v>47848</v>
      </c>
      <c r="AG3" s="1"/>
      <c r="AH3" s="355" t="s">
        <v>399</v>
      </c>
    </row>
    <row r="4" spans="2:34" ht="21">
      <c r="B4" s="571"/>
      <c r="C4" s="554" t="s">
        <v>461</v>
      </c>
      <c r="D4" s="554" t="s">
        <v>464</v>
      </c>
      <c r="E4" s="554" t="s">
        <v>461</v>
      </c>
      <c r="F4" s="555" t="s">
        <v>464</v>
      </c>
      <c r="H4" s="572" t="s">
        <v>142</v>
      </c>
      <c r="I4" s="1"/>
      <c r="J4" s="21"/>
      <c r="K4" s="573">
        <f>PubComps_Data!$H$23</f>
        <v>908.72900000000004</v>
      </c>
      <c r="M4" s="668" t="s">
        <v>472</v>
      </c>
      <c r="N4" s="669">
        <v>600111</v>
      </c>
      <c r="O4" s="670">
        <v>3.2034002407980742</v>
      </c>
      <c r="P4" s="670">
        <v>22.225022673031031</v>
      </c>
      <c r="Q4" s="671">
        <v>40.611188311688316</v>
      </c>
      <c r="S4" s="479" t="s">
        <v>403</v>
      </c>
      <c r="T4" s="480"/>
      <c r="U4" s="480"/>
      <c r="V4" s="481"/>
      <c r="W4" s="533"/>
      <c r="X4" s="533"/>
      <c r="Y4" s="533"/>
      <c r="Z4" s="533"/>
      <c r="AA4" s="533"/>
      <c r="AB4" s="533"/>
      <c r="AC4" s="533"/>
      <c r="AD4" s="533"/>
      <c r="AE4" s="533"/>
      <c r="AF4" s="533"/>
      <c r="AG4" s="1"/>
      <c r="AH4" s="481"/>
    </row>
    <row r="5" spans="2:34" ht="21">
      <c r="B5" s="574" t="s">
        <v>126</v>
      </c>
      <c r="C5" s="551">
        <v>16</v>
      </c>
      <c r="D5" s="575">
        <v>36.770799076891855</v>
      </c>
      <c r="E5" s="551">
        <v>19.2</v>
      </c>
      <c r="F5" s="575">
        <v>42.561025120142538</v>
      </c>
      <c r="H5" s="576" t="s">
        <v>150</v>
      </c>
      <c r="I5" s="65"/>
      <c r="J5" s="65"/>
      <c r="K5" s="577">
        <f>SUM(K2:K4)</f>
        <v>3275.2070000000003</v>
      </c>
      <c r="M5" s="668" t="s">
        <v>474</v>
      </c>
      <c r="N5" s="669" t="s">
        <v>473</v>
      </c>
      <c r="O5" s="670">
        <v>1.5897804878048782</v>
      </c>
      <c r="P5" s="670">
        <v>2.6934297520661161</v>
      </c>
      <c r="Q5" s="671">
        <v>5.0623770491803279</v>
      </c>
      <c r="S5" s="53"/>
      <c r="T5" s="492"/>
      <c r="U5" s="492"/>
      <c r="V5" s="493"/>
      <c r="W5" s="534"/>
      <c r="X5" s="534"/>
      <c r="Y5" s="534"/>
      <c r="Z5" s="534"/>
      <c r="AA5" s="534"/>
      <c r="AB5" s="534"/>
      <c r="AC5" s="534"/>
      <c r="AD5" s="534"/>
      <c r="AE5" s="459"/>
      <c r="AF5" s="1"/>
      <c r="AG5" s="1"/>
      <c r="AH5" s="493"/>
    </row>
    <row r="6" spans="2:34" ht="21">
      <c r="B6" s="574" t="s">
        <v>124</v>
      </c>
      <c r="C6" s="556">
        <v>15</v>
      </c>
      <c r="D6" s="578">
        <v>33.272637998805813</v>
      </c>
      <c r="E6" s="556">
        <v>18</v>
      </c>
      <c r="F6" s="579">
        <v>38.484950645779726</v>
      </c>
      <c r="H6" s="580" t="s">
        <v>470</v>
      </c>
      <c r="I6" s="198"/>
      <c r="J6" s="581"/>
      <c r="K6" s="582">
        <f>DCF!G11</f>
        <v>163.4</v>
      </c>
      <c r="M6" s="668" t="s">
        <v>294</v>
      </c>
      <c r="N6" s="669" t="s">
        <v>293</v>
      </c>
      <c r="O6" s="670">
        <v>2.4384485844298243</v>
      </c>
      <c r="P6" s="670">
        <v>8.9311851767068262</v>
      </c>
      <c r="Q6" s="671">
        <v>13.747720872</v>
      </c>
      <c r="S6" s="594" t="s">
        <v>241</v>
      </c>
      <c r="T6" s="1"/>
      <c r="U6" s="484" t="s">
        <v>96</v>
      </c>
      <c r="V6" s="495"/>
      <c r="W6" s="495">
        <v>331952</v>
      </c>
      <c r="X6" s="495">
        <v>527510</v>
      </c>
      <c r="Y6" s="495">
        <v>253445</v>
      </c>
      <c r="Z6" s="495">
        <v>203855</v>
      </c>
      <c r="AA6" s="495">
        <v>314708.40000000002</v>
      </c>
      <c r="AB6" s="495">
        <v>398995</v>
      </c>
      <c r="AC6" s="495">
        <v>522406.17467239487</v>
      </c>
      <c r="AD6" s="495">
        <v>681452.60136240441</v>
      </c>
      <c r="AE6" s="495">
        <v>814418.99282991118</v>
      </c>
      <c r="AF6" s="495">
        <v>969012.25812233286</v>
      </c>
      <c r="AG6" s="1"/>
      <c r="AH6" s="486">
        <v>3.7476892998943079E-2</v>
      </c>
    </row>
    <row r="7" spans="2:34" ht="21">
      <c r="B7" s="583" t="s">
        <v>125</v>
      </c>
      <c r="C7" s="552">
        <v>14</v>
      </c>
      <c r="D7" s="584">
        <v>29.03515799716607</v>
      </c>
      <c r="E7" s="552">
        <v>16.8</v>
      </c>
      <c r="F7" s="584">
        <v>33.698360483673042</v>
      </c>
      <c r="H7" s="85"/>
      <c r="I7" s="1"/>
      <c r="J7" s="21"/>
      <c r="K7" s="163"/>
      <c r="M7" s="668" t="s">
        <v>296</v>
      </c>
      <c r="N7" s="669" t="s">
        <v>295</v>
      </c>
      <c r="O7" s="670">
        <v>5.3753229945347902</v>
      </c>
      <c r="P7" s="670">
        <v>16.677284162531016</v>
      </c>
      <c r="Q7" s="671">
        <v>23.969502251717675</v>
      </c>
      <c r="S7" s="595" t="s">
        <v>404</v>
      </c>
      <c r="T7" s="1"/>
      <c r="U7" s="484" t="s">
        <v>82</v>
      </c>
      <c r="V7" s="589"/>
      <c r="W7" s="589"/>
      <c r="X7" s="590">
        <v>0.58911529377741356</v>
      </c>
      <c r="Y7" s="590">
        <v>-0.51954465318193022</v>
      </c>
      <c r="Z7" s="590">
        <v>-0.19566375347708576</v>
      </c>
      <c r="AA7" s="590">
        <v>0.54378553383532413</v>
      </c>
      <c r="AB7" s="590">
        <v>0.26782443684375745</v>
      </c>
      <c r="AC7" s="590">
        <v>0.30930506565845395</v>
      </c>
      <c r="AD7" s="590">
        <v>0.30444974504703892</v>
      </c>
      <c r="AE7" s="590">
        <v>0.19512199557485244</v>
      </c>
      <c r="AF7" s="590">
        <v>0.18982030951322382</v>
      </c>
      <c r="AG7" s="1"/>
      <c r="AH7" s="459"/>
    </row>
    <row r="8" spans="2:34" ht="21">
      <c r="H8" s="85"/>
      <c r="I8" s="1"/>
      <c r="J8" s="21"/>
      <c r="K8" s="163"/>
      <c r="M8" s="668" t="s">
        <v>476</v>
      </c>
      <c r="N8" s="669">
        <v>6762</v>
      </c>
      <c r="O8" s="670">
        <v>2.5829921281706376</v>
      </c>
      <c r="P8" s="670">
        <v>13.084254738805969</v>
      </c>
      <c r="Q8" s="671">
        <v>30.823432212851401</v>
      </c>
      <c r="S8" s="498"/>
      <c r="T8" s="1"/>
      <c r="U8" s="499"/>
      <c r="V8" s="591"/>
      <c r="W8" s="591"/>
      <c r="X8" s="591"/>
      <c r="Y8" s="591"/>
      <c r="Z8" s="591"/>
      <c r="AA8" s="591"/>
      <c r="AB8" s="591"/>
      <c r="AC8" s="591"/>
      <c r="AD8" s="591"/>
      <c r="AE8" s="459"/>
      <c r="AF8" s="1"/>
      <c r="AG8" s="1"/>
      <c r="AH8" s="459"/>
    </row>
    <row r="9" spans="2:34" ht="21">
      <c r="B9" s="553" t="s">
        <v>468</v>
      </c>
      <c r="C9" s="550"/>
      <c r="D9" s="550"/>
      <c r="E9" s="550"/>
      <c r="F9" s="549"/>
      <c r="H9" s="85" t="s">
        <v>471</v>
      </c>
      <c r="I9" s="1"/>
      <c r="J9" s="21"/>
      <c r="K9" s="163"/>
      <c r="M9" s="672" t="s">
        <v>91</v>
      </c>
      <c r="N9" s="673" t="s">
        <v>90</v>
      </c>
      <c r="O9" s="674">
        <v>10.121903883507311</v>
      </c>
      <c r="P9" s="674">
        <v>26.42330904484065</v>
      </c>
      <c r="Q9" s="675">
        <v>46.98935195849014</v>
      </c>
      <c r="S9" s="594" t="s">
        <v>405</v>
      </c>
      <c r="T9" s="1"/>
      <c r="U9" s="484" t="s">
        <v>96</v>
      </c>
      <c r="V9" s="592"/>
      <c r="W9" s="592">
        <v>255699</v>
      </c>
      <c r="X9" s="592">
        <v>435292</v>
      </c>
      <c r="Y9" s="592">
        <v>160731</v>
      </c>
      <c r="Z9" s="592">
        <v>11269</v>
      </c>
      <c r="AA9" s="592">
        <v>198266.29200000002</v>
      </c>
      <c r="AB9" s="592">
        <v>267326.65000000002</v>
      </c>
      <c r="AC9" s="592">
        <v>365684.32227067638</v>
      </c>
      <c r="AD9" s="592">
        <v>477016.82095368311</v>
      </c>
      <c r="AE9" s="592">
        <v>570093.29498093785</v>
      </c>
      <c r="AF9" s="592">
        <v>678308.580685633</v>
      </c>
      <c r="AG9" s="1"/>
      <c r="AH9" s="486">
        <v>8.933739243198735E-3</v>
      </c>
    </row>
    <row r="10" spans="2:34" ht="21">
      <c r="B10" s="571"/>
      <c r="C10" s="554" t="s">
        <v>469</v>
      </c>
      <c r="D10" s="554"/>
      <c r="E10" s="554" t="s">
        <v>464</v>
      </c>
      <c r="F10" s="555"/>
      <c r="M10" s="676"/>
      <c r="N10" s="677"/>
      <c r="O10" s="678"/>
      <c r="P10" s="678"/>
      <c r="Q10" s="679"/>
      <c r="S10" s="595" t="s">
        <v>406</v>
      </c>
      <c r="T10" s="1"/>
      <c r="U10" s="484" t="s">
        <v>82</v>
      </c>
      <c r="V10" s="589"/>
      <c r="W10" s="589"/>
      <c r="X10" s="590">
        <v>0.70236097911998097</v>
      </c>
      <c r="Y10" s="590">
        <v>-0.63075131176313826</v>
      </c>
      <c r="Z10" s="590">
        <v>-0.92988906931456905</v>
      </c>
      <c r="AA10" s="590">
        <v>16.59395616292484</v>
      </c>
      <c r="AB10" s="590">
        <v>0.34832122648463115</v>
      </c>
      <c r="AC10" s="590">
        <v>0.36793066561330989</v>
      </c>
      <c r="AD10" s="590">
        <v>0.30444974504703914</v>
      </c>
      <c r="AE10" s="590">
        <v>0.19512199557485244</v>
      </c>
      <c r="AF10" s="590">
        <v>0.1898203095132236</v>
      </c>
      <c r="AG10" s="1"/>
      <c r="AH10" s="459"/>
    </row>
    <row r="11" spans="2:34" ht="21">
      <c r="B11" s="574" t="s">
        <v>126</v>
      </c>
      <c r="C11" s="560">
        <v>0.04</v>
      </c>
      <c r="D11" s="585"/>
      <c r="E11" s="585">
        <v>66.02</v>
      </c>
      <c r="F11" s="575"/>
      <c r="H11" s="693"/>
      <c r="I11" s="693"/>
      <c r="M11" s="680" t="s">
        <v>490</v>
      </c>
      <c r="N11" s="681"/>
      <c r="O11" s="682">
        <f>MEDIAN(O3:O8)</f>
        <v>2.8931961844843559</v>
      </c>
      <c r="P11" s="682">
        <f t="shared" ref="P11:Q11" si="0">MEDIAN(P3:P8)</f>
        <v>14.880769450668492</v>
      </c>
      <c r="Q11" s="682">
        <f t="shared" si="0"/>
        <v>27.396467232284536</v>
      </c>
      <c r="S11" s="498"/>
      <c r="T11" s="1"/>
      <c r="U11" s="499"/>
      <c r="V11" s="591"/>
      <c r="W11" s="591"/>
      <c r="X11" s="591"/>
      <c r="Y11" s="591"/>
      <c r="Z11" s="591"/>
      <c r="AA11" s="591"/>
      <c r="AB11" s="591"/>
      <c r="AC11" s="591"/>
      <c r="AD11" s="591"/>
      <c r="AE11" s="459"/>
      <c r="AF11" s="1"/>
      <c r="AG11" s="1"/>
      <c r="AH11" s="459"/>
    </row>
    <row r="12" spans="2:34" ht="21">
      <c r="B12" s="574" t="s">
        <v>124</v>
      </c>
      <c r="C12" s="561">
        <v>0.03</v>
      </c>
      <c r="D12" s="586"/>
      <c r="E12" s="586">
        <v>55.39</v>
      </c>
      <c r="F12" s="587"/>
      <c r="H12" s="693"/>
      <c r="I12" s="693"/>
      <c r="M12" s="683"/>
      <c r="N12" s="608"/>
      <c r="O12" s="608"/>
      <c r="P12" s="608"/>
      <c r="Q12" s="684"/>
      <c r="S12" s="594" t="s">
        <v>407</v>
      </c>
      <c r="T12" s="1"/>
      <c r="U12" s="484" t="s">
        <v>96</v>
      </c>
      <c r="V12" s="592"/>
      <c r="W12" s="592">
        <v>135037</v>
      </c>
      <c r="X12" s="592">
        <v>289004</v>
      </c>
      <c r="Y12" s="592">
        <v>24307</v>
      </c>
      <c r="Z12" s="592">
        <v>-65424</v>
      </c>
      <c r="AA12" s="592">
        <v>40074.94822546636</v>
      </c>
      <c r="AB12" s="592">
        <v>84909.194821936864</v>
      </c>
      <c r="AC12" s="592">
        <v>155294.01782727215</v>
      </c>
      <c r="AD12" s="592">
        <v>230807.82804736606</v>
      </c>
      <c r="AE12" s="592">
        <v>299394.18941606767</v>
      </c>
      <c r="AF12" s="592">
        <v>372870.83084048954</v>
      </c>
      <c r="AG12" s="1"/>
      <c r="AH12" s="486">
        <v>-8.8618123000901883E-2</v>
      </c>
    </row>
    <row r="13" spans="2:34" ht="21">
      <c r="B13" s="583" t="s">
        <v>125</v>
      </c>
      <c r="C13" s="562">
        <v>0.02</v>
      </c>
      <c r="D13" s="588"/>
      <c r="E13" s="588">
        <v>47.87</v>
      </c>
      <c r="F13" s="584"/>
      <c r="H13" s="693"/>
      <c r="I13" s="693"/>
      <c r="M13" s="685" t="s">
        <v>487</v>
      </c>
      <c r="N13" s="686"/>
      <c r="O13" s="686"/>
      <c r="P13" s="686" t="s">
        <v>489</v>
      </c>
      <c r="Q13" s="687"/>
      <c r="S13" s="507" t="s">
        <v>408</v>
      </c>
      <c r="T13" s="1"/>
      <c r="U13" s="484" t="s">
        <v>409</v>
      </c>
      <c r="V13" s="593"/>
      <c r="W13" s="593">
        <v>0.73</v>
      </c>
      <c r="X13" s="593">
        <v>1.52</v>
      </c>
      <c r="Y13" s="593">
        <v>0.14000000000000001</v>
      </c>
      <c r="Z13" s="593">
        <v>-0.56999999999999995</v>
      </c>
      <c r="AA13" s="593">
        <v>0.23589784233083713</v>
      </c>
      <c r="AB13" s="593">
        <v>0.49981089781708632</v>
      </c>
      <c r="AC13" s="593">
        <v>0.91412529159702338</v>
      </c>
      <c r="AD13" s="593">
        <v>1.3586310410961713</v>
      </c>
      <c r="AE13" s="593">
        <v>1.7623589403606374</v>
      </c>
      <c r="AF13" s="593">
        <v>2.1948730655497788</v>
      </c>
      <c r="AG13" s="1"/>
      <c r="AH13" s="486"/>
    </row>
    <row r="14" spans="2:34" ht="21">
      <c r="M14" s="688" t="s">
        <v>488</v>
      </c>
      <c r="N14" s="689" t="s">
        <v>90</v>
      </c>
      <c r="O14" s="690"/>
      <c r="P14" s="691" t="s">
        <v>492</v>
      </c>
      <c r="Q14" s="692"/>
      <c r="S14" s="498"/>
      <c r="T14" s="1"/>
      <c r="U14" s="499"/>
      <c r="V14" s="591"/>
      <c r="W14" s="591"/>
      <c r="X14" s="591"/>
      <c r="Y14" s="591"/>
      <c r="Z14" s="591"/>
      <c r="AA14" s="591"/>
      <c r="AB14" s="591"/>
      <c r="AC14" s="591"/>
      <c r="AD14" s="591"/>
      <c r="AE14" s="459"/>
      <c r="AF14" s="1"/>
      <c r="AG14" s="1"/>
      <c r="AH14" s="459"/>
    </row>
    <row r="15" spans="2:34" ht="16">
      <c r="S15" s="508" t="s">
        <v>424</v>
      </c>
      <c r="T15" s="1"/>
      <c r="U15" s="484" t="s">
        <v>96</v>
      </c>
      <c r="V15" s="592"/>
      <c r="W15" s="592">
        <v>-123870</v>
      </c>
      <c r="X15" s="592">
        <v>-326595</v>
      </c>
      <c r="Y15" s="592">
        <v>-261897</v>
      </c>
      <c r="Z15" s="592">
        <v>-186418</v>
      </c>
      <c r="AA15" s="592">
        <v>-175000</v>
      </c>
      <c r="AB15" s="592">
        <v>-100000</v>
      </c>
      <c r="AC15" s="592">
        <v>-97936.498459389841</v>
      </c>
      <c r="AD15" s="592">
        <v>-115861.64772799898</v>
      </c>
      <c r="AE15" s="592">
        <v>-143268.52876254162</v>
      </c>
      <c r="AF15" s="592">
        <v>-163778.4994828515</v>
      </c>
      <c r="AG15" s="1"/>
      <c r="AH15" s="486">
        <v>-4.190897370489588E-2</v>
      </c>
    </row>
    <row r="16" spans="2:34" ht="16">
      <c r="S16" s="596" t="s">
        <v>410</v>
      </c>
      <c r="T16" s="1"/>
      <c r="U16" s="484" t="s">
        <v>82</v>
      </c>
      <c r="V16" s="590"/>
      <c r="W16" s="590"/>
      <c r="X16" s="590">
        <v>0.61912570377812748</v>
      </c>
      <c r="Y16" s="590">
        <v>1.0333484582453787</v>
      </c>
      <c r="Z16" s="590">
        <v>0.91446371195212284</v>
      </c>
      <c r="AA16" s="590">
        <v>0.55607031779259786</v>
      </c>
      <c r="AB16" s="590">
        <v>0.2506297071391872</v>
      </c>
      <c r="AC16" s="590">
        <v>0.1874719389004286</v>
      </c>
      <c r="AD16" s="590">
        <v>0.17002157963204018</v>
      </c>
      <c r="AE16" s="590">
        <v>0.17591501429100734</v>
      </c>
      <c r="AF16" s="590">
        <v>0.16901592122292358</v>
      </c>
      <c r="AG16" s="1"/>
      <c r="AH16" s="486"/>
    </row>
    <row r="17" spans="19:34" ht="16">
      <c r="S17" s="596"/>
      <c r="T17" s="1"/>
      <c r="U17" s="484"/>
      <c r="V17" s="591"/>
      <c r="W17" s="591"/>
      <c r="X17" s="591"/>
      <c r="Y17" s="591"/>
      <c r="Z17" s="591"/>
      <c r="AA17" s="591"/>
      <c r="AB17" s="591"/>
      <c r="AC17" s="591"/>
      <c r="AD17" s="591"/>
      <c r="AE17" s="459"/>
      <c r="AF17" s="1"/>
      <c r="AG17" s="1"/>
      <c r="AH17" s="486"/>
    </row>
    <row r="18" spans="19:34" ht="16">
      <c r="S18" s="507" t="s">
        <v>55</v>
      </c>
      <c r="T18" s="1"/>
      <c r="U18" s="484" t="s">
        <v>96</v>
      </c>
      <c r="V18" s="592"/>
      <c r="W18" s="592">
        <v>101971</v>
      </c>
      <c r="X18" s="592">
        <v>343514</v>
      </c>
      <c r="Y18" s="592">
        <v>62699</v>
      </c>
      <c r="Z18" s="592">
        <v>13349</v>
      </c>
      <c r="AA18" s="592">
        <v>-48401.614431868926</v>
      </c>
      <c r="AB18" s="592">
        <v>168909.36838435754</v>
      </c>
      <c r="AC18" s="592">
        <v>212505.41302788266</v>
      </c>
      <c r="AD18" s="592">
        <v>300293.16154967406</v>
      </c>
      <c r="AE18" s="592">
        <v>375445.68776677438</v>
      </c>
      <c r="AF18" s="592">
        <v>435376.448903443</v>
      </c>
      <c r="AG18" s="1"/>
      <c r="AH18" s="486">
        <v>0.10620447730865945</v>
      </c>
    </row>
    <row r="19" spans="19:34" ht="16">
      <c r="S19" s="596"/>
      <c r="T19" s="1"/>
      <c r="U19" s="484"/>
      <c r="V19" s="591"/>
      <c r="W19" s="591"/>
      <c r="X19" s="591"/>
      <c r="Y19" s="591"/>
      <c r="Z19" s="591"/>
      <c r="AA19" s="591"/>
      <c r="AB19" s="591"/>
      <c r="AC19" s="591"/>
      <c r="AD19" s="591"/>
      <c r="AE19" s="459"/>
      <c r="AF19" s="1"/>
      <c r="AG19" s="1"/>
      <c r="AH19" s="486"/>
    </row>
    <row r="20" spans="19:34" ht="16">
      <c r="S20" s="507" t="s">
        <v>413</v>
      </c>
      <c r="T20" s="1"/>
      <c r="U20" s="484" t="s">
        <v>96</v>
      </c>
      <c r="V20" s="592"/>
      <c r="W20" s="592">
        <v>1889666</v>
      </c>
      <c r="X20" s="592">
        <v>2237787</v>
      </c>
      <c r="Y20" s="592">
        <v>2336452</v>
      </c>
      <c r="Z20" s="592">
        <v>2333558</v>
      </c>
      <c r="AA20" s="592">
        <v>2385214.7368322071</v>
      </c>
      <c r="AB20" s="592">
        <v>2443148.5404411126</v>
      </c>
      <c r="AC20" s="592">
        <v>2590107.0276844758</v>
      </c>
      <c r="AD20" s="592">
        <v>2817373.5603623963</v>
      </c>
      <c r="AE20" s="592">
        <v>3113145.6874588779</v>
      </c>
      <c r="AF20" s="592">
        <v>3797037.5118123759</v>
      </c>
      <c r="AG20" s="1"/>
      <c r="AH20" s="486">
        <v>5.2720219960225689E-2</v>
      </c>
    </row>
    <row r="21" spans="19:34" ht="16">
      <c r="S21" s="508" t="s">
        <v>414</v>
      </c>
      <c r="T21" s="1"/>
      <c r="U21" s="484" t="s">
        <v>96</v>
      </c>
      <c r="V21" s="592"/>
      <c r="W21" s="592">
        <v>691009</v>
      </c>
      <c r="X21" s="592">
        <v>678444</v>
      </c>
      <c r="Y21" s="592">
        <v>681980</v>
      </c>
      <c r="Z21" s="592">
        <v>908729</v>
      </c>
      <c r="AA21" s="592">
        <v>920895</v>
      </c>
      <c r="AB21" s="592">
        <v>920762</v>
      </c>
      <c r="AC21" s="592">
        <v>919716.5</v>
      </c>
      <c r="AD21" s="592">
        <v>917525.625</v>
      </c>
      <c r="AE21" s="592">
        <v>919724.78125</v>
      </c>
      <c r="AF21" s="592">
        <v>1248293.1270153981</v>
      </c>
      <c r="AG21" s="1"/>
      <c r="AH21" s="486">
        <v>5.9089681338859279E-2</v>
      </c>
    </row>
    <row r="22" spans="19:34" ht="16">
      <c r="S22" s="507" t="s">
        <v>16</v>
      </c>
      <c r="T22" s="1"/>
      <c r="U22" s="484" t="s">
        <v>96</v>
      </c>
      <c r="V22" s="592"/>
      <c r="W22" s="592">
        <v>1179297</v>
      </c>
      <c r="X22" s="592">
        <v>136627</v>
      </c>
      <c r="Y22" s="592">
        <v>263351</v>
      </c>
      <c r="Z22" s="592">
        <v>282442</v>
      </c>
      <c r="AA22" s="592">
        <v>39339.699068563554</v>
      </c>
      <c r="AB22" s="592">
        <v>280927.4577659081</v>
      </c>
      <c r="AC22" s="592">
        <v>377918.3027099669</v>
      </c>
      <c r="AD22" s="592">
        <v>526806.67104661185</v>
      </c>
      <c r="AE22" s="592">
        <v>703785.39413072099</v>
      </c>
      <c r="AF22" s="592">
        <v>1238976.1555135557</v>
      </c>
      <c r="AG22" s="1"/>
      <c r="AH22" s="486">
        <v>-0.24942482001248978</v>
      </c>
    </row>
    <row r="39" spans="2:28" ht="21">
      <c r="B39" s="598"/>
      <c r="C39" s="598"/>
      <c r="D39" s="598"/>
      <c r="E39" s="598"/>
      <c r="F39" s="598"/>
      <c r="G39" s="599"/>
      <c r="H39" s="599"/>
      <c r="I39" s="600" t="s">
        <v>67</v>
      </c>
      <c r="J39" s="599"/>
      <c r="K39" s="601"/>
      <c r="L39" s="599"/>
      <c r="M39" s="600" t="s">
        <v>68</v>
      </c>
      <c r="N39" s="599"/>
      <c r="O39" s="599"/>
      <c r="P39" s="599"/>
    </row>
    <row r="40" spans="2:28" ht="21">
      <c r="B40" s="602" t="s">
        <v>491</v>
      </c>
      <c r="C40" s="598"/>
      <c r="D40" s="598"/>
      <c r="E40" s="603" t="s">
        <v>69</v>
      </c>
      <c r="F40" s="604"/>
      <c r="G40" s="605">
        <v>44561</v>
      </c>
      <c r="H40" s="605">
        <v>44926</v>
      </c>
      <c r="I40" s="605">
        <v>45291</v>
      </c>
      <c r="J40" s="605">
        <v>45657</v>
      </c>
      <c r="K40" s="606">
        <v>46022</v>
      </c>
      <c r="L40" s="605">
        <v>46387</v>
      </c>
      <c r="M40" s="607">
        <v>46752</v>
      </c>
      <c r="N40" s="605">
        <v>47118</v>
      </c>
      <c r="O40" s="605">
        <v>47483</v>
      </c>
      <c r="P40" s="605">
        <v>47848</v>
      </c>
      <c r="T40" s="624" t="s">
        <v>128</v>
      </c>
      <c r="U40" s="624"/>
      <c r="V40" s="624"/>
      <c r="W40" s="624"/>
      <c r="X40" s="608"/>
      <c r="Y40" s="624" t="s">
        <v>129</v>
      </c>
      <c r="Z40" s="624"/>
      <c r="AA40" s="624"/>
      <c r="AB40" s="624"/>
    </row>
    <row r="41" spans="2:28" ht="21">
      <c r="B41" s="608"/>
      <c r="C41" s="608"/>
      <c r="D41" s="608"/>
      <c r="E41" s="608"/>
      <c r="F41" s="608"/>
      <c r="G41" s="608"/>
      <c r="H41" s="608"/>
      <c r="I41" s="608"/>
      <c r="J41" s="608"/>
      <c r="K41" s="608"/>
      <c r="L41" s="608"/>
      <c r="M41" s="608"/>
      <c r="N41" s="608"/>
      <c r="O41" s="608"/>
      <c r="P41" s="608"/>
      <c r="T41" s="617"/>
      <c r="U41" s="617"/>
      <c r="V41" s="617"/>
      <c r="W41" s="617"/>
      <c r="X41" s="608"/>
      <c r="Y41" s="617"/>
      <c r="Z41" s="617"/>
      <c r="AA41" s="617"/>
      <c r="AB41" s="617"/>
    </row>
    <row r="42" spans="2:28" ht="21">
      <c r="B42" s="608"/>
      <c r="C42" s="609" t="s">
        <v>241</v>
      </c>
      <c r="D42" s="608"/>
      <c r="E42" s="610" t="s">
        <v>96</v>
      </c>
      <c r="F42" s="608"/>
      <c r="G42" s="611">
        <v>331952</v>
      </c>
      <c r="H42" s="611">
        <v>527510</v>
      </c>
      <c r="I42" s="611">
        <v>253445</v>
      </c>
      <c r="J42" s="611">
        <v>203855</v>
      </c>
      <c r="K42" s="611">
        <v>314708.40000000002</v>
      </c>
      <c r="L42" s="611">
        <v>398995</v>
      </c>
      <c r="M42" s="611">
        <v>522406.17467239487</v>
      </c>
      <c r="N42" s="611">
        <v>681452.60136240441</v>
      </c>
      <c r="O42" s="611">
        <v>814418.99282991118</v>
      </c>
      <c r="P42" s="611">
        <v>969012.25812233286</v>
      </c>
      <c r="T42" s="617" t="s">
        <v>130</v>
      </c>
      <c r="U42" s="617"/>
      <c r="V42" s="617"/>
      <c r="W42" s="625">
        <v>14.880769450668492</v>
      </c>
      <c r="X42" s="608"/>
      <c r="Y42" s="617" t="s">
        <v>131</v>
      </c>
      <c r="Z42" s="617"/>
      <c r="AA42" s="617"/>
      <c r="AB42" s="626">
        <v>1.4999999999999999E-2</v>
      </c>
    </row>
    <row r="43" spans="2:28" ht="21">
      <c r="B43" s="608"/>
      <c r="C43" s="612" t="s">
        <v>108</v>
      </c>
      <c r="D43" s="608"/>
      <c r="E43" s="613"/>
      <c r="F43" s="608"/>
      <c r="G43" s="608"/>
      <c r="H43" s="614">
        <v>0.58911529377741356</v>
      </c>
      <c r="I43" s="614">
        <v>-0.51954465318193022</v>
      </c>
      <c r="J43" s="614">
        <v>-0.19566375347708576</v>
      </c>
      <c r="K43" s="614">
        <v>0.54378553383532413</v>
      </c>
      <c r="L43" s="614">
        <v>0.26782443684375745</v>
      </c>
      <c r="M43" s="614">
        <v>0.30930506565845395</v>
      </c>
      <c r="N43" s="614">
        <v>0.30444974504703892</v>
      </c>
      <c r="O43" s="614">
        <v>0.19512199557485244</v>
      </c>
      <c r="P43" s="614">
        <v>0.18982030951322382</v>
      </c>
      <c r="T43" s="617" t="s">
        <v>132</v>
      </c>
      <c r="U43" s="617"/>
      <c r="V43" s="617"/>
      <c r="W43" s="625">
        <v>23.322554035973742</v>
      </c>
      <c r="X43" s="608"/>
      <c r="Y43" s="617"/>
      <c r="Z43" s="617"/>
      <c r="AA43" s="617"/>
      <c r="AB43" s="617"/>
    </row>
    <row r="44" spans="2:28" ht="21">
      <c r="B44" s="608"/>
      <c r="C44" s="608"/>
      <c r="D44" s="608"/>
      <c r="E44" s="613"/>
      <c r="F44" s="608"/>
      <c r="G44" s="608"/>
      <c r="H44" s="608"/>
      <c r="I44" s="608"/>
      <c r="J44" s="608"/>
      <c r="K44" s="608"/>
      <c r="L44" s="608"/>
      <c r="M44" s="608"/>
      <c r="N44" s="608"/>
      <c r="O44" s="608"/>
      <c r="P44" s="608"/>
      <c r="T44" s="617"/>
      <c r="U44" s="617"/>
      <c r="V44" s="617"/>
      <c r="W44" s="627"/>
      <c r="X44" s="608"/>
      <c r="Y44" s="617"/>
      <c r="Z44" s="617"/>
      <c r="AA44" s="617"/>
      <c r="AB44" s="617"/>
    </row>
    <row r="45" spans="2:28" ht="21">
      <c r="B45" s="608"/>
      <c r="C45" s="615" t="s">
        <v>240</v>
      </c>
      <c r="D45" s="608"/>
      <c r="E45" s="613" t="s">
        <v>96</v>
      </c>
      <c r="F45" s="608"/>
      <c r="G45" s="616">
        <v>-166607</v>
      </c>
      <c r="H45" s="616">
        <v>-200099</v>
      </c>
      <c r="I45" s="616">
        <v>-271164</v>
      </c>
      <c r="J45" s="616">
        <v>-373281</v>
      </c>
      <c r="K45" s="616">
        <v>-275745.94139903871</v>
      </c>
      <c r="L45" s="616">
        <v>-311415.96479127137</v>
      </c>
      <c r="M45" s="616">
        <v>-357419.13419958187</v>
      </c>
      <c r="N45" s="616">
        <v>-433014.33485876373</v>
      </c>
      <c r="O45" s="616">
        <v>-485981.47145377344</v>
      </c>
      <c r="P45" s="616">
        <v>-544990.2714325249</v>
      </c>
      <c r="T45" s="617" t="s">
        <v>133</v>
      </c>
      <c r="U45" s="617"/>
      <c r="V45" s="628"/>
      <c r="W45" s="629">
        <v>15</v>
      </c>
      <c r="X45" s="608"/>
      <c r="Y45" s="617" t="s">
        <v>134</v>
      </c>
      <c r="Z45" s="617"/>
      <c r="AA45" s="617"/>
      <c r="AB45" s="630">
        <v>0.03</v>
      </c>
    </row>
    <row r="46" spans="2:28" ht="21">
      <c r="B46" s="608"/>
      <c r="C46" s="608"/>
      <c r="D46" s="608"/>
      <c r="E46" s="613"/>
      <c r="F46" s="608"/>
      <c r="G46" s="608"/>
      <c r="H46" s="608"/>
      <c r="I46" s="608"/>
      <c r="J46" s="608"/>
      <c r="K46" s="608"/>
      <c r="L46" s="608"/>
      <c r="M46" s="608"/>
      <c r="N46" s="608"/>
      <c r="O46" s="608"/>
      <c r="P46" s="608"/>
      <c r="T46" s="608" t="s">
        <v>126</v>
      </c>
      <c r="U46" s="617"/>
      <c r="V46" s="628"/>
      <c r="W46" s="631">
        <v>16</v>
      </c>
      <c r="X46" s="608"/>
      <c r="Y46" s="608" t="s">
        <v>126</v>
      </c>
      <c r="Z46" s="617"/>
      <c r="AA46" s="617"/>
      <c r="AB46" s="626">
        <v>0.04</v>
      </c>
    </row>
    <row r="47" spans="2:28" ht="21">
      <c r="B47" s="608"/>
      <c r="C47" s="609" t="s">
        <v>239</v>
      </c>
      <c r="D47" s="608"/>
      <c r="E47" s="610" t="s">
        <v>96</v>
      </c>
      <c r="F47" s="608"/>
      <c r="G47" s="611">
        <v>165345</v>
      </c>
      <c r="H47" s="611">
        <v>327411</v>
      </c>
      <c r="I47" s="611">
        <v>-17719</v>
      </c>
      <c r="J47" s="611">
        <v>-169426</v>
      </c>
      <c r="K47" s="611">
        <v>38962.458600961312</v>
      </c>
      <c r="L47" s="611">
        <v>87579.03520872863</v>
      </c>
      <c r="M47" s="611">
        <v>164987.04047281301</v>
      </c>
      <c r="N47" s="611">
        <v>248438.26650364068</v>
      </c>
      <c r="O47" s="611">
        <v>328437.52137613774</v>
      </c>
      <c r="P47" s="611">
        <v>424021.98668980796</v>
      </c>
      <c r="T47" s="608" t="s">
        <v>124</v>
      </c>
      <c r="U47" s="617"/>
      <c r="V47" s="628"/>
      <c r="W47" s="631">
        <v>15</v>
      </c>
      <c r="X47" s="608"/>
      <c r="Y47" s="608" t="s">
        <v>124</v>
      </c>
      <c r="Z47" s="617"/>
      <c r="AA47" s="617"/>
      <c r="AB47" s="626">
        <v>0.03</v>
      </c>
    </row>
    <row r="48" spans="2:28" ht="21">
      <c r="B48" s="608"/>
      <c r="C48" s="608"/>
      <c r="D48" s="608"/>
      <c r="E48" s="613"/>
      <c r="F48" s="608"/>
      <c r="G48" s="608"/>
      <c r="H48" s="608"/>
      <c r="I48" s="608"/>
      <c r="J48" s="608"/>
      <c r="K48" s="608"/>
      <c r="L48" s="608"/>
      <c r="M48" s="608"/>
      <c r="N48" s="608"/>
      <c r="O48" s="608"/>
      <c r="P48" s="608"/>
      <c r="T48" s="608" t="s">
        <v>125</v>
      </c>
      <c r="U48" s="617"/>
      <c r="V48" s="628"/>
      <c r="W48" s="631">
        <v>14</v>
      </c>
      <c r="X48" s="608"/>
      <c r="Y48" s="608" t="s">
        <v>125</v>
      </c>
      <c r="Z48" s="617"/>
      <c r="AA48" s="617"/>
      <c r="AB48" s="626">
        <v>0.02</v>
      </c>
    </row>
    <row r="49" spans="2:28" ht="21">
      <c r="B49" s="608"/>
      <c r="C49" s="617" t="s">
        <v>238</v>
      </c>
      <c r="D49" s="608"/>
      <c r="E49" s="613" t="s">
        <v>96</v>
      </c>
      <c r="F49" s="608"/>
      <c r="G49" s="618">
        <v>-25158</v>
      </c>
      <c r="H49" s="618">
        <v>-52148</v>
      </c>
      <c r="I49" s="618">
        <v>-8768</v>
      </c>
      <c r="J49" s="618">
        <v>27923</v>
      </c>
      <c r="K49" s="618">
        <v>-7348.3503754949552</v>
      </c>
      <c r="L49" s="618">
        <v>-15569.390386791774</v>
      </c>
      <c r="M49" s="618">
        <v>-28475.516619332466</v>
      </c>
      <c r="N49" s="618">
        <v>-42322.120551642962</v>
      </c>
      <c r="O49" s="618">
        <v>-54898.47152986475</v>
      </c>
      <c r="P49" s="618">
        <v>-68371.529625000316</v>
      </c>
      <c r="T49" s="617"/>
      <c r="U49" s="617"/>
      <c r="V49" s="628"/>
      <c r="W49" s="632"/>
      <c r="X49" s="608"/>
      <c r="Y49" s="617"/>
      <c r="Z49" s="617"/>
      <c r="AA49" s="617"/>
      <c r="AB49" s="633"/>
    </row>
    <row r="50" spans="2:28" ht="21">
      <c r="B50" s="608"/>
      <c r="C50" s="608"/>
      <c r="D50" s="608"/>
      <c r="E50" s="613"/>
      <c r="F50" s="608"/>
      <c r="G50" s="608"/>
      <c r="H50" s="608"/>
      <c r="I50" s="608"/>
      <c r="J50" s="608"/>
      <c r="K50" s="608"/>
      <c r="L50" s="608"/>
      <c r="M50" s="608"/>
      <c r="N50" s="608"/>
      <c r="O50" s="608"/>
      <c r="P50" s="608"/>
      <c r="T50" s="617"/>
      <c r="U50" s="617"/>
      <c r="V50" s="628"/>
      <c r="W50" s="632"/>
      <c r="X50" s="608"/>
      <c r="Y50" s="617"/>
      <c r="Z50" s="617"/>
      <c r="AA50" s="617"/>
      <c r="AB50" s="633"/>
    </row>
    <row r="51" spans="2:28" ht="21">
      <c r="B51" s="608"/>
      <c r="C51" s="619" t="s">
        <v>237</v>
      </c>
      <c r="D51" s="608"/>
      <c r="E51" s="610" t="s">
        <v>96</v>
      </c>
      <c r="F51" s="608"/>
      <c r="G51" s="611">
        <v>160195</v>
      </c>
      <c r="H51" s="611">
        <v>341152</v>
      </c>
      <c r="I51" s="611">
        <v>33075</v>
      </c>
      <c r="J51" s="611">
        <v>-93347</v>
      </c>
      <c r="K51" s="611">
        <v>47423.298600961316</v>
      </c>
      <c r="L51" s="611">
        <v>100478.58520872863</v>
      </c>
      <c r="M51" s="611">
        <v>183769.53444660461</v>
      </c>
      <c r="N51" s="611">
        <v>273129.94859900902</v>
      </c>
      <c r="O51" s="611">
        <v>354292.66094593244</v>
      </c>
      <c r="P51" s="611">
        <v>441242.36046548985</v>
      </c>
      <c r="T51" s="617" t="s">
        <v>135</v>
      </c>
      <c r="U51" s="617"/>
      <c r="V51" s="617"/>
      <c r="W51" s="634">
        <v>7558.2956133541957</v>
      </c>
      <c r="X51" s="608"/>
      <c r="Y51" s="617" t="s">
        <v>135</v>
      </c>
      <c r="Z51" s="617"/>
      <c r="AA51" s="617"/>
      <c r="AB51" s="635">
        <v>14649.032808262844</v>
      </c>
    </row>
    <row r="52" spans="2:28" ht="21">
      <c r="B52" s="608"/>
      <c r="C52" s="608"/>
      <c r="D52" s="608"/>
      <c r="E52" s="613"/>
      <c r="F52" s="608"/>
      <c r="G52" s="608"/>
      <c r="H52" s="608"/>
      <c r="I52" s="608"/>
      <c r="J52" s="608"/>
      <c r="K52" s="608"/>
      <c r="L52" s="608"/>
      <c r="M52" s="608"/>
      <c r="N52" s="608"/>
      <c r="O52" s="608"/>
      <c r="P52" s="608"/>
      <c r="T52" s="617" t="s">
        <v>137</v>
      </c>
      <c r="U52" s="617"/>
      <c r="V52" s="617"/>
      <c r="W52" s="636">
        <v>8.4831437270217705E-2</v>
      </c>
      <c r="X52" s="608"/>
      <c r="Y52" s="617" t="s">
        <v>138</v>
      </c>
      <c r="Z52" s="617"/>
      <c r="AA52" s="617"/>
      <c r="AB52" s="637">
        <v>29.0720955311285</v>
      </c>
    </row>
    <row r="53" spans="2:28" ht="21">
      <c r="B53" s="608"/>
      <c r="C53" s="620" t="s">
        <v>162</v>
      </c>
      <c r="D53" s="608"/>
      <c r="E53" s="613" t="s">
        <v>96</v>
      </c>
      <c r="F53" s="608"/>
      <c r="G53" s="618">
        <v>24382</v>
      </c>
      <c r="H53" s="618">
        <v>18356</v>
      </c>
      <c r="I53" s="618">
        <v>55709</v>
      </c>
      <c r="J53" s="618">
        <v>78057</v>
      </c>
      <c r="K53" s="618">
        <v>55408.944935819978</v>
      </c>
      <c r="L53" s="618">
        <v>65262.87543715108</v>
      </c>
      <c r="M53" s="618">
        <v>71698.079607821739</v>
      </c>
      <c r="N53" s="618">
        <v>78658.982150313459</v>
      </c>
      <c r="O53" s="618">
        <v>78771.975038817836</v>
      </c>
      <c r="P53" s="618">
        <v>79864.387533805057</v>
      </c>
      <c r="T53" s="617"/>
      <c r="U53" s="617"/>
      <c r="V53" s="617"/>
      <c r="W53" s="617"/>
      <c r="X53" s="608"/>
      <c r="Y53" s="617"/>
      <c r="Z53" s="617"/>
      <c r="AA53" s="617"/>
      <c r="AB53" s="617"/>
    </row>
    <row r="54" spans="2:28" ht="21">
      <c r="B54" s="608"/>
      <c r="C54" s="608"/>
      <c r="D54" s="608"/>
      <c r="E54" s="613"/>
      <c r="F54" s="608"/>
      <c r="G54" s="608"/>
      <c r="H54" s="608"/>
      <c r="I54" s="608"/>
      <c r="J54" s="608"/>
      <c r="K54" s="608"/>
      <c r="L54" s="608"/>
      <c r="M54" s="608"/>
      <c r="N54" s="608"/>
      <c r="O54" s="608"/>
      <c r="P54" s="608"/>
      <c r="T54" s="638" t="s">
        <v>141</v>
      </c>
      <c r="U54" s="617"/>
      <c r="V54" s="628"/>
      <c r="W54" s="639">
        <v>4685.7711514565708</v>
      </c>
      <c r="X54" s="608"/>
      <c r="Y54" s="638" t="s">
        <v>141</v>
      </c>
      <c r="Z54" s="617"/>
      <c r="AA54" s="628"/>
      <c r="AB54" s="640">
        <v>8253.4892959556018</v>
      </c>
    </row>
    <row r="55" spans="2:28" ht="21">
      <c r="B55" s="608"/>
      <c r="C55" s="621" t="s">
        <v>233</v>
      </c>
      <c r="D55" s="608"/>
      <c r="E55" s="613" t="s">
        <v>96</v>
      </c>
      <c r="F55" s="608"/>
      <c r="G55" s="618">
        <v>1229801</v>
      </c>
      <c r="H55" s="618">
        <v>1187272</v>
      </c>
      <c r="I55" s="618">
        <v>1015301</v>
      </c>
      <c r="J55" s="618">
        <v>832061</v>
      </c>
      <c r="K55" s="618">
        <v>683197.86975389754</v>
      </c>
      <c r="L55" s="618">
        <v>723253.62461732863</v>
      </c>
      <c r="M55" s="618">
        <v>844942.59852930019</v>
      </c>
      <c r="N55" s="618">
        <v>1026946.5829436732</v>
      </c>
      <c r="O55" s="618">
        <v>1249455.692482844</v>
      </c>
      <c r="P55" s="618">
        <v>1845880.1036607316</v>
      </c>
      <c r="T55" s="641" t="s">
        <v>143</v>
      </c>
      <c r="U55" s="642"/>
      <c r="V55" s="642"/>
      <c r="W55" s="643">
        <v>1236.1506164271743</v>
      </c>
      <c r="X55" s="608"/>
      <c r="Y55" s="641" t="s">
        <v>143</v>
      </c>
      <c r="Z55" s="642"/>
      <c r="AA55" s="642"/>
      <c r="AB55" s="643">
        <v>1236.1506164271743</v>
      </c>
    </row>
    <row r="56" spans="2:28" ht="21">
      <c r="B56" s="608"/>
      <c r="C56" s="621" t="s">
        <v>232</v>
      </c>
      <c r="D56" s="608"/>
      <c r="E56" s="613" t="s">
        <v>96</v>
      </c>
      <c r="F56" s="608"/>
      <c r="G56" s="608"/>
      <c r="H56" s="618">
        <v>-42529</v>
      </c>
      <c r="I56" s="618">
        <v>-171971</v>
      </c>
      <c r="J56" s="618">
        <v>-183240</v>
      </c>
      <c r="K56" s="618">
        <v>-148863.13024610246</v>
      </c>
      <c r="L56" s="618">
        <v>40055.754863431095</v>
      </c>
      <c r="M56" s="618">
        <v>121688.97391197155</v>
      </c>
      <c r="N56" s="618">
        <v>182003.98441437306</v>
      </c>
      <c r="O56" s="618">
        <v>222509.10953917075</v>
      </c>
      <c r="P56" s="618">
        <v>596424.41117788758</v>
      </c>
      <c r="T56" s="644" t="s">
        <v>145</v>
      </c>
      <c r="U56" s="645"/>
      <c r="V56" s="645"/>
      <c r="W56" s="646">
        <v>5921.9217678837449</v>
      </c>
      <c r="X56" s="608"/>
      <c r="Y56" s="644" t="s">
        <v>145</v>
      </c>
      <c r="Z56" s="645"/>
      <c r="AA56" s="645"/>
      <c r="AB56" s="646">
        <v>9489.6399123827759</v>
      </c>
    </row>
    <row r="57" spans="2:28" ht="21">
      <c r="B57" s="608"/>
      <c r="C57" s="621"/>
      <c r="D57" s="608"/>
      <c r="E57" s="613"/>
      <c r="F57" s="608"/>
      <c r="G57" s="608"/>
      <c r="H57" s="608"/>
      <c r="I57" s="608"/>
      <c r="J57" s="608"/>
      <c r="K57" s="608"/>
      <c r="L57" s="608"/>
      <c r="M57" s="608"/>
      <c r="N57" s="608"/>
      <c r="O57" s="608"/>
      <c r="P57" s="608"/>
      <c r="T57" s="638"/>
      <c r="U57" s="617"/>
      <c r="V57" s="617"/>
      <c r="W57" s="647"/>
      <c r="X57" s="608"/>
      <c r="Y57" s="638"/>
      <c r="Z57" s="617"/>
      <c r="AA57" s="617"/>
      <c r="AB57" s="647"/>
    </row>
    <row r="58" spans="2:28" ht="21">
      <c r="B58" s="608"/>
      <c r="C58" s="621" t="s">
        <v>163</v>
      </c>
      <c r="D58" s="608"/>
      <c r="E58" s="613" t="s">
        <v>96</v>
      </c>
      <c r="F58" s="608"/>
      <c r="G58" s="618">
        <v>-123870</v>
      </c>
      <c r="H58" s="618">
        <v>-326595</v>
      </c>
      <c r="I58" s="618">
        <v>-261897</v>
      </c>
      <c r="J58" s="618">
        <v>-186418</v>
      </c>
      <c r="K58" s="618">
        <v>-175000</v>
      </c>
      <c r="L58" s="618">
        <v>-100000</v>
      </c>
      <c r="M58" s="618">
        <v>-97936.498459389841</v>
      </c>
      <c r="N58" s="618">
        <v>-115861.64772799898</v>
      </c>
      <c r="O58" s="618">
        <v>-143268.52876254162</v>
      </c>
      <c r="P58" s="618">
        <v>-163778.4994828515</v>
      </c>
      <c r="T58" s="648" t="s">
        <v>148</v>
      </c>
      <c r="U58" s="617"/>
      <c r="V58" s="617"/>
      <c r="W58" s="649">
        <v>0.26380942996819579</v>
      </c>
      <c r="X58" s="608"/>
      <c r="Y58" s="648" t="s">
        <v>148</v>
      </c>
      <c r="Z58" s="617"/>
      <c r="AA58" s="617"/>
      <c r="AB58" s="649">
        <v>0.14977309257951257</v>
      </c>
    </row>
    <row r="59" spans="2:28" ht="21">
      <c r="B59" s="608"/>
      <c r="C59" s="608"/>
      <c r="D59" s="608"/>
      <c r="E59" s="613"/>
      <c r="F59" s="608"/>
      <c r="G59" s="608"/>
      <c r="H59" s="608"/>
      <c r="I59" s="608"/>
      <c r="J59" s="608"/>
      <c r="K59" s="608"/>
      <c r="L59" s="608"/>
      <c r="M59" s="608"/>
      <c r="N59" s="608"/>
      <c r="O59" s="608"/>
      <c r="P59" s="608"/>
      <c r="T59" s="617"/>
      <c r="U59" s="617"/>
      <c r="V59" s="617"/>
      <c r="W59" s="617"/>
      <c r="X59" s="608"/>
      <c r="Y59" s="617"/>
      <c r="Z59" s="617"/>
      <c r="AA59" s="617"/>
      <c r="AB59" s="617"/>
    </row>
    <row r="60" spans="2:28" ht="21">
      <c r="B60" s="608"/>
      <c r="C60" s="609" t="s">
        <v>234</v>
      </c>
      <c r="D60" s="608"/>
      <c r="E60" s="610" t="s">
        <v>96</v>
      </c>
      <c r="F60" s="608"/>
      <c r="G60" s="611">
        <v>60707</v>
      </c>
      <c r="H60" s="611">
        <v>-9616</v>
      </c>
      <c r="I60" s="611">
        <v>-345084</v>
      </c>
      <c r="J60" s="611">
        <v>-384948</v>
      </c>
      <c r="K60" s="611">
        <v>-221030.88670932117</v>
      </c>
      <c r="L60" s="611">
        <v>105797.2155093108</v>
      </c>
      <c r="M60" s="611">
        <v>279220.08950700803</v>
      </c>
      <c r="N60" s="611">
        <v>417931.26743569662</v>
      </c>
      <c r="O60" s="611">
        <v>512305.21676137939</v>
      </c>
      <c r="P60" s="611">
        <v>953752.659694331</v>
      </c>
      <c r="T60" s="617" t="s">
        <v>151</v>
      </c>
      <c r="U60" s="617"/>
      <c r="V60" s="617"/>
      <c r="W60" s="650">
        <v>850.86800000000005</v>
      </c>
      <c r="X60" s="608"/>
      <c r="Y60" s="617" t="s">
        <v>151</v>
      </c>
      <c r="Z60" s="617"/>
      <c r="AA60" s="617"/>
      <c r="AB60" s="650">
        <v>850.86800000000005</v>
      </c>
    </row>
    <row r="61" spans="2:28" ht="21">
      <c r="B61" s="608"/>
      <c r="C61" s="608"/>
      <c r="D61" s="608"/>
      <c r="E61" s="613"/>
      <c r="F61" s="608"/>
      <c r="G61" s="608"/>
      <c r="H61" s="608"/>
      <c r="I61" s="608"/>
      <c r="J61" s="608"/>
      <c r="K61" s="608"/>
      <c r="L61" s="608"/>
      <c r="M61" s="608"/>
      <c r="N61" s="608"/>
      <c r="O61" s="608"/>
      <c r="P61" s="608"/>
      <c r="T61" s="651" t="s">
        <v>152</v>
      </c>
      <c r="U61" s="617"/>
      <c r="V61" s="617"/>
      <c r="W61" s="650">
        <v>0</v>
      </c>
      <c r="X61" s="608"/>
      <c r="Y61" s="651" t="s">
        <v>152</v>
      </c>
      <c r="Z61" s="617"/>
      <c r="AA61" s="617"/>
      <c r="AB61" s="650">
        <v>0</v>
      </c>
    </row>
    <row r="62" spans="2:28" ht="21">
      <c r="B62" s="608"/>
      <c r="C62" s="609" t="s">
        <v>235</v>
      </c>
      <c r="D62" s="608"/>
      <c r="E62" s="610" t="s">
        <v>96</v>
      </c>
      <c r="F62" s="608"/>
      <c r="G62" s="611">
        <v>189727</v>
      </c>
      <c r="H62" s="611">
        <v>345767</v>
      </c>
      <c r="I62" s="611">
        <v>37990</v>
      </c>
      <c r="J62" s="611">
        <v>-91369</v>
      </c>
      <c r="K62" s="611">
        <v>94371.40353678129</v>
      </c>
      <c r="L62" s="611">
        <v>152841.91064587972</v>
      </c>
      <c r="M62" s="611">
        <v>236685.12008063475</v>
      </c>
      <c r="N62" s="611">
        <v>327097.24865395413</v>
      </c>
      <c r="O62" s="611">
        <v>407209.49641495559</v>
      </c>
      <c r="P62" s="611">
        <v>503886.37422361301</v>
      </c>
      <c r="T62" s="651" t="s">
        <v>153</v>
      </c>
      <c r="U62" s="617"/>
      <c r="V62" s="617"/>
      <c r="W62" s="650">
        <v>-908.72900000000004</v>
      </c>
      <c r="X62" s="608"/>
      <c r="Y62" s="651" t="s">
        <v>153</v>
      </c>
      <c r="Z62" s="617"/>
      <c r="AA62" s="617"/>
      <c r="AB62" s="650">
        <v>-908.72900000000004</v>
      </c>
    </row>
    <row r="63" spans="2:28" ht="21">
      <c r="B63" s="608"/>
      <c r="C63" s="622" t="s">
        <v>236</v>
      </c>
      <c r="D63" s="608"/>
      <c r="E63" s="610" t="s">
        <v>82</v>
      </c>
      <c r="F63" s="608"/>
      <c r="G63" s="623">
        <v>0.57154950113269387</v>
      </c>
      <c r="H63" s="623">
        <v>0.65547003848268282</v>
      </c>
      <c r="I63" s="623">
        <v>0.14989445441811833</v>
      </c>
      <c r="J63" s="623">
        <v>-0.44820583257707686</v>
      </c>
      <c r="K63" s="623">
        <v>0.29986935060132264</v>
      </c>
      <c r="L63" s="623">
        <v>0.38306723303770651</v>
      </c>
      <c r="M63" s="623">
        <v>0.45306723303770652</v>
      </c>
      <c r="N63" s="623">
        <v>0.48000000000000004</v>
      </c>
      <c r="O63" s="623">
        <v>0.5</v>
      </c>
      <c r="P63" s="623">
        <v>0.51999999999999991</v>
      </c>
      <c r="T63" s="651" t="s">
        <v>154</v>
      </c>
      <c r="U63" s="617"/>
      <c r="V63" s="617"/>
      <c r="W63" s="650">
        <v>0</v>
      </c>
      <c r="X63" s="608"/>
      <c r="Y63" s="651" t="s">
        <v>154</v>
      </c>
      <c r="Z63" s="617"/>
      <c r="AA63" s="617"/>
      <c r="AB63" s="650">
        <v>0</v>
      </c>
    </row>
    <row r="64" spans="2:28" ht="21">
      <c r="T64" s="651" t="s">
        <v>155</v>
      </c>
      <c r="U64" s="617"/>
      <c r="V64" s="617"/>
      <c r="W64" s="650">
        <v>0</v>
      </c>
      <c r="X64" s="608"/>
      <c r="Y64" s="651" t="s">
        <v>155</v>
      </c>
      <c r="Z64" s="617"/>
      <c r="AA64" s="617"/>
      <c r="AB64" s="650">
        <v>0</v>
      </c>
    </row>
    <row r="65" spans="4:28" ht="21">
      <c r="T65" s="651" t="s">
        <v>156</v>
      </c>
      <c r="U65" s="617"/>
      <c r="V65" s="617"/>
      <c r="W65" s="650">
        <v>0</v>
      </c>
      <c r="X65" s="608"/>
      <c r="Y65" s="651" t="s">
        <v>156</v>
      </c>
      <c r="Z65" s="617"/>
      <c r="AA65" s="617"/>
      <c r="AB65" s="650">
        <v>0</v>
      </c>
    </row>
    <row r="66" spans="4:28" ht="21">
      <c r="T66" s="651" t="s">
        <v>157</v>
      </c>
      <c r="U66" s="617"/>
      <c r="V66" s="617"/>
      <c r="W66" s="650">
        <v>0</v>
      </c>
      <c r="X66" s="608"/>
      <c r="Y66" s="651" t="s">
        <v>157</v>
      </c>
      <c r="Z66" s="617"/>
      <c r="AA66" s="617"/>
      <c r="AB66" s="650">
        <v>0</v>
      </c>
    </row>
    <row r="67" spans="4:28" ht="21">
      <c r="T67" s="638"/>
      <c r="U67" s="617"/>
      <c r="V67" s="617"/>
      <c r="W67" s="652"/>
      <c r="X67" s="608"/>
      <c r="Y67" s="638"/>
      <c r="Z67" s="617"/>
      <c r="AA67" s="617"/>
      <c r="AB67" s="647"/>
    </row>
    <row r="68" spans="4:28" ht="21">
      <c r="T68" s="653" t="s">
        <v>158</v>
      </c>
      <c r="U68" s="654"/>
      <c r="V68" s="654"/>
      <c r="W68" s="655">
        <v>5864.060767883745</v>
      </c>
      <c r="X68" s="608"/>
      <c r="Y68" s="653" t="s">
        <v>158</v>
      </c>
      <c r="Z68" s="654"/>
      <c r="AA68" s="654"/>
      <c r="AB68" s="655">
        <v>9431.9286854753573</v>
      </c>
    </row>
    <row r="69" spans="4:28" ht="21">
      <c r="D69" s="389" t="s">
        <v>341</v>
      </c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T69" s="656"/>
      <c r="U69" s="617"/>
      <c r="V69" s="617"/>
      <c r="W69" s="657"/>
      <c r="X69" s="608"/>
      <c r="Y69" s="656"/>
      <c r="Z69" s="617"/>
      <c r="AA69" s="617"/>
      <c r="AB69" s="657"/>
    </row>
    <row r="70" spans="4:28" ht="21">
      <c r="D70" s="389"/>
      <c r="E70" s="389"/>
      <c r="F70" s="390" t="s">
        <v>342</v>
      </c>
      <c r="G70" s="390"/>
      <c r="H70" s="390"/>
      <c r="I70" s="390" t="s">
        <v>324</v>
      </c>
      <c r="J70" s="390"/>
      <c r="K70" s="390" t="s">
        <v>313</v>
      </c>
      <c r="L70" s="390"/>
      <c r="M70" s="390"/>
      <c r="N70" s="390" t="s">
        <v>343</v>
      </c>
      <c r="T70" s="617" t="s">
        <v>78</v>
      </c>
      <c r="U70" s="617"/>
      <c r="V70" s="617"/>
      <c r="W70" s="658">
        <v>163.4</v>
      </c>
      <c r="X70" s="608"/>
      <c r="Y70" s="617" t="s">
        <v>78</v>
      </c>
      <c r="Z70" s="617"/>
      <c r="AA70" s="617"/>
      <c r="AB70" s="658">
        <v>163.4</v>
      </c>
    </row>
    <row r="71" spans="4:28" ht="21">
      <c r="D71" s="389" t="s">
        <v>71</v>
      </c>
      <c r="E71" s="389" t="s">
        <v>317</v>
      </c>
      <c r="F71" s="390" t="s">
        <v>320</v>
      </c>
      <c r="G71" s="390" t="s">
        <v>323</v>
      </c>
      <c r="H71" s="390" t="s">
        <v>344</v>
      </c>
      <c r="I71" s="390" t="s">
        <v>345</v>
      </c>
      <c r="J71" s="390" t="s">
        <v>346</v>
      </c>
      <c r="K71" s="390" t="s">
        <v>299</v>
      </c>
      <c r="L71" s="390" t="s">
        <v>347</v>
      </c>
      <c r="M71" s="390" t="s">
        <v>321</v>
      </c>
      <c r="N71" s="390" t="s">
        <v>320</v>
      </c>
      <c r="T71" s="617"/>
      <c r="U71" s="617"/>
      <c r="V71" s="617"/>
      <c r="W71" s="618"/>
      <c r="X71" s="608"/>
      <c r="Y71" s="617"/>
      <c r="Z71" s="617"/>
      <c r="AA71" s="617"/>
      <c r="AB71" s="618"/>
    </row>
    <row r="72" spans="4:28" ht="21">
      <c r="D72" s="25" t="s">
        <v>291</v>
      </c>
      <c r="E72" s="352" t="s">
        <v>290</v>
      </c>
      <c r="F72" s="25">
        <v>0.86</v>
      </c>
      <c r="G72" s="25">
        <v>123</v>
      </c>
      <c r="H72" s="391">
        <v>2.3450208153961479E-2</v>
      </c>
      <c r="I72" s="25">
        <v>0</v>
      </c>
      <c r="J72" s="392">
        <v>0</v>
      </c>
      <c r="K72" s="565">
        <v>5122.1560000000009</v>
      </c>
      <c r="L72" s="391">
        <v>0.97654979184603852</v>
      </c>
      <c r="M72" s="392">
        <v>0.184</v>
      </c>
      <c r="N72" s="393">
        <v>0.84347226743237558</v>
      </c>
      <c r="T72" s="659" t="s">
        <v>159</v>
      </c>
      <c r="U72" s="660"/>
      <c r="V72" s="660"/>
      <c r="W72" s="661">
        <v>35.887764797330142</v>
      </c>
      <c r="X72" s="608"/>
      <c r="Y72" s="659" t="s">
        <v>159</v>
      </c>
      <c r="Z72" s="660"/>
      <c r="AA72" s="660"/>
      <c r="AB72" s="661">
        <v>57.722941771575009</v>
      </c>
    </row>
    <row r="73" spans="4:28" ht="21">
      <c r="D73" s="25" t="s">
        <v>472</v>
      </c>
      <c r="E73" s="352">
        <v>600111</v>
      </c>
      <c r="F73" s="25">
        <v>0.4</v>
      </c>
      <c r="G73" s="25">
        <v>706.5</v>
      </c>
      <c r="H73" s="391">
        <v>3.6288702748988648E-2</v>
      </c>
      <c r="I73" s="25">
        <v>0</v>
      </c>
      <c r="J73" s="392">
        <v>0</v>
      </c>
      <c r="K73" s="565">
        <v>18762.369000000002</v>
      </c>
      <c r="L73" s="391">
        <v>0.96371129725101135</v>
      </c>
      <c r="M73" s="392">
        <v>0.13500000000000001</v>
      </c>
      <c r="N73" s="393">
        <v>0.38738229502926719</v>
      </c>
      <c r="T73" s="662" t="s">
        <v>160</v>
      </c>
      <c r="U73" s="663"/>
      <c r="V73" s="663"/>
      <c r="W73" s="664">
        <v>0.67386962674114459</v>
      </c>
      <c r="X73" s="608"/>
      <c r="Y73" s="662" t="s">
        <v>160</v>
      </c>
      <c r="Z73" s="663"/>
      <c r="AA73" s="663"/>
      <c r="AB73" s="664">
        <v>1.6923013885995806</v>
      </c>
    </row>
    <row r="74" spans="4:28" ht="16">
      <c r="D74" s="25" t="s">
        <v>474</v>
      </c>
      <c r="E74" s="352" t="s">
        <v>473</v>
      </c>
      <c r="F74" s="25">
        <v>0.84</v>
      </c>
      <c r="G74" s="25">
        <v>38.799999999999997</v>
      </c>
      <c r="H74" s="391">
        <v>0.1116209490657499</v>
      </c>
      <c r="I74" s="25">
        <v>0</v>
      </c>
      <c r="J74" s="392">
        <v>0</v>
      </c>
      <c r="K74" s="565">
        <v>308.80500000000001</v>
      </c>
      <c r="L74" s="391">
        <v>0.88837905093425007</v>
      </c>
      <c r="M74" s="392">
        <v>0.247</v>
      </c>
      <c r="N74" s="393">
        <v>0.76739579210073683</v>
      </c>
    </row>
    <row r="75" spans="4:28" ht="16">
      <c r="D75" s="25" t="s">
        <v>294</v>
      </c>
      <c r="E75" s="352" t="s">
        <v>293</v>
      </c>
      <c r="F75" s="25">
        <v>1.1399999999999999</v>
      </c>
      <c r="G75" s="25">
        <v>524.79999999999995</v>
      </c>
      <c r="H75" s="391">
        <v>0.23394470760254665</v>
      </c>
      <c r="I75" s="25">
        <v>0</v>
      </c>
      <c r="J75" s="392">
        <v>0</v>
      </c>
      <c r="K75" s="565">
        <v>1718.465109</v>
      </c>
      <c r="L75" s="391">
        <v>0.76605529239745329</v>
      </c>
      <c r="M75" s="392">
        <v>0.60499999999999998</v>
      </c>
      <c r="N75" s="393">
        <v>1.0172862122432653</v>
      </c>
    </row>
    <row r="76" spans="4:28" ht="16">
      <c r="D76" s="25" t="s">
        <v>296</v>
      </c>
      <c r="E76" s="352" t="s">
        <v>295</v>
      </c>
      <c r="F76" s="25">
        <v>1.1399999999999999</v>
      </c>
      <c r="G76" s="25">
        <v>2324.5</v>
      </c>
      <c r="H76" s="391">
        <v>5.7113480838115946E-2</v>
      </c>
      <c r="I76" s="25">
        <v>0</v>
      </c>
      <c r="J76" s="392">
        <v>0</v>
      </c>
      <c r="K76" s="565">
        <v>38375.173104999994</v>
      </c>
      <c r="L76" s="391">
        <v>0.94288651916188404</v>
      </c>
      <c r="M76" s="392">
        <v>0.17199999999999999</v>
      </c>
      <c r="N76" s="393">
        <v>1.0855545977398275</v>
      </c>
    </row>
    <row r="77" spans="4:28" ht="16">
      <c r="D77" s="25" t="s">
        <v>476</v>
      </c>
      <c r="E77" s="352">
        <v>6762</v>
      </c>
      <c r="F77" s="25">
        <v>0.34</v>
      </c>
      <c r="G77" s="25">
        <v>2310.6</v>
      </c>
      <c r="H77" s="391">
        <v>8.5034013605442188E-2</v>
      </c>
      <c r="I77" s="25">
        <v>0</v>
      </c>
      <c r="J77" s="392">
        <v>0</v>
      </c>
      <c r="K77" s="565">
        <v>24862.055999999997</v>
      </c>
      <c r="L77" s="391">
        <v>0.91496598639455784</v>
      </c>
      <c r="M77" s="392">
        <v>0.29599999999999999</v>
      </c>
      <c r="N77" s="393">
        <v>0.31912072575017447</v>
      </c>
    </row>
    <row r="78" spans="4:28" ht="16">
      <c r="D78" s="1"/>
      <c r="E78" s="1"/>
      <c r="F78" s="1"/>
      <c r="G78" s="1"/>
      <c r="H78" s="1"/>
      <c r="I78" s="1"/>
      <c r="J78" s="1"/>
      <c r="K78" s="1"/>
      <c r="L78" s="1"/>
      <c r="M78" s="1"/>
      <c r="N78" s="395"/>
    </row>
    <row r="79" spans="4:28" ht="16">
      <c r="D79" s="396" t="s">
        <v>348</v>
      </c>
      <c r="E79" s="397"/>
      <c r="F79" s="398">
        <v>0.86</v>
      </c>
      <c r="G79" s="399">
        <v>524.79999999999995</v>
      </c>
      <c r="H79" s="400">
        <v>5.7113480838115946E-2</v>
      </c>
      <c r="I79" s="398">
        <v>0</v>
      </c>
      <c r="J79" s="401">
        <v>0</v>
      </c>
      <c r="K79" s="402">
        <v>5122.1560000000009</v>
      </c>
      <c r="L79" s="400">
        <v>0.94288651916188404</v>
      </c>
      <c r="M79" s="403">
        <v>0.184</v>
      </c>
      <c r="N79" s="403">
        <v>0.84347226743237558</v>
      </c>
    </row>
    <row r="80" spans="4:28" ht="16">
      <c r="D80" s="1"/>
      <c r="E80" s="1"/>
      <c r="F80" s="1"/>
      <c r="G80" s="1"/>
      <c r="H80" s="1"/>
      <c r="I80" s="1"/>
      <c r="J80" s="1"/>
      <c r="K80" s="1"/>
      <c r="L80" s="1"/>
      <c r="M80" s="1"/>
      <c r="N80" s="395"/>
    </row>
    <row r="81" spans="4:14" ht="16">
      <c r="D81" s="404" t="s">
        <v>91</v>
      </c>
      <c r="E81" s="404" t="s">
        <v>90</v>
      </c>
      <c r="F81" s="404">
        <v>2.2400000000000002</v>
      </c>
      <c r="G81" s="404">
        <v>908.72900000000004</v>
      </c>
      <c r="H81" s="405">
        <v>0.20537957902629689</v>
      </c>
      <c r="I81" s="417">
        <v>0</v>
      </c>
      <c r="J81" s="406">
        <v>0</v>
      </c>
      <c r="K81" s="404">
        <v>3515.90272</v>
      </c>
      <c r="L81" s="407">
        <v>0.794620420973703</v>
      </c>
      <c r="M81" s="408">
        <v>0.13200000000000001</v>
      </c>
      <c r="N81" s="408">
        <v>1.8295490076407297</v>
      </c>
    </row>
    <row r="82" spans="4:14" ht="16"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4:14" ht="16">
      <c r="D83" s="389" t="e">
        <v>#NAME?</v>
      </c>
      <c r="E83" s="389"/>
      <c r="F83" s="389"/>
      <c r="G83" s="389"/>
      <c r="H83" s="389"/>
      <c r="I83" s="389"/>
      <c r="J83" s="389"/>
      <c r="K83" s="389"/>
      <c r="L83" s="389"/>
      <c r="M83" s="389"/>
      <c r="N83" s="389"/>
    </row>
    <row r="84" spans="4:14" ht="16">
      <c r="D84" s="389"/>
      <c r="E84" s="389"/>
      <c r="F84" s="390" t="s">
        <v>343</v>
      </c>
      <c r="G84" s="390"/>
      <c r="H84" s="390"/>
      <c r="I84" s="390" t="s">
        <v>324</v>
      </c>
      <c r="J84" s="390"/>
      <c r="K84" s="390" t="s">
        <v>313</v>
      </c>
      <c r="L84" s="390"/>
      <c r="M84" s="390"/>
      <c r="N84" s="390" t="s">
        <v>342</v>
      </c>
    </row>
    <row r="85" spans="4:14" ht="16">
      <c r="D85" s="389"/>
      <c r="E85" s="389" t="s">
        <v>317</v>
      </c>
      <c r="F85" s="390" t="s">
        <v>320</v>
      </c>
      <c r="G85" s="390" t="s">
        <v>323</v>
      </c>
      <c r="H85" s="390" t="s">
        <v>344</v>
      </c>
      <c r="I85" s="390" t="s">
        <v>345</v>
      </c>
      <c r="J85" s="390" t="s">
        <v>346</v>
      </c>
      <c r="K85" s="390" t="s">
        <v>299</v>
      </c>
      <c r="L85" s="390" t="s">
        <v>347</v>
      </c>
      <c r="M85" s="390" t="s">
        <v>321</v>
      </c>
      <c r="N85" s="390" t="s">
        <v>320</v>
      </c>
    </row>
    <row r="86" spans="4:14" ht="16">
      <c r="D86" s="25" t="s">
        <v>349</v>
      </c>
      <c r="E86" s="25" t="s">
        <v>90</v>
      </c>
      <c r="F86" s="409">
        <v>1.8295490076407297</v>
      </c>
      <c r="G86" s="86">
        <v>5461</v>
      </c>
      <c r="H86" s="394">
        <v>3.3001557194883353E-2</v>
      </c>
      <c r="I86" s="86">
        <v>0</v>
      </c>
      <c r="J86" s="410">
        <v>0</v>
      </c>
      <c r="K86" s="86">
        <v>160016.03999999998</v>
      </c>
      <c r="L86" s="411">
        <v>0.9669984428051166</v>
      </c>
      <c r="M86" s="394">
        <v>0.13200000000000001</v>
      </c>
      <c r="N86" s="409">
        <v>1.8837456561109092</v>
      </c>
    </row>
    <row r="87" spans="4:14" ht="16">
      <c r="D87" s="25" t="s">
        <v>350</v>
      </c>
      <c r="E87" s="409"/>
      <c r="F87" s="409">
        <v>0.84347226743237558</v>
      </c>
      <c r="G87" s="86">
        <v>9450.9697531881448</v>
      </c>
      <c r="H87" s="410">
        <v>5.7113480838115946E-2</v>
      </c>
      <c r="I87" s="86">
        <v>0</v>
      </c>
      <c r="J87" s="410">
        <v>0</v>
      </c>
      <c r="K87" s="86">
        <v>156026.07024681184</v>
      </c>
      <c r="L87" s="412">
        <v>0.94288651916188404</v>
      </c>
      <c r="M87" s="394">
        <v>0.13200000000000001</v>
      </c>
      <c r="N87" s="409">
        <v>0.88781982806186699</v>
      </c>
    </row>
    <row r="88" spans="4:14" ht="16">
      <c r="D88" s="1"/>
      <c r="E88" s="413"/>
      <c r="F88" s="1"/>
      <c r="G88" s="1"/>
      <c r="H88" s="1"/>
      <c r="I88" s="1"/>
      <c r="J88" s="1"/>
      <c r="K88" s="1"/>
      <c r="L88" s="1"/>
      <c r="M88" s="1"/>
      <c r="N88" s="1"/>
    </row>
    <row r="89" spans="4:14" ht="16">
      <c r="D89" s="414" t="s">
        <v>351</v>
      </c>
      <c r="E89" s="414"/>
      <c r="F89" s="414"/>
      <c r="G89" s="414"/>
      <c r="H89" s="414"/>
      <c r="I89" s="414"/>
      <c r="J89" s="414"/>
      <c r="K89" s="414"/>
      <c r="L89" s="414"/>
      <c r="M89" s="414"/>
      <c r="N89" s="415">
        <v>0.11093109796388183</v>
      </c>
    </row>
    <row r="90" spans="4:14" ht="16">
      <c r="D90" s="414" t="s">
        <v>352</v>
      </c>
      <c r="E90" s="414"/>
      <c r="F90" s="414"/>
      <c r="G90" s="414"/>
      <c r="H90" s="414"/>
      <c r="I90" s="414"/>
      <c r="J90" s="414"/>
      <c r="K90" s="414"/>
      <c r="L90" s="414"/>
      <c r="M90" s="414"/>
      <c r="N90" s="415">
        <v>7.6073693982165347E-2</v>
      </c>
    </row>
    <row r="91" spans="4:14" ht="16">
      <c r="D91" s="414" t="s">
        <v>353</v>
      </c>
      <c r="E91" s="414"/>
      <c r="F91" s="414"/>
      <c r="G91" s="414"/>
      <c r="H91" s="414"/>
      <c r="I91" s="414"/>
      <c r="J91" s="414"/>
      <c r="K91" s="414"/>
      <c r="L91" s="414"/>
      <c r="M91" s="414"/>
      <c r="N91" s="415">
        <v>0.12340000000000001</v>
      </c>
    </row>
    <row r="92" spans="4:14" ht="16"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</row>
    <row r="93" spans="4:14" ht="16">
      <c r="D93" s="414" t="s">
        <v>354</v>
      </c>
      <c r="E93" s="414"/>
      <c r="F93" s="414"/>
      <c r="G93" s="414"/>
      <c r="H93" s="414"/>
      <c r="I93" s="414"/>
      <c r="J93" s="414"/>
      <c r="K93" s="414"/>
      <c r="L93" s="414"/>
      <c r="M93" s="414"/>
      <c r="N93" s="415">
        <v>0.10799553023959675</v>
      </c>
    </row>
    <row r="94" spans="4:14" ht="16">
      <c r="D94" s="414" t="s">
        <v>355</v>
      </c>
      <c r="E94" s="414"/>
      <c r="F94" s="414"/>
      <c r="G94" s="414"/>
      <c r="H94" s="414"/>
      <c r="I94" s="414"/>
      <c r="J94" s="414"/>
      <c r="K94" s="414"/>
      <c r="L94" s="414"/>
      <c r="M94" s="414"/>
      <c r="N94" s="415">
        <v>7.298414044968321E-2</v>
      </c>
    </row>
    <row r="95" spans="4:14" ht="16">
      <c r="D95" s="414" t="s">
        <v>356</v>
      </c>
      <c r="E95" s="414"/>
      <c r="F95" s="414"/>
      <c r="G95" s="414"/>
      <c r="H95" s="414"/>
      <c r="I95" s="414"/>
      <c r="J95" s="414"/>
      <c r="K95" s="414"/>
      <c r="L95" s="414"/>
      <c r="M95" s="414"/>
      <c r="N95" s="415">
        <v>0.12005293909201258</v>
      </c>
    </row>
    <row r="96" spans="4:14" ht="16"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4:14" ht="16">
      <c r="D97" s="414" t="s">
        <v>357</v>
      </c>
      <c r="E97" s="414"/>
      <c r="F97" s="414"/>
      <c r="G97" s="414"/>
      <c r="H97" s="414"/>
      <c r="I97" s="414"/>
      <c r="J97" s="414"/>
      <c r="K97" s="414"/>
      <c r="L97" s="414"/>
      <c r="M97" s="414"/>
      <c r="N97" s="416">
        <v>0.10034420326043085</v>
      </c>
    </row>
  </sheetData>
  <pageMargins left="0.7" right="0.7" top="0.75" bottom="0.75" header="0.3" footer="0.3"/>
  <pageSetup orientation="portrait" horizontalDpi="200" verticalDpi="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DB4CF-2157-42EA-BA21-376BE6D88BE5}">
  <dimension ref="B2:Q54"/>
  <sheetViews>
    <sheetView showGridLines="0" topLeftCell="A2" zoomScale="53" workbookViewId="0">
      <selection activeCell="A2" sqref="A2"/>
    </sheetView>
  </sheetViews>
  <sheetFormatPr defaultRowHeight="14.5"/>
  <cols>
    <col min="2" max="2" width="38.1796875" bestFit="1" customWidth="1"/>
    <col min="5" max="5" width="9.453125" bestFit="1" customWidth="1"/>
    <col min="6" max="6" width="19.26953125" bestFit="1" customWidth="1"/>
    <col min="7" max="7" width="20.36328125" bestFit="1" customWidth="1"/>
    <col min="8" max="15" width="19.26953125" bestFit="1" customWidth="1"/>
    <col min="17" max="17" width="15" bestFit="1" customWidth="1"/>
  </cols>
  <sheetData>
    <row r="2" spans="2:17" ht="16">
      <c r="B2" s="12"/>
      <c r="C2" s="12"/>
      <c r="D2" s="12"/>
      <c r="E2" s="12"/>
      <c r="F2" s="13"/>
      <c r="G2" s="13"/>
      <c r="H2" s="14" t="s">
        <v>67</v>
      </c>
      <c r="I2" s="13"/>
      <c r="J2" s="15"/>
      <c r="K2" s="13"/>
      <c r="L2" s="14" t="s">
        <v>68</v>
      </c>
      <c r="M2" s="13"/>
      <c r="N2" s="13"/>
      <c r="O2" s="13"/>
      <c r="P2" s="1"/>
      <c r="Q2" s="478" t="s">
        <v>310</v>
      </c>
    </row>
    <row r="3" spans="2:17" ht="16">
      <c r="B3" s="16" t="str">
        <f>Company_Name</f>
        <v>MP Materials Corp.</v>
      </c>
      <c r="C3" s="12"/>
      <c r="D3" s="17" t="s">
        <v>69</v>
      </c>
      <c r="E3" s="18"/>
      <c r="F3" s="19">
        <v>44561</v>
      </c>
      <c r="G3" s="19">
        <f>EOMONTH(F3,12)</f>
        <v>44926</v>
      </c>
      <c r="H3" s="19">
        <f t="shared" ref="H3:O3" si="0">EOMONTH(G3,12)</f>
        <v>45291</v>
      </c>
      <c r="I3" s="19">
        <f t="shared" si="0"/>
        <v>45657</v>
      </c>
      <c r="J3" s="29">
        <f t="shared" si="0"/>
        <v>46022</v>
      </c>
      <c r="K3" s="19">
        <f t="shared" si="0"/>
        <v>46387</v>
      </c>
      <c r="L3" s="28">
        <f t="shared" si="0"/>
        <v>46752</v>
      </c>
      <c r="M3" s="19">
        <f t="shared" si="0"/>
        <v>47118</v>
      </c>
      <c r="N3" s="19">
        <f t="shared" si="0"/>
        <v>47483</v>
      </c>
      <c r="O3" s="19">
        <f t="shared" si="0"/>
        <v>47848</v>
      </c>
      <c r="P3" s="1"/>
      <c r="Q3" s="355" t="s">
        <v>399</v>
      </c>
    </row>
    <row r="4" spans="2:17" ht="16">
      <c r="B4" s="479" t="s">
        <v>400</v>
      </c>
      <c r="C4" s="480"/>
      <c r="D4" s="480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1"/>
      <c r="Q4" s="481"/>
    </row>
    <row r="5" spans="2:17" ht="16">
      <c r="B5" s="482" t="s">
        <v>401</v>
      </c>
      <c r="C5" s="1"/>
      <c r="D5" s="1"/>
      <c r="E5" s="483"/>
      <c r="F5" s="483"/>
      <c r="G5" s="483"/>
      <c r="H5" s="483"/>
      <c r="I5" s="483"/>
      <c r="J5" s="483"/>
      <c r="K5" s="483"/>
      <c r="L5" s="483"/>
      <c r="M5" s="483"/>
      <c r="N5" s="459"/>
      <c r="O5" s="1"/>
      <c r="P5" s="1"/>
      <c r="Q5" s="1"/>
    </row>
    <row r="6" spans="2:17" ht="16">
      <c r="B6" s="101" t="s">
        <v>118</v>
      </c>
      <c r="C6" s="1"/>
      <c r="D6" s="484" t="s">
        <v>96</v>
      </c>
      <c r="E6" s="485"/>
      <c r="F6" s="529">
        <f>Drivers!H54</f>
        <v>326513.71000000002</v>
      </c>
      <c r="G6" s="529">
        <f>Drivers!I54</f>
        <v>517252.85200000001</v>
      </c>
      <c r="H6" s="529">
        <f>Drivers!J54</f>
        <v>252480.79800000001</v>
      </c>
      <c r="I6" s="529">
        <f>Drivers!K54</f>
        <v>144351.04199999999</v>
      </c>
      <c r="J6" s="529">
        <f>Drivers!L54</f>
        <v>134708.4</v>
      </c>
      <c r="K6" s="529">
        <f>Drivers!M54</f>
        <v>80805</v>
      </c>
      <c r="L6" s="529">
        <f>Drivers!N54</f>
        <v>119055.11678023807</v>
      </c>
      <c r="M6" s="529">
        <f>Drivers!O54</f>
        <v>164448.21829817296</v>
      </c>
      <c r="N6" s="529">
        <f>Drivers!P54</f>
        <v>218062.76406672801</v>
      </c>
      <c r="O6" s="529">
        <f>Drivers!Q54</f>
        <v>281124.95342135482</v>
      </c>
      <c r="P6" s="1"/>
      <c r="Q6" s="486">
        <f>(K6/F6)^(1/YEARFRAC(F$3,K$3,))-1</f>
        <v>-0.24367690424882349</v>
      </c>
    </row>
    <row r="7" spans="2:17" ht="16">
      <c r="B7" s="511" t="s">
        <v>423</v>
      </c>
      <c r="C7" s="1"/>
      <c r="D7" s="484" t="s">
        <v>82</v>
      </c>
      <c r="E7" s="488"/>
      <c r="F7" s="530"/>
      <c r="G7" s="531">
        <f>G6/F6-1</f>
        <v>0.58416886078076158</v>
      </c>
      <c r="H7" s="531">
        <f t="shared" ref="H7:O7" si="1">H6/G6-1</f>
        <v>-0.51188128393345234</v>
      </c>
      <c r="I7" s="531">
        <f t="shared" si="1"/>
        <v>-0.42826922624032593</v>
      </c>
      <c r="J7" s="531">
        <f t="shared" si="1"/>
        <v>-6.6799947311776187E-2</v>
      </c>
      <c r="K7" s="531">
        <f t="shared" si="1"/>
        <v>-0.40014876577852598</v>
      </c>
      <c r="L7" s="531">
        <f t="shared" si="1"/>
        <v>0.47336324212905234</v>
      </c>
      <c r="M7" s="531">
        <f t="shared" si="1"/>
        <v>0.38127803949598649</v>
      </c>
      <c r="N7" s="531">
        <f t="shared" si="1"/>
        <v>0.32602691791614702</v>
      </c>
      <c r="O7" s="531">
        <f t="shared" si="1"/>
        <v>0.28919283686292063</v>
      </c>
      <c r="P7" s="1"/>
      <c r="Q7" s="459"/>
    </row>
    <row r="8" spans="2:17" ht="16">
      <c r="B8" s="487"/>
      <c r="C8" s="1"/>
      <c r="D8" s="484"/>
      <c r="E8" s="488"/>
      <c r="F8" s="530"/>
      <c r="G8" s="530"/>
      <c r="H8" s="530"/>
      <c r="I8" s="530"/>
      <c r="J8" s="530"/>
      <c r="K8" s="530"/>
      <c r="L8" s="530"/>
      <c r="M8" s="530"/>
      <c r="N8" s="459"/>
      <c r="O8" s="1"/>
      <c r="P8" s="1"/>
      <c r="Q8" s="486"/>
    </row>
    <row r="9" spans="2:17" ht="16">
      <c r="B9" s="7" t="s">
        <v>119</v>
      </c>
      <c r="C9" s="1"/>
      <c r="D9" s="484" t="s">
        <v>96</v>
      </c>
      <c r="E9" s="485"/>
      <c r="F9" s="529">
        <f>Drivers!H55</f>
        <v>0</v>
      </c>
      <c r="G9" s="529">
        <f>Drivers!I55</f>
        <v>0</v>
      </c>
      <c r="H9" s="529">
        <f>Drivers!J55</f>
        <v>700</v>
      </c>
      <c r="I9" s="529">
        <f>Drivers!K55</f>
        <v>58242</v>
      </c>
      <c r="J9" s="529">
        <f>Drivers!L55</f>
        <v>180000</v>
      </c>
      <c r="K9" s="529">
        <f>Drivers!M55</f>
        <v>318190</v>
      </c>
      <c r="L9" s="529">
        <f>Drivers!N55</f>
        <v>403351.05789215682</v>
      </c>
      <c r="M9" s="529">
        <f>Drivers!O55</f>
        <v>517004.38306423149</v>
      </c>
      <c r="N9" s="529">
        <f>Drivers!P55</f>
        <v>596356.22876318323</v>
      </c>
      <c r="O9" s="529">
        <f>Drivers!Q55</f>
        <v>687887.30470097798</v>
      </c>
      <c r="P9" s="1"/>
      <c r="Q9" s="486">
        <f>(O9/H9)^(1/YEARFRAC(H$3,O$3,))-1</f>
        <v>1.676014515919785</v>
      </c>
    </row>
    <row r="10" spans="2:17" ht="16">
      <c r="B10" s="487" t="s">
        <v>402</v>
      </c>
      <c r="C10" s="1"/>
      <c r="D10" s="484" t="s">
        <v>82</v>
      </c>
      <c r="E10" s="489"/>
      <c r="F10" s="532"/>
      <c r="G10" s="531"/>
      <c r="H10" s="531"/>
      <c r="I10" s="531">
        <f t="shared" ref="I10:O10" si="2">I9/H9-1</f>
        <v>82.202857142857141</v>
      </c>
      <c r="J10" s="531">
        <f t="shared" si="2"/>
        <v>2.0905532090244154</v>
      </c>
      <c r="K10" s="531">
        <f t="shared" si="2"/>
        <v>0.76772222222222219</v>
      </c>
      <c r="L10" s="531">
        <f t="shared" si="2"/>
        <v>0.26764215686274495</v>
      </c>
      <c r="M10" s="531">
        <f t="shared" si="2"/>
        <v>0.28177272117744612</v>
      </c>
      <c r="N10" s="531">
        <f t="shared" si="2"/>
        <v>0.1534838935574232</v>
      </c>
      <c r="O10" s="531">
        <f t="shared" si="2"/>
        <v>0.1534838935574232</v>
      </c>
      <c r="P10" s="1"/>
      <c r="Q10" s="486"/>
    </row>
    <row r="11" spans="2:17" ht="16">
      <c r="B11" s="487"/>
      <c r="C11" s="1"/>
      <c r="D11" s="484"/>
      <c r="E11" s="489"/>
      <c r="F11" s="532"/>
      <c r="G11" s="532"/>
      <c r="H11" s="532"/>
      <c r="I11" s="532"/>
      <c r="J11" s="532"/>
      <c r="K11" s="532"/>
      <c r="L11" s="532"/>
      <c r="M11" s="532"/>
      <c r="N11" s="459"/>
      <c r="O11" s="1"/>
      <c r="P11" s="1"/>
      <c r="Q11" s="486"/>
    </row>
    <row r="12" spans="2:17" ht="16">
      <c r="B12" s="101" t="str">
        <f>Drivers!C56</f>
        <v>NdFeB Revenue</v>
      </c>
      <c r="C12" s="1"/>
      <c r="D12" s="484" t="s">
        <v>96</v>
      </c>
      <c r="E12" s="485"/>
      <c r="F12" s="529">
        <f>Drivers!H56</f>
        <v>0</v>
      </c>
      <c r="G12" s="529">
        <f>Drivers!I56</f>
        <v>0</v>
      </c>
      <c r="H12" s="529">
        <f>Drivers!J56</f>
        <v>0</v>
      </c>
      <c r="I12" s="529">
        <f>Drivers!K56</f>
        <v>0</v>
      </c>
      <c r="J12" s="529">
        <f>Drivers!L56</f>
        <v>6975</v>
      </c>
      <c r="K12" s="529">
        <f>Drivers!M56</f>
        <v>46500</v>
      </c>
      <c r="L12" s="529">
        <f>Drivers!N56</f>
        <v>46500</v>
      </c>
      <c r="M12" s="529">
        <f>Drivers!O56</f>
        <v>46500</v>
      </c>
      <c r="N12" s="529">
        <f>Drivers!P56</f>
        <v>46500</v>
      </c>
      <c r="O12" s="529">
        <f>Drivers!Q56</f>
        <v>46500</v>
      </c>
      <c r="P12" s="1"/>
      <c r="Q12" s="486">
        <f>(O12/J12)^(1/YEARFRAC(J$3,O$3,))-1</f>
        <v>0.46144255162192538</v>
      </c>
    </row>
    <row r="13" spans="2:17" ht="16">
      <c r="B13" s="487" t="s">
        <v>402</v>
      </c>
      <c r="C13" s="1"/>
      <c r="D13" s="484" t="s">
        <v>82</v>
      </c>
      <c r="E13" s="488"/>
      <c r="F13" s="530"/>
      <c r="G13" s="531"/>
      <c r="H13" s="531"/>
      <c r="I13" s="531"/>
      <c r="J13" s="531"/>
      <c r="K13" s="531">
        <f t="shared" ref="K13" si="3">K12/J12-1</f>
        <v>5.666666666666667</v>
      </c>
      <c r="L13" s="531">
        <f t="shared" ref="L13" si="4">L12/K12-1</f>
        <v>0</v>
      </c>
      <c r="M13" s="531">
        <f t="shared" ref="M13" si="5">M12/L12-1</f>
        <v>0</v>
      </c>
      <c r="N13" s="531">
        <f t="shared" ref="N13" si="6">N12/M12-1</f>
        <v>0</v>
      </c>
      <c r="O13" s="531">
        <f t="shared" ref="O13" si="7">O12/N12-1</f>
        <v>0</v>
      </c>
      <c r="P13" s="1"/>
      <c r="Q13" s="459"/>
    </row>
    <row r="14" spans="2:17" ht="16">
      <c r="B14" s="490"/>
      <c r="C14" s="484"/>
      <c r="D14" s="484"/>
      <c r="E14" s="491"/>
      <c r="F14" s="491"/>
      <c r="G14" s="491"/>
      <c r="H14" s="491"/>
      <c r="I14" s="491"/>
      <c r="J14" s="491"/>
      <c r="K14" s="491"/>
      <c r="L14" s="491"/>
      <c r="M14" s="491"/>
      <c r="N14" s="459"/>
      <c r="O14" s="1"/>
      <c r="P14" s="1"/>
      <c r="Q14" s="486"/>
    </row>
    <row r="15" spans="2:17" ht="16">
      <c r="B15" s="479" t="s">
        <v>403</v>
      </c>
      <c r="C15" s="480"/>
      <c r="D15" s="480"/>
      <c r="E15" s="481"/>
      <c r="F15" s="533"/>
      <c r="G15" s="533"/>
      <c r="H15" s="533"/>
      <c r="I15" s="533"/>
      <c r="J15" s="533"/>
      <c r="K15" s="533"/>
      <c r="L15" s="533"/>
      <c r="M15" s="533"/>
      <c r="N15" s="533"/>
      <c r="O15" s="533"/>
      <c r="P15" s="1"/>
      <c r="Q15" s="481"/>
    </row>
    <row r="16" spans="2:17" ht="16">
      <c r="B16" s="53"/>
      <c r="C16" s="492"/>
      <c r="D16" s="492"/>
      <c r="E16" s="493"/>
      <c r="F16" s="534"/>
      <c r="G16" s="534"/>
      <c r="H16" s="534"/>
      <c r="I16" s="534"/>
      <c r="J16" s="534"/>
      <c r="K16" s="534"/>
      <c r="L16" s="534"/>
      <c r="M16" s="534"/>
      <c r="N16" s="459"/>
      <c r="O16" s="1"/>
      <c r="P16" s="1"/>
      <c r="Q16" s="493"/>
    </row>
    <row r="17" spans="2:17" ht="16">
      <c r="B17" s="494" t="s">
        <v>241</v>
      </c>
      <c r="C17" s="1"/>
      <c r="D17" s="484" t="s">
        <v>96</v>
      </c>
      <c r="E17" s="495"/>
      <c r="F17" s="495">
        <f>Model!H56</f>
        <v>331952</v>
      </c>
      <c r="G17" s="495">
        <f>Model!I56</f>
        <v>527510</v>
      </c>
      <c r="H17" s="495">
        <f>Model!J56</f>
        <v>253445</v>
      </c>
      <c r="I17" s="495">
        <f>Model!K56</f>
        <v>203855</v>
      </c>
      <c r="J17" s="495">
        <f>Model!L56</f>
        <v>314708.40000000002</v>
      </c>
      <c r="K17" s="495">
        <f>Model!M56</f>
        <v>398995</v>
      </c>
      <c r="L17" s="495">
        <f>Model!N56</f>
        <v>522406.17467239487</v>
      </c>
      <c r="M17" s="495">
        <f>Model!O56</f>
        <v>681452.60136240441</v>
      </c>
      <c r="N17" s="495">
        <f>Model!P56</f>
        <v>814418.99282991118</v>
      </c>
      <c r="O17" s="495">
        <f>Model!Q56</f>
        <v>969012.25812233286</v>
      </c>
      <c r="P17" s="1"/>
      <c r="Q17" s="486">
        <f>(K17/F17)^(1/YEARFRAC(F$3,K$3,))-1</f>
        <v>3.7476892998943079E-2</v>
      </c>
    </row>
    <row r="18" spans="2:17" ht="16">
      <c r="B18" s="487" t="s">
        <v>404</v>
      </c>
      <c r="C18" s="1"/>
      <c r="D18" s="484" t="s">
        <v>82</v>
      </c>
      <c r="E18" s="497"/>
      <c r="F18" s="535"/>
      <c r="G18" s="531">
        <f>G17/F17-1</f>
        <v>0.58911529377741356</v>
      </c>
      <c r="H18" s="531">
        <f t="shared" ref="H18:O18" si="8">H17/G17-1</f>
        <v>-0.51954465318193022</v>
      </c>
      <c r="I18" s="531">
        <f t="shared" si="8"/>
        <v>-0.19566375347708576</v>
      </c>
      <c r="J18" s="531">
        <f t="shared" si="8"/>
        <v>0.54378553383532413</v>
      </c>
      <c r="K18" s="531">
        <f t="shared" si="8"/>
        <v>0.26782443684375745</v>
      </c>
      <c r="L18" s="531">
        <f t="shared" si="8"/>
        <v>0.30930506565845395</v>
      </c>
      <c r="M18" s="531">
        <f t="shared" si="8"/>
        <v>0.30444974504703892</v>
      </c>
      <c r="N18" s="531">
        <f t="shared" si="8"/>
        <v>0.19512199557485244</v>
      </c>
      <c r="O18" s="531">
        <f t="shared" si="8"/>
        <v>0.18982030951322382</v>
      </c>
      <c r="P18" s="1"/>
      <c r="Q18" s="459"/>
    </row>
    <row r="19" spans="2:17" ht="16">
      <c r="B19" s="498"/>
      <c r="C19" s="1"/>
      <c r="D19" s="499"/>
      <c r="E19" s="500"/>
      <c r="F19" s="536"/>
      <c r="G19" s="536"/>
      <c r="H19" s="536"/>
      <c r="I19" s="536"/>
      <c r="J19" s="536"/>
      <c r="K19" s="536"/>
      <c r="L19" s="536"/>
      <c r="M19" s="536"/>
      <c r="N19" s="459"/>
      <c r="O19" s="1"/>
      <c r="P19" s="1"/>
      <c r="Q19" s="459"/>
    </row>
    <row r="20" spans="2:17" ht="16">
      <c r="B20" s="494" t="s">
        <v>405</v>
      </c>
      <c r="C20" s="1"/>
      <c r="D20" s="484" t="s">
        <v>96</v>
      </c>
      <c r="E20" s="501"/>
      <c r="F20" s="537">
        <f>Model!H56-Model!H58</f>
        <v>255699</v>
      </c>
      <c r="G20" s="537">
        <f>Model!I56-Model!I58</f>
        <v>435292</v>
      </c>
      <c r="H20" s="537">
        <f>Model!J56-Model!J58</f>
        <v>160731</v>
      </c>
      <c r="I20" s="537">
        <f>Model!K56-Model!K58</f>
        <v>11269</v>
      </c>
      <c r="J20" s="537">
        <f>Model!L56-Model!L58</f>
        <v>198266.29200000002</v>
      </c>
      <c r="K20" s="537">
        <f>Model!M56-Model!M58</f>
        <v>267326.65000000002</v>
      </c>
      <c r="L20" s="537">
        <f>Model!N56-Model!N58</f>
        <v>365684.32227067638</v>
      </c>
      <c r="M20" s="537">
        <f>Model!O56-Model!O58</f>
        <v>477016.82095368311</v>
      </c>
      <c r="N20" s="537">
        <f>Model!P56-Model!P58</f>
        <v>570093.29498093785</v>
      </c>
      <c r="O20" s="537">
        <f>Model!Q56-Model!Q58</f>
        <v>678308.580685633</v>
      </c>
      <c r="P20" s="1"/>
      <c r="Q20" s="486">
        <f>(K20/F20)^(1/YEARFRAC(F$3,K$3,))-1</f>
        <v>8.933739243198735E-3</v>
      </c>
    </row>
    <row r="21" spans="2:17" ht="16">
      <c r="B21" s="487" t="s">
        <v>406</v>
      </c>
      <c r="C21" s="1"/>
      <c r="D21" s="484" t="s">
        <v>82</v>
      </c>
      <c r="E21" s="497"/>
      <c r="F21" s="535"/>
      <c r="G21" s="531">
        <f>G20/F20-1</f>
        <v>0.70236097911998097</v>
      </c>
      <c r="H21" s="531">
        <f t="shared" ref="H21:O21" si="9">H20/G20-1</f>
        <v>-0.63075131176313826</v>
      </c>
      <c r="I21" s="531">
        <f t="shared" si="9"/>
        <v>-0.92988906931456905</v>
      </c>
      <c r="J21" s="531">
        <f t="shared" si="9"/>
        <v>16.59395616292484</v>
      </c>
      <c r="K21" s="531">
        <f t="shared" si="9"/>
        <v>0.34832122648463115</v>
      </c>
      <c r="L21" s="531">
        <f t="shared" si="9"/>
        <v>0.36793066561330989</v>
      </c>
      <c r="M21" s="531">
        <f t="shared" si="9"/>
        <v>0.30444974504703914</v>
      </c>
      <c r="N21" s="531">
        <f t="shared" si="9"/>
        <v>0.19512199557485244</v>
      </c>
      <c r="O21" s="531">
        <f t="shared" si="9"/>
        <v>0.1898203095132236</v>
      </c>
      <c r="P21" s="1"/>
      <c r="Q21" s="459"/>
    </row>
    <row r="22" spans="2:17" ht="16">
      <c r="B22" s="498"/>
      <c r="C22" s="1"/>
      <c r="D22" s="499"/>
      <c r="E22" s="500"/>
      <c r="F22" s="536"/>
      <c r="G22" s="536"/>
      <c r="H22" s="536"/>
      <c r="I22" s="536"/>
      <c r="J22" s="536"/>
      <c r="K22" s="536"/>
      <c r="L22" s="536"/>
      <c r="M22" s="536"/>
      <c r="N22" s="459"/>
      <c r="O22" s="1"/>
      <c r="P22" s="1"/>
      <c r="Q22" s="459"/>
    </row>
    <row r="23" spans="2:17" ht="16">
      <c r="B23" s="494" t="s">
        <v>407</v>
      </c>
      <c r="C23" s="1"/>
      <c r="D23" s="484" t="s">
        <v>96</v>
      </c>
      <c r="E23" s="501"/>
      <c r="F23" s="537">
        <f>Model!H76</f>
        <v>135037</v>
      </c>
      <c r="G23" s="537">
        <f>Model!I76</f>
        <v>289004</v>
      </c>
      <c r="H23" s="537">
        <f>Model!J76</f>
        <v>24307</v>
      </c>
      <c r="I23" s="537">
        <f>Model!K76</f>
        <v>-65424</v>
      </c>
      <c r="J23" s="537">
        <f>Model!L76</f>
        <v>40074.94822546636</v>
      </c>
      <c r="K23" s="537">
        <f>Model!M76</f>
        <v>84909.194821936864</v>
      </c>
      <c r="L23" s="537">
        <f>Model!N76</f>
        <v>155294.01782727215</v>
      </c>
      <c r="M23" s="537">
        <f>Model!O76</f>
        <v>230807.82804736606</v>
      </c>
      <c r="N23" s="537">
        <f>Model!P76</f>
        <v>299394.18941606767</v>
      </c>
      <c r="O23" s="537">
        <f>Model!Q76</f>
        <v>372870.83084048954</v>
      </c>
      <c r="P23" s="1"/>
      <c r="Q23" s="486">
        <f>(K23/F23)^(1/YEARFRAC(F$3,K$3,))-1</f>
        <v>-8.8618123000901883E-2</v>
      </c>
    </row>
    <row r="24" spans="2:17" ht="16">
      <c r="B24" s="502" t="s">
        <v>408</v>
      </c>
      <c r="C24" s="1"/>
      <c r="D24" s="484" t="s">
        <v>409</v>
      </c>
      <c r="E24" s="504"/>
      <c r="F24" s="538">
        <f>Model!H81</f>
        <v>0.73</v>
      </c>
      <c r="G24" s="538">
        <f>Model!I81</f>
        <v>1.52</v>
      </c>
      <c r="H24" s="538">
        <f>Model!J81</f>
        <v>0.14000000000000001</v>
      </c>
      <c r="I24" s="538">
        <f>Model!K81</f>
        <v>-0.56999999999999995</v>
      </c>
      <c r="J24" s="538">
        <f>Model!L81</f>
        <v>0.23589784233083713</v>
      </c>
      <c r="K24" s="538">
        <f>Model!M81</f>
        <v>0.49981089781708632</v>
      </c>
      <c r="L24" s="538">
        <f>Model!N81</f>
        <v>0.91412529159702338</v>
      </c>
      <c r="M24" s="538">
        <f>Model!O81</f>
        <v>1.3586310410961713</v>
      </c>
      <c r="N24" s="538">
        <f>Model!P81</f>
        <v>1.7623589403606374</v>
      </c>
      <c r="O24" s="538">
        <f>Model!Q81</f>
        <v>2.1948730655497788</v>
      </c>
      <c r="P24" s="1"/>
      <c r="Q24" s="486"/>
    </row>
    <row r="25" spans="2:17" ht="16">
      <c r="B25" s="498"/>
      <c r="C25" s="1"/>
      <c r="D25" s="499"/>
      <c r="E25" s="500"/>
      <c r="F25" s="536"/>
      <c r="G25" s="536"/>
      <c r="H25" s="536"/>
      <c r="I25" s="536"/>
      <c r="J25" s="536"/>
      <c r="K25" s="536"/>
      <c r="L25" s="536"/>
      <c r="M25" s="536"/>
      <c r="N25" s="459"/>
      <c r="O25" s="1"/>
      <c r="P25" s="1"/>
      <c r="Q25" s="459"/>
    </row>
    <row r="26" spans="2:17" ht="16">
      <c r="B26" s="505" t="s">
        <v>424</v>
      </c>
      <c r="C26" s="1"/>
      <c r="D26" s="484" t="s">
        <v>96</v>
      </c>
      <c r="E26" s="501"/>
      <c r="F26" s="537">
        <f>Model!H161</f>
        <v>-123870</v>
      </c>
      <c r="G26" s="537">
        <f>Model!I161</f>
        <v>-326595</v>
      </c>
      <c r="H26" s="537">
        <f>Model!J161</f>
        <v>-261897</v>
      </c>
      <c r="I26" s="537">
        <f>Model!K161</f>
        <v>-186418</v>
      </c>
      <c r="J26" s="537">
        <f>Model!L161</f>
        <v>-175000</v>
      </c>
      <c r="K26" s="537">
        <f>Model!M161</f>
        <v>-100000</v>
      </c>
      <c r="L26" s="537">
        <f>Model!N161</f>
        <v>-97936.498459389841</v>
      </c>
      <c r="M26" s="537">
        <f>Model!O161</f>
        <v>-115861.64772799898</v>
      </c>
      <c r="N26" s="537">
        <f>Model!P161</f>
        <v>-143268.52876254162</v>
      </c>
      <c r="O26" s="537">
        <f>Model!Q161</f>
        <v>-163778.4994828515</v>
      </c>
      <c r="P26" s="1"/>
      <c r="Q26" s="486">
        <f>(K26/F26)^(1/YEARFRAC(F$3,K$3,))-1</f>
        <v>-4.190897370489588E-2</v>
      </c>
    </row>
    <row r="27" spans="2:17" ht="16">
      <c r="B27" s="496" t="s">
        <v>410</v>
      </c>
      <c r="C27" s="1"/>
      <c r="D27" s="484" t="s">
        <v>82</v>
      </c>
      <c r="E27" s="506"/>
      <c r="F27" s="531"/>
      <c r="G27" s="531">
        <f t="shared" ref="G27:O27" si="10">-G26/G17</f>
        <v>0.61912570377812748</v>
      </c>
      <c r="H27" s="531">
        <f t="shared" si="10"/>
        <v>1.0333484582453787</v>
      </c>
      <c r="I27" s="531">
        <f t="shared" si="10"/>
        <v>0.91446371195212284</v>
      </c>
      <c r="J27" s="531">
        <f t="shared" si="10"/>
        <v>0.55607031779259786</v>
      </c>
      <c r="K27" s="531">
        <f t="shared" si="10"/>
        <v>0.2506297071391872</v>
      </c>
      <c r="L27" s="531">
        <f t="shared" si="10"/>
        <v>0.1874719389004286</v>
      </c>
      <c r="M27" s="531">
        <f t="shared" si="10"/>
        <v>0.17002157963204018</v>
      </c>
      <c r="N27" s="531">
        <f t="shared" si="10"/>
        <v>0.17591501429100734</v>
      </c>
      <c r="O27" s="531">
        <f t="shared" si="10"/>
        <v>0.16901592122292358</v>
      </c>
      <c r="P27" s="1"/>
      <c r="Q27" s="486"/>
    </row>
    <row r="28" spans="2:17" ht="16">
      <c r="B28" s="496"/>
      <c r="C28" s="1"/>
      <c r="D28" s="484"/>
      <c r="E28" s="500"/>
      <c r="F28" s="536"/>
      <c r="G28" s="536"/>
      <c r="H28" s="536"/>
      <c r="I28" s="536"/>
      <c r="J28" s="536"/>
      <c r="K28" s="536"/>
      <c r="L28" s="536"/>
      <c r="M28" s="536"/>
      <c r="N28" s="459"/>
      <c r="O28" s="1"/>
      <c r="P28" s="1"/>
      <c r="Q28" s="486"/>
    </row>
    <row r="29" spans="2:17" ht="16">
      <c r="B29" s="507" t="s">
        <v>55</v>
      </c>
      <c r="C29" s="1"/>
      <c r="D29" s="484" t="s">
        <v>96</v>
      </c>
      <c r="E29" s="501"/>
      <c r="F29" s="537">
        <f>Model!H159</f>
        <v>101971</v>
      </c>
      <c r="G29" s="537">
        <f>Model!I159</f>
        <v>343514</v>
      </c>
      <c r="H29" s="537">
        <f>Model!J159</f>
        <v>62699</v>
      </c>
      <c r="I29" s="537">
        <f>Model!K159</f>
        <v>13349</v>
      </c>
      <c r="J29" s="537">
        <f>Model!L159</f>
        <v>-48401.614431868926</v>
      </c>
      <c r="K29" s="537">
        <f>Model!M159</f>
        <v>168909.36838435754</v>
      </c>
      <c r="L29" s="537">
        <f>Model!N159</f>
        <v>212505.41302788266</v>
      </c>
      <c r="M29" s="537">
        <f>Model!O159</f>
        <v>300293.16154967406</v>
      </c>
      <c r="N29" s="537">
        <f>Model!P159</f>
        <v>375445.68776677438</v>
      </c>
      <c r="O29" s="537">
        <f>Model!Q159</f>
        <v>435376.448903443</v>
      </c>
      <c r="P29" s="1"/>
      <c r="Q29" s="486">
        <f>(K29/F29)^(1/YEARFRAC(F$3,K$3,))-1</f>
        <v>0.10620447730865945</v>
      </c>
    </row>
    <row r="30" spans="2:17" ht="16">
      <c r="B30" s="507" t="s">
        <v>411</v>
      </c>
      <c r="C30" s="1"/>
      <c r="D30" s="484" t="s">
        <v>96</v>
      </c>
      <c r="E30" s="501"/>
      <c r="F30" s="537">
        <f>Model!H164</f>
        <v>-119363</v>
      </c>
      <c r="G30" s="537">
        <f>Model!I164</f>
        <v>-1356971</v>
      </c>
      <c r="H30" s="537">
        <f>Model!J164</f>
        <v>68697</v>
      </c>
      <c r="I30" s="537">
        <f>Model!K164</f>
        <v>10057</v>
      </c>
      <c r="J30" s="537">
        <f>Model!L164</f>
        <v>-195109.32307461975</v>
      </c>
      <c r="K30" s="537">
        <f>Model!M164</f>
        <v>85134.240505631024</v>
      </c>
      <c r="L30" s="537">
        <f>Model!N164</f>
        <v>-101389.37965142599</v>
      </c>
      <c r="M30" s="537">
        <f>Model!O164</f>
        <v>-135509.37839651923</v>
      </c>
      <c r="N30" s="537">
        <f>Model!P164</f>
        <v>-187302.67813431172</v>
      </c>
      <c r="O30" s="537">
        <f>Model!Q164</f>
        <v>-214430.88867240536</v>
      </c>
      <c r="P30" s="1"/>
      <c r="Q30" s="486">
        <f>(-K30/-F30)^(1/YEARFRAC(F$3,K$3,))-1</f>
        <v>-1.9346454757824456</v>
      </c>
    </row>
    <row r="31" spans="2:17" ht="16">
      <c r="B31" s="507" t="s">
        <v>412</v>
      </c>
      <c r="C31" s="1"/>
      <c r="D31" s="484" t="s">
        <v>96</v>
      </c>
      <c r="E31" s="501"/>
      <c r="F31" s="537">
        <f>Model!H171</f>
        <v>666109</v>
      </c>
      <c r="G31" s="537">
        <f>Model!I171</f>
        <v>-24191</v>
      </c>
      <c r="H31" s="537">
        <f>Model!J171</f>
        <v>-9917</v>
      </c>
      <c r="I31" s="537">
        <f>Model!K171</f>
        <v>-4791</v>
      </c>
      <c r="J31" s="537">
        <f>Model!L171</f>
        <v>408.63657505222181</v>
      </c>
      <c r="K31" s="537">
        <f>Model!M171</f>
        <v>-12455.850192644015</v>
      </c>
      <c r="L31" s="537">
        <f>Model!N171</f>
        <v>-14125.188432397856</v>
      </c>
      <c r="M31" s="537">
        <f>Model!O171</f>
        <v>-15895.414816509872</v>
      </c>
      <c r="N31" s="537">
        <f>Model!P171</f>
        <v>-11164.286548353522</v>
      </c>
      <c r="O31" s="537">
        <f>Model!Q171</f>
        <v>314245.20115179708</v>
      </c>
      <c r="P31" s="1"/>
      <c r="Q31" s="486">
        <f>(-K31/-F31)^(1/YEARFRAC(F$3,K$3,))-1</f>
        <v>-1.4511963886741692</v>
      </c>
    </row>
    <row r="32" spans="2:17" ht="16">
      <c r="B32" s="496"/>
      <c r="C32" s="1"/>
      <c r="D32" s="484"/>
      <c r="E32" s="500"/>
      <c r="F32" s="536"/>
      <c r="G32" s="536"/>
      <c r="H32" s="536"/>
      <c r="I32" s="536"/>
      <c r="J32" s="536"/>
      <c r="K32" s="536"/>
      <c r="L32" s="536"/>
      <c r="M32" s="536"/>
      <c r="N32" s="459"/>
      <c r="O32" s="1"/>
      <c r="P32" s="1"/>
      <c r="Q32" s="486"/>
    </row>
    <row r="33" spans="2:17" ht="16">
      <c r="B33" s="507" t="s">
        <v>413</v>
      </c>
      <c r="C33" s="1"/>
      <c r="D33" s="484" t="s">
        <v>96</v>
      </c>
      <c r="E33" s="501"/>
      <c r="F33" s="537">
        <f>Model!H103</f>
        <v>1889666</v>
      </c>
      <c r="G33" s="537">
        <f>Model!I103</f>
        <v>2237787</v>
      </c>
      <c r="H33" s="537">
        <f>Model!J103</f>
        <v>2336452</v>
      </c>
      <c r="I33" s="537">
        <f>Model!K103</f>
        <v>2333558</v>
      </c>
      <c r="J33" s="537">
        <f>Model!L103</f>
        <v>2385214.7368322071</v>
      </c>
      <c r="K33" s="537">
        <f>Model!M103</f>
        <v>2443148.5404411126</v>
      </c>
      <c r="L33" s="537">
        <f>Model!N103</f>
        <v>2590107.0276844758</v>
      </c>
      <c r="M33" s="537">
        <f>Model!O103</f>
        <v>2817373.5603623963</v>
      </c>
      <c r="N33" s="537">
        <f>Model!P103</f>
        <v>3113145.6874588779</v>
      </c>
      <c r="O33" s="537">
        <f>Model!Q103</f>
        <v>3797037.5118123759</v>
      </c>
      <c r="P33" s="1"/>
      <c r="Q33" s="486">
        <f>(K33/F33)^(1/YEARFRAC(F$3,K$3,))-1</f>
        <v>5.2720219960225689E-2</v>
      </c>
    </row>
    <row r="34" spans="2:17" ht="16">
      <c r="B34" s="508" t="s">
        <v>414</v>
      </c>
      <c r="C34" s="1"/>
      <c r="D34" s="484" t="s">
        <v>96</v>
      </c>
      <c r="E34" s="501"/>
      <c r="F34" s="537">
        <f>Model!H111</f>
        <v>691009</v>
      </c>
      <c r="G34" s="537">
        <f>Model!I111</f>
        <v>678444</v>
      </c>
      <c r="H34" s="537">
        <f>Model!J111</f>
        <v>681980</v>
      </c>
      <c r="I34" s="537">
        <f>Model!K111</f>
        <v>908729</v>
      </c>
      <c r="J34" s="537">
        <f>Model!L111</f>
        <v>920895</v>
      </c>
      <c r="K34" s="537">
        <f>Model!M111</f>
        <v>920762</v>
      </c>
      <c r="L34" s="537">
        <f>Model!N111</f>
        <v>919716.5</v>
      </c>
      <c r="M34" s="537">
        <f>Model!O111</f>
        <v>917525.625</v>
      </c>
      <c r="N34" s="537">
        <f>Model!P111</f>
        <v>919724.78125</v>
      </c>
      <c r="O34" s="537">
        <f>Model!Q111</f>
        <v>1248293.1270153981</v>
      </c>
      <c r="P34" s="1"/>
      <c r="Q34" s="486">
        <f>(K34/F34)^(1/YEARFRAC(F$3,K$3,))-1</f>
        <v>5.9089681338859279E-2</v>
      </c>
    </row>
    <row r="35" spans="2:17" ht="16">
      <c r="B35" s="507" t="s">
        <v>16</v>
      </c>
      <c r="C35" s="1"/>
      <c r="D35" s="484" t="s">
        <v>96</v>
      </c>
      <c r="E35" s="501"/>
      <c r="F35" s="537">
        <f>Model!H91</f>
        <v>1179297</v>
      </c>
      <c r="G35" s="537">
        <f>Model!I91</f>
        <v>136627</v>
      </c>
      <c r="H35" s="537">
        <f>Model!J91</f>
        <v>263351</v>
      </c>
      <c r="I35" s="537">
        <f>Model!K91</f>
        <v>282442</v>
      </c>
      <c r="J35" s="537">
        <f>Model!L91</f>
        <v>39339.699068563554</v>
      </c>
      <c r="K35" s="537">
        <f>Model!M91</f>
        <v>280927.4577659081</v>
      </c>
      <c r="L35" s="537">
        <f>Model!N91</f>
        <v>377918.3027099669</v>
      </c>
      <c r="M35" s="537">
        <f>Model!O91</f>
        <v>526806.67104661185</v>
      </c>
      <c r="N35" s="537">
        <f>Model!P91</f>
        <v>703785.39413072099</v>
      </c>
      <c r="O35" s="537">
        <f>Model!Q91</f>
        <v>1238976.1555135557</v>
      </c>
      <c r="P35" s="1"/>
      <c r="Q35" s="486">
        <f>(K35/F35)^(1/YEARFRAC(F$3,K$3,))-1</f>
        <v>-0.24942482001248978</v>
      </c>
    </row>
    <row r="36" spans="2:17" ht="16">
      <c r="B36" s="1"/>
      <c r="C36" s="1"/>
      <c r="D36" s="484"/>
      <c r="E36" s="500"/>
      <c r="F36" s="536"/>
      <c r="G36" s="536"/>
      <c r="H36" s="536"/>
      <c r="I36" s="536"/>
      <c r="J36" s="536"/>
      <c r="K36" s="536"/>
      <c r="L36" s="536"/>
      <c r="M36" s="536"/>
      <c r="N36" s="459"/>
      <c r="O36" s="1"/>
      <c r="P36" s="1"/>
      <c r="Q36" s="459"/>
    </row>
    <row r="37" spans="2:17" ht="16">
      <c r="B37" s="4" t="s">
        <v>235</v>
      </c>
      <c r="C37" s="1"/>
      <c r="D37" s="484" t="s">
        <v>96</v>
      </c>
      <c r="E37" s="501"/>
      <c r="F37" s="537">
        <f>Model!H78</f>
        <v>189727</v>
      </c>
      <c r="G37" s="537">
        <f>Model!I78</f>
        <v>345767</v>
      </c>
      <c r="H37" s="537">
        <f>Model!J78</f>
        <v>37990</v>
      </c>
      <c r="I37" s="537">
        <f>Model!K78</f>
        <v>-91369</v>
      </c>
      <c r="J37" s="537">
        <f>Model!L78</f>
        <v>94371.40353678129</v>
      </c>
      <c r="K37" s="537">
        <f>Model!M78</f>
        <v>152841.91064587972</v>
      </c>
      <c r="L37" s="537">
        <f>Model!N78</f>
        <v>236685.12008063475</v>
      </c>
      <c r="M37" s="537">
        <f>Model!O78</f>
        <v>327097.24865395413</v>
      </c>
      <c r="N37" s="537">
        <f>Model!P78</f>
        <v>407209.49641495559</v>
      </c>
      <c r="O37" s="537">
        <f>Model!Q78</f>
        <v>503886.37422361301</v>
      </c>
      <c r="P37" s="1"/>
      <c r="Q37" s="486">
        <f>(K37/F37)^(1/YEARFRAC(F$3,K$3,))-1</f>
        <v>-4.2315047471029876E-2</v>
      </c>
    </row>
    <row r="38" spans="2:17" ht="16">
      <c r="B38" s="38" t="s">
        <v>415</v>
      </c>
      <c r="C38" s="1"/>
      <c r="D38" s="484" t="s">
        <v>82</v>
      </c>
      <c r="E38" s="506"/>
      <c r="F38" s="531">
        <f t="shared" ref="F38:O38" si="11">F37/F17</f>
        <v>0.57154950113269387</v>
      </c>
      <c r="G38" s="531">
        <f t="shared" si="11"/>
        <v>0.65547003848268282</v>
      </c>
      <c r="H38" s="531">
        <f t="shared" si="11"/>
        <v>0.14989445441811833</v>
      </c>
      <c r="I38" s="531">
        <f t="shared" si="11"/>
        <v>-0.44820583257707686</v>
      </c>
      <c r="J38" s="531">
        <f t="shared" si="11"/>
        <v>0.29986935060132264</v>
      </c>
      <c r="K38" s="531">
        <f t="shared" si="11"/>
        <v>0.38306723303770651</v>
      </c>
      <c r="L38" s="531">
        <f t="shared" si="11"/>
        <v>0.45306723303770652</v>
      </c>
      <c r="M38" s="531">
        <f t="shared" si="11"/>
        <v>0.48000000000000004</v>
      </c>
      <c r="N38" s="531">
        <f t="shared" si="11"/>
        <v>0.5</v>
      </c>
      <c r="O38" s="531">
        <f t="shared" si="11"/>
        <v>0.51999999999999991</v>
      </c>
      <c r="P38" s="1"/>
      <c r="Q38" s="1"/>
    </row>
    <row r="39" spans="2:17" ht="16">
      <c r="B39" s="498"/>
      <c r="C39" s="484"/>
      <c r="D39" s="484"/>
      <c r="E39" s="491"/>
      <c r="F39" s="491"/>
      <c r="G39" s="491"/>
      <c r="H39" s="491"/>
      <c r="I39" s="491"/>
      <c r="J39" s="491"/>
      <c r="K39" s="491"/>
      <c r="L39" s="491"/>
      <c r="M39" s="491"/>
      <c r="N39" s="459"/>
      <c r="O39" s="544"/>
      <c r="P39" s="1"/>
      <c r="Q39" s="1"/>
    </row>
    <row r="40" spans="2:17" ht="16">
      <c r="B40" s="475"/>
      <c r="C40" s="476"/>
      <c r="D40" s="476"/>
      <c r="E40" s="477"/>
      <c r="F40" s="477"/>
      <c r="G40" s="477"/>
      <c r="H40" s="477"/>
      <c r="I40" s="13"/>
      <c r="J40" s="539" t="s">
        <v>68</v>
      </c>
      <c r="K40" s="540"/>
      <c r="L40" s="477"/>
      <c r="M40" s="1"/>
      <c r="N40" s="1"/>
      <c r="O40" s="1"/>
      <c r="P40" s="1"/>
      <c r="Q40" s="1"/>
    </row>
    <row r="41" spans="2:17" ht="16">
      <c r="B41" s="16" t="s">
        <v>416</v>
      </c>
      <c r="C41" s="355"/>
      <c r="D41" s="541" t="s">
        <v>69</v>
      </c>
      <c r="E41" s="355"/>
      <c r="F41" s="355"/>
      <c r="G41" s="355"/>
      <c r="H41" s="355"/>
      <c r="I41" s="19" t="s">
        <v>247</v>
      </c>
      <c r="J41" s="29">
        <f>I3</f>
        <v>45657</v>
      </c>
      <c r="K41" s="19">
        <f>J3</f>
        <v>46022</v>
      </c>
      <c r="L41" s="28"/>
      <c r="M41" s="27"/>
      <c r="N41" s="27"/>
      <c r="O41" s="27"/>
      <c r="P41" s="1"/>
      <c r="Q41" s="1"/>
    </row>
    <row r="42" spans="2:17" ht="16">
      <c r="B42" s="49"/>
      <c r="C42" s="542"/>
      <c r="D42" s="543"/>
      <c r="E42" s="542"/>
      <c r="F42" s="542"/>
      <c r="G42" s="542"/>
      <c r="H42" s="542"/>
      <c r="I42" s="27"/>
      <c r="J42" s="27"/>
      <c r="K42" s="27"/>
      <c r="L42" s="27"/>
      <c r="M42" s="27"/>
      <c r="N42" s="27"/>
      <c r="O42" s="27"/>
      <c r="P42" s="1"/>
      <c r="Q42" s="1"/>
    </row>
    <row r="43" spans="2:17" ht="16">
      <c r="B43" s="503" t="s">
        <v>417</v>
      </c>
      <c r="C43" s="1"/>
      <c r="D43" s="509" t="s">
        <v>418</v>
      </c>
      <c r="E43" s="510"/>
      <c r="F43" s="1"/>
      <c r="G43" s="1"/>
      <c r="H43" s="1"/>
      <c r="I43" s="527" cm="1">
        <f t="array" ref="I43:K43">PubComps!N36:P36</f>
        <v>3.3443367360535543</v>
      </c>
      <c r="J43" s="527">
        <v>3.2581063088936988</v>
      </c>
      <c r="K43" s="527">
        <v>2.8931961844843559</v>
      </c>
      <c r="L43" s="510"/>
      <c r="M43" s="510"/>
      <c r="N43" s="510"/>
      <c r="O43" s="459"/>
      <c r="P43" s="1"/>
      <c r="Q43" s="1"/>
    </row>
    <row r="44" spans="2:17" ht="16">
      <c r="B44" s="503" t="str">
        <f>"EV / Revenue - "&amp;Company_Name&amp;":"</f>
        <v>EV / Revenue - MP Materials Corp.:</v>
      </c>
      <c r="C44" s="1"/>
      <c r="D44" s="509" t="s">
        <v>418</v>
      </c>
      <c r="E44" s="510"/>
      <c r="F44" s="1"/>
      <c r="G44" s="1"/>
      <c r="H44" s="1"/>
      <c r="I44" s="527" cm="1">
        <f t="array" ref="I44:K44">PubComps!N40:P40</f>
        <v>17.482411574301128</v>
      </c>
      <c r="J44" s="527">
        <v>11.326878214880821</v>
      </c>
      <c r="K44" s="527">
        <v>8.9341062419328559</v>
      </c>
      <c r="L44" s="510"/>
      <c r="M44" s="510"/>
      <c r="N44" s="510"/>
      <c r="O44" s="459"/>
      <c r="P44" s="1"/>
      <c r="Q44" s="1"/>
    </row>
    <row r="45" spans="2:17" ht="16">
      <c r="B45" s="503" t="s">
        <v>419</v>
      </c>
      <c r="C45" s="1"/>
      <c r="D45" s="484" t="s">
        <v>82</v>
      </c>
      <c r="E45" s="459"/>
      <c r="F45" s="1"/>
      <c r="G45" s="1"/>
      <c r="H45" s="1"/>
      <c r="I45" s="458"/>
      <c r="J45" s="458"/>
      <c r="K45" s="528">
        <f>PubComps!W17</f>
        <v>0.16443020228319649</v>
      </c>
      <c r="L45" s="459"/>
      <c r="M45" s="459"/>
      <c r="N45" s="459"/>
      <c r="O45" s="459"/>
      <c r="P45" s="1"/>
      <c r="Q45" s="1"/>
    </row>
    <row r="46" spans="2:17" ht="16">
      <c r="B46" s="503" t="str">
        <f>"Projected Revenue Growth - "&amp;_xlfn.SINGLE(Company_Name)&amp;":"</f>
        <v>Projected Revenue Growth - MP Materials Corp.:</v>
      </c>
      <c r="C46" s="1"/>
      <c r="D46" s="484" t="s">
        <v>82</v>
      </c>
      <c r="E46" s="459"/>
      <c r="F46" s="1"/>
      <c r="G46" s="1"/>
      <c r="H46" s="1"/>
      <c r="I46" s="458"/>
      <c r="J46" s="458"/>
      <c r="K46" s="528">
        <v>2.0999999999999908E-2</v>
      </c>
      <c r="L46" s="459"/>
      <c r="M46" s="459"/>
      <c r="N46" s="459"/>
      <c r="O46" s="459"/>
      <c r="P46" s="1"/>
      <c r="Q46" s="1"/>
    </row>
    <row r="47" spans="2:17" ht="16">
      <c r="B47" s="459"/>
      <c r="C47" s="1"/>
      <c r="D47" s="459"/>
      <c r="E47" s="459"/>
      <c r="F47" s="1"/>
      <c r="G47" s="1"/>
      <c r="H47" s="1"/>
      <c r="I47" s="458"/>
      <c r="J47" s="458"/>
      <c r="K47" s="458"/>
      <c r="L47" s="459"/>
      <c r="M47" s="459"/>
      <c r="N47" s="459"/>
      <c r="O47" s="459"/>
      <c r="P47" s="1"/>
      <c r="Q47" s="1"/>
    </row>
    <row r="48" spans="2:17" ht="16">
      <c r="B48" s="503" t="s">
        <v>420</v>
      </c>
      <c r="C48" s="1"/>
      <c r="D48" s="509" t="s">
        <v>418</v>
      </c>
      <c r="E48" s="510"/>
      <c r="F48" s="1"/>
      <c r="G48" s="1"/>
      <c r="H48" s="1"/>
      <c r="I48" s="527" cm="1">
        <f t="array" ref="I48:K48">PubComps!Q36:S36</f>
        <v>14.485464963973172</v>
      </c>
      <c r="J48" s="527">
        <v>16.234379243543358</v>
      </c>
      <c r="K48" s="527">
        <v>14.880769450668492</v>
      </c>
      <c r="L48" s="510"/>
      <c r="M48" s="510"/>
      <c r="N48" s="510"/>
      <c r="O48" s="459"/>
      <c r="P48" s="1"/>
      <c r="Q48" s="1"/>
    </row>
    <row r="49" spans="2:17" ht="16">
      <c r="B49" s="503" t="str">
        <f>"EV / EBITDA - "&amp;_xlfn.SINGLE(Company_Name)&amp;":"</f>
        <v>EV / EBITDA - MP Materials Corp.:</v>
      </c>
      <c r="C49" s="1"/>
      <c r="D49" s="509" t="s">
        <v>418</v>
      </c>
      <c r="E49" s="510"/>
      <c r="F49" s="1"/>
      <c r="G49" s="1"/>
      <c r="H49" s="1"/>
      <c r="I49" s="527" cm="1">
        <f t="array" ref="I49:K49">PubComps!Q40:S40</f>
        <v>13.768496407879491</v>
      </c>
      <c r="J49" s="527">
        <v>37.772710656048162</v>
      </c>
      <c r="K49" s="527">
        <v>23.322554035973742</v>
      </c>
      <c r="L49" s="510"/>
      <c r="M49" s="510"/>
      <c r="N49" s="510"/>
      <c r="O49" s="459"/>
      <c r="P49" s="1"/>
      <c r="Q49" s="1"/>
    </row>
    <row r="50" spans="2:17" ht="16">
      <c r="B50" s="503" t="s">
        <v>421</v>
      </c>
      <c r="C50" s="1"/>
      <c r="D50" s="484" t="s">
        <v>82</v>
      </c>
      <c r="E50" s="459"/>
      <c r="F50" s="1"/>
      <c r="G50" s="1"/>
      <c r="H50" s="1"/>
      <c r="I50" s="458"/>
      <c r="J50" s="458"/>
      <c r="K50" s="528">
        <f>PubComps!X17</f>
        <v>0.4179357021996617</v>
      </c>
      <c r="L50" s="459"/>
      <c r="M50" s="459"/>
      <c r="N50" s="459"/>
      <c r="O50" s="459"/>
      <c r="P50" s="1"/>
      <c r="Q50" s="1"/>
    </row>
    <row r="51" spans="2:17" ht="16">
      <c r="B51" s="503" t="str">
        <f>"Projected EBITDA Growth - "&amp;_xlfn.SINGLE(Company_Name)&amp;":"</f>
        <v>Projected EBITDA Growth - MP Materials Corp.:</v>
      </c>
      <c r="C51" s="1"/>
      <c r="D51" s="484" t="s">
        <v>82</v>
      </c>
      <c r="E51" s="459"/>
      <c r="F51" s="1"/>
      <c r="G51" s="1"/>
      <c r="H51" s="1"/>
      <c r="I51" s="458"/>
      <c r="J51" s="458"/>
      <c r="K51" s="528">
        <f>PubComps!X21</f>
        <v>7.085916740478293E-2</v>
      </c>
      <c r="L51" s="459"/>
      <c r="M51" s="459"/>
      <c r="N51" s="459"/>
      <c r="O51" s="459"/>
      <c r="P51" s="1"/>
      <c r="Q51" s="1"/>
    </row>
    <row r="52" spans="2:17" ht="16">
      <c r="B52" s="459"/>
      <c r="C52" s="1"/>
      <c r="D52" s="459"/>
      <c r="E52" s="459"/>
      <c r="F52" s="1"/>
      <c r="G52" s="1"/>
      <c r="H52" s="1"/>
      <c r="I52" s="458"/>
      <c r="J52" s="458"/>
      <c r="K52" s="458"/>
      <c r="L52" s="459"/>
      <c r="M52" s="459"/>
      <c r="N52" s="459"/>
      <c r="O52" s="459"/>
      <c r="P52" s="1"/>
      <c r="Q52" s="1"/>
    </row>
    <row r="53" spans="2:17" ht="16">
      <c r="B53" s="503" t="s">
        <v>422</v>
      </c>
      <c r="C53" s="1"/>
      <c r="D53" s="509" t="s">
        <v>418</v>
      </c>
      <c r="E53" s="510"/>
      <c r="F53" s="1"/>
      <c r="G53" s="1"/>
      <c r="H53" s="1"/>
      <c r="I53" s="527" cm="1">
        <f t="array" ref="I53:K53">PubComps!T36:V36</f>
        <v>26.857478073198486</v>
      </c>
      <c r="J53" s="527">
        <v>26.465636624137929</v>
      </c>
      <c r="K53" s="527">
        <v>27.396467232284536</v>
      </c>
      <c r="L53" s="510"/>
      <c r="M53" s="510"/>
      <c r="N53" s="510"/>
      <c r="O53" s="459"/>
      <c r="P53" s="1"/>
      <c r="Q53" s="1"/>
    </row>
    <row r="54" spans="2:17" ht="16">
      <c r="B54" s="503" t="str">
        <f>"P / E - "&amp;_xlfn.SINGLE(Company_Name)&amp;":"</f>
        <v>P / E - MP Materials Corp.:</v>
      </c>
      <c r="C54" s="1"/>
      <c r="D54" s="509" t="s">
        <v>418</v>
      </c>
      <c r="E54" s="510"/>
      <c r="F54" s="1"/>
      <c r="G54" s="1"/>
      <c r="H54" s="1"/>
      <c r="I54" s="527" t="str" cm="1">
        <f t="array" ref="I54:K54">PubComps!T40:V40</f>
        <v>NM</v>
      </c>
      <c r="J54" s="527">
        <v>87.733181842659391</v>
      </c>
      <c r="K54" s="527">
        <v>41.407797204686752</v>
      </c>
      <c r="L54" s="510"/>
      <c r="M54" s="510"/>
      <c r="N54" s="510"/>
      <c r="O54" s="459"/>
      <c r="P54" s="1"/>
      <c r="Q54" s="1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7C009-F34F-4EE6-A7A4-20397DCFBAA2}">
  <dimension ref="B2:AC358"/>
  <sheetViews>
    <sheetView showGridLines="0" topLeftCell="B116" zoomScale="50" workbookViewId="0">
      <selection activeCell="Q137" sqref="Q137"/>
    </sheetView>
  </sheetViews>
  <sheetFormatPr defaultRowHeight="14.5"/>
  <cols>
    <col min="17" max="17" width="24.1796875" bestFit="1" customWidth="1"/>
    <col min="18" max="19" width="20.26953125" bestFit="1" customWidth="1"/>
    <col min="20" max="20" width="14.1796875" bestFit="1" customWidth="1"/>
    <col min="21" max="22" width="19" bestFit="1" customWidth="1"/>
    <col min="24" max="25" width="24.1796875" bestFit="1" customWidth="1"/>
    <col min="27" max="28" width="22.81640625" bestFit="1" customWidth="1"/>
  </cols>
  <sheetData>
    <row r="2" spans="2:20" ht="16">
      <c r="B2" s="450" t="str">
        <f>"Graphs and Analysis of Financial Model Output - "&amp;TEXT(Company_Name,"")</f>
        <v>Graphs and Analysis of Financial Model Output - MP Materials Corp.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1"/>
    </row>
    <row r="6" spans="2:20" ht="16">
      <c r="Q6" s="452" t="s">
        <v>387</v>
      </c>
      <c r="R6" s="452" t="s">
        <v>241</v>
      </c>
      <c r="S6" s="452" t="s">
        <v>235</v>
      </c>
      <c r="T6" s="452" t="s">
        <v>236</v>
      </c>
    </row>
    <row r="7" spans="2:20">
      <c r="Q7" s="453" cm="1">
        <f t="array" ref="Q7:Q16">TRANSPOSE(Model!H88:Q88)</f>
        <v>44561</v>
      </c>
      <c r="R7" s="454" cm="1">
        <f t="array" ref="R7:R16">TRANSPOSE(Summary!F17:O17)</f>
        <v>331952</v>
      </c>
      <c r="S7" s="454" cm="1">
        <f t="array" ref="S7:S16">TRANSPOSE(Summary!F37:'Summary'!O37)</f>
        <v>189727</v>
      </c>
      <c r="T7" s="455" cm="1">
        <f t="array" ref="T7:T16">TRANSPOSE(Summary!F38:O38)</f>
        <v>0.57154950113269387</v>
      </c>
    </row>
    <row r="8" spans="2:20">
      <c r="Q8" s="453">
        <v>44926</v>
      </c>
      <c r="R8" s="454">
        <v>527510</v>
      </c>
      <c r="S8" s="454">
        <v>345767</v>
      </c>
      <c r="T8" s="455">
        <v>0.65547003848268282</v>
      </c>
    </row>
    <row r="9" spans="2:20">
      <c r="Q9" s="453">
        <v>45291</v>
      </c>
      <c r="R9" s="454">
        <v>253445</v>
      </c>
      <c r="S9" s="454">
        <v>37990</v>
      </c>
      <c r="T9" s="455">
        <v>0.14989445441811833</v>
      </c>
    </row>
    <row r="10" spans="2:20">
      <c r="Q10" s="453">
        <v>45657</v>
      </c>
      <c r="R10" s="454">
        <v>203855</v>
      </c>
      <c r="S10" s="454">
        <v>-91369</v>
      </c>
      <c r="T10" s="455">
        <v>-0.44820583257707686</v>
      </c>
    </row>
    <row r="11" spans="2:20">
      <c r="Q11" s="453">
        <v>46022</v>
      </c>
      <c r="R11" s="454">
        <v>314708.40000000002</v>
      </c>
      <c r="S11" s="454">
        <v>94371.40353678129</v>
      </c>
      <c r="T11" s="455">
        <v>0.29986935060132264</v>
      </c>
    </row>
    <row r="12" spans="2:20">
      <c r="Q12" s="453">
        <v>46387</v>
      </c>
      <c r="R12" s="454">
        <v>398995</v>
      </c>
      <c r="S12" s="454">
        <v>152841.91064587972</v>
      </c>
      <c r="T12" s="455">
        <v>0.38306723303770651</v>
      </c>
    </row>
    <row r="13" spans="2:20">
      <c r="Q13" s="453">
        <v>46752</v>
      </c>
      <c r="R13" s="454">
        <v>522406.17467239487</v>
      </c>
      <c r="S13" s="454">
        <v>236685.12008063475</v>
      </c>
      <c r="T13" s="455">
        <v>0.45306723303770652</v>
      </c>
    </row>
    <row r="14" spans="2:20">
      <c r="Q14" s="453">
        <v>47118</v>
      </c>
      <c r="R14" s="454">
        <v>681452.60136240441</v>
      </c>
      <c r="S14" s="454">
        <v>327097.24865395413</v>
      </c>
      <c r="T14" s="455">
        <v>0.48000000000000004</v>
      </c>
    </row>
    <row r="15" spans="2:20">
      <c r="Q15" s="453">
        <v>47483</v>
      </c>
      <c r="R15" s="454">
        <v>814418.99282991118</v>
      </c>
      <c r="S15" s="454">
        <v>407209.49641495559</v>
      </c>
      <c r="T15" s="455">
        <v>0.5</v>
      </c>
    </row>
    <row r="16" spans="2:20">
      <c r="Q16" s="453">
        <v>47848</v>
      </c>
      <c r="R16" s="454">
        <v>969012.25812233286</v>
      </c>
      <c r="S16" s="454">
        <v>503886.37422361301</v>
      </c>
      <c r="T16" s="455">
        <v>0.51999999999999991</v>
      </c>
    </row>
    <row r="17" spans="17:27">
      <c r="Q17" s="453"/>
      <c r="R17" s="454"/>
      <c r="S17" s="454"/>
      <c r="T17" s="455"/>
    </row>
    <row r="18" spans="17:27">
      <c r="Q18" s="456"/>
      <c r="R18" s="202"/>
    </row>
    <row r="19" spans="17:27">
      <c r="Q19" s="456"/>
      <c r="R19" s="202"/>
    </row>
    <row r="20" spans="17:27" ht="16">
      <c r="Q20" s="457" t="s">
        <v>388</v>
      </c>
      <c r="R20" s="458">
        <v>5</v>
      </c>
      <c r="S20" s="459"/>
      <c r="T20" s="459"/>
    </row>
    <row r="21" spans="17:27" ht="16">
      <c r="Q21" s="459"/>
      <c r="R21" s="459"/>
      <c r="S21" s="459"/>
      <c r="T21" s="459"/>
    </row>
    <row r="22" spans="17:27" ht="16">
      <c r="Q22" s="457" t="s">
        <v>389</v>
      </c>
      <c r="R22" s="460"/>
      <c r="S22" s="461" t="b">
        <v>1</v>
      </c>
      <c r="T22" s="462" t="b">
        <v>1</v>
      </c>
    </row>
    <row r="23" spans="17:27" ht="16">
      <c r="Q23" s="452" t="s">
        <v>387</v>
      </c>
      <c r="R23" s="452" t="s">
        <v>241</v>
      </c>
      <c r="S23" s="452" t="s">
        <v>235</v>
      </c>
      <c r="T23" s="452" t="s">
        <v>236</v>
      </c>
    </row>
    <row r="24" spans="17:27" ht="16">
      <c r="Q24" s="512">
        <f>INDEX($Q$6:$Q$17,$R$20+ROWS(Q$23:Q23))</f>
        <v>46022</v>
      </c>
      <c r="R24" s="454">
        <f>INDEX($R$6:$R$17,$R$20+ROWS(R$23:R23))</f>
        <v>314708.40000000002</v>
      </c>
      <c r="S24" s="454">
        <f>INDEX($S$6:$S$17,$R$20+ROWS(S$23:S23))</f>
        <v>94371.40353678129</v>
      </c>
      <c r="T24" s="455">
        <f>INDEX($T$6:$T$17,$R$20+ROWS(T$23:T23))</f>
        <v>0.29986935060132264</v>
      </c>
      <c r="U24" s="463"/>
    </row>
    <row r="25" spans="17:27" ht="16">
      <c r="Q25" s="512">
        <f>INDEX($Q$6:$Q$17,$R$20+ROWS(Q$23:Q24))</f>
        <v>46387</v>
      </c>
      <c r="R25" s="454">
        <f>INDEX($R$6:$R$17,$R$20+ROWS(R$23:R24))</f>
        <v>398995</v>
      </c>
      <c r="S25" s="454">
        <f>INDEX($S$6:$S$17,$R$20+ROWS(S$23:S24))</f>
        <v>152841.91064587972</v>
      </c>
      <c r="T25" s="455">
        <f>INDEX($T$6:$T$17,$R$20+ROWS(T$23:T24))</f>
        <v>0.38306723303770651</v>
      </c>
    </row>
    <row r="26" spans="17:27" ht="16">
      <c r="Q26" s="512">
        <f>INDEX($Q$6:$Q$17,$R$20+ROWS(Q$23:Q25))</f>
        <v>46752</v>
      </c>
      <c r="R26" s="454">
        <f>INDEX($R$6:$R$17,$R$20+ROWS(R$23:R25))</f>
        <v>522406.17467239487</v>
      </c>
      <c r="S26" s="454">
        <f>INDEX($S$6:$S$17,$R$20+ROWS(S$23:S25))</f>
        <v>236685.12008063475</v>
      </c>
      <c r="T26" s="455">
        <f>INDEX($T$6:$T$17,$R$20+ROWS(T$23:T25))</f>
        <v>0.45306723303770652</v>
      </c>
    </row>
    <row r="27" spans="17:27" ht="16">
      <c r="Q27" s="512">
        <f>INDEX($Q$6:$Q$17,$R$20+ROWS(Q$23:Q26))</f>
        <v>47118</v>
      </c>
      <c r="R27" s="454">
        <f>INDEX($R$6:$R$17,$R$20+ROWS(R$23:R26))</f>
        <v>681452.60136240441</v>
      </c>
      <c r="S27" s="454">
        <f>INDEX($S$6:$S$17,$R$20+ROWS(S$23:S26))</f>
        <v>327097.24865395413</v>
      </c>
      <c r="T27" s="455">
        <f>INDEX($T$6:$T$17,$R$20+ROWS(T$23:T26))</f>
        <v>0.48000000000000004</v>
      </c>
    </row>
    <row r="30" spans="17:27" ht="16">
      <c r="Q30" s="459" t="str">
        <f>Company_Name&amp;": Revenue, EBITDA, and Margins, FY"&amp;TEXT(Q23,"yy")&amp;" to FY"&amp;TEXT(Q26,"yy")</f>
        <v>MP Materials Corp.: Revenue, EBITDA, and Margins, FYYear to FY27</v>
      </c>
    </row>
    <row r="32" spans="17:27" ht="16">
      <c r="R32" s="464" t="s">
        <v>161</v>
      </c>
      <c r="S32" s="465"/>
      <c r="T32" s="459"/>
      <c r="U32" s="464" t="s">
        <v>164</v>
      </c>
      <c r="V32" s="465"/>
      <c r="W32" s="459"/>
      <c r="X32" s="464" t="s">
        <v>390</v>
      </c>
      <c r="Y32" s="465"/>
      <c r="Z32" s="459"/>
      <c r="AA32" s="464" t="s">
        <v>391</v>
      </c>
    </row>
    <row r="33" spans="17:29" ht="16">
      <c r="Q33" s="459"/>
      <c r="R33" s="466" t="str">
        <f>PubComps_Data!C73</f>
        <v>2025-12-31 Revenue:</v>
      </c>
      <c r="S33" s="466" t="str">
        <f>PubComps_Data!C77</f>
        <v>2026-12-31 Revenue:</v>
      </c>
      <c r="T33" s="459"/>
      <c r="U33" s="467" t="str">
        <f>PubComps_Data!C74</f>
        <v>2025-12-31 EBITDA:</v>
      </c>
      <c r="V33" s="467" t="str">
        <f>PubComps_Data!C78</f>
        <v>2026-12-31 EBITDA:</v>
      </c>
      <c r="W33" s="459"/>
      <c r="X33" s="467" t="str">
        <f>PubComps_Data!C96</f>
        <v>2025-12-31 EV / Revenue:</v>
      </c>
      <c r="Y33" s="467" t="str">
        <f>PubComps_Data!C100</f>
        <v>2026-12-31 EV / Revenue:</v>
      </c>
      <c r="Z33" s="459"/>
      <c r="AA33" s="467" t="str">
        <f>PubComps_Data!C97</f>
        <v>2025-12-31 EV / EBITDA:</v>
      </c>
      <c r="AB33" s="467" t="str">
        <f>PubComps_Data!C101</f>
        <v>2026-12-31 EV / EBITDA:</v>
      </c>
      <c r="AC33" s="459"/>
    </row>
    <row r="34" spans="17:29" ht="16">
      <c r="Q34" s="25" t="s">
        <v>290</v>
      </c>
      <c r="R34" s="468">
        <f t="shared" ref="R34:S40" si="0">INDEX(Pub_Comps_Range,MATCH(R$33,Pub_Comps_Params,0),MATCH($Q34,Pub_Comps_Tickers,0))</f>
        <v>371</v>
      </c>
      <c r="S34" s="468">
        <f t="shared" si="0"/>
        <v>648</v>
      </c>
      <c r="T34" s="459"/>
      <c r="U34" s="468">
        <f t="shared" ref="U34:V40" si="1">INDEX(Pub_Comps_Range,MATCH(U$33,Pub_Comps_Params,0),MATCH($Q34,Pub_Comps_Tickers,0))</f>
        <v>93</v>
      </c>
      <c r="V34" s="468">
        <f t="shared" si="1"/>
        <v>276</v>
      </c>
      <c r="W34" s="469"/>
      <c r="X34" s="70">
        <f t="shared" ref="X34:Y40" si="2">INDEX(Pub_Comps_Range,MATCH(X$33,Pub_Comps_Params,0),MATCH($Q34,Pub_Comps_Tickers,0))</f>
        <v>13.197185983827495</v>
      </c>
      <c r="Y34" s="70">
        <f t="shared" si="2"/>
        <v>7.5557962962962977</v>
      </c>
      <c r="Z34" s="459"/>
      <c r="AA34" s="70">
        <f t="shared" ref="AA34:AB40" si="3">INDEX(Pub_Comps_Range,MATCH(AA$33,Pub_Comps_Params,0),MATCH($Q34,Pub_Comps_Tickers,0))</f>
        <v>52.646838709677425</v>
      </c>
      <c r="AB34" s="70">
        <f t="shared" si="3"/>
        <v>17.739695652173918</v>
      </c>
      <c r="AC34" s="459"/>
    </row>
    <row r="35" spans="17:29" ht="16">
      <c r="Q35" s="85">
        <v>600111</v>
      </c>
      <c r="R35" s="468">
        <f t="shared" si="0"/>
        <v>4993</v>
      </c>
      <c r="S35" s="468">
        <f t="shared" si="0"/>
        <v>5814</v>
      </c>
      <c r="T35" s="459"/>
      <c r="U35" s="468">
        <f t="shared" si="1"/>
        <v>591</v>
      </c>
      <c r="V35" s="468">
        <f t="shared" si="1"/>
        <v>838</v>
      </c>
      <c r="W35" s="469"/>
      <c r="X35" s="70">
        <f t="shared" si="2"/>
        <v>3.7301359903865419</v>
      </c>
      <c r="Y35" s="70">
        <f t="shared" si="2"/>
        <v>3.2034002407980742</v>
      </c>
      <c r="Z35" s="459"/>
      <c r="AA35" s="70">
        <f t="shared" si="3"/>
        <v>31.513653130287654</v>
      </c>
      <c r="AB35" s="70">
        <f t="shared" si="3"/>
        <v>22.225022673031031</v>
      </c>
      <c r="AC35" s="459"/>
    </row>
    <row r="36" spans="17:29" ht="16">
      <c r="Q36" s="85" t="s">
        <v>473</v>
      </c>
      <c r="R36" s="468">
        <f t="shared" si="0"/>
        <v>169</v>
      </c>
      <c r="S36" s="468">
        <f t="shared" si="0"/>
        <v>205</v>
      </c>
      <c r="T36" s="459"/>
      <c r="U36" s="468">
        <f t="shared" si="1"/>
        <v>73</v>
      </c>
      <c r="V36" s="468">
        <f t="shared" si="1"/>
        <v>121</v>
      </c>
      <c r="W36" s="469"/>
      <c r="X36" s="70">
        <f t="shared" si="2"/>
        <v>1.928431952662722</v>
      </c>
      <c r="Y36" s="70">
        <f t="shared" si="2"/>
        <v>1.5897804878048782</v>
      </c>
      <c r="Z36" s="459"/>
      <c r="AA36" s="70">
        <f t="shared" si="3"/>
        <v>4.4644520547945206</v>
      </c>
      <c r="AB36" s="70">
        <f t="shared" si="3"/>
        <v>2.6934297520661161</v>
      </c>
      <c r="AC36" s="459"/>
    </row>
    <row r="37" spans="17:29" ht="16">
      <c r="Q37" s="85" t="s">
        <v>293</v>
      </c>
      <c r="R37" s="468">
        <f t="shared" si="0"/>
        <v>850</v>
      </c>
      <c r="S37" s="468">
        <f t="shared" si="0"/>
        <v>912</v>
      </c>
      <c r="T37" s="459"/>
      <c r="U37" s="468">
        <f t="shared" si="1"/>
        <v>229</v>
      </c>
      <c r="V37" s="468">
        <f t="shared" si="1"/>
        <v>249</v>
      </c>
      <c r="W37" s="469"/>
      <c r="X37" s="70">
        <f t="shared" si="2"/>
        <v>2.6163118929411762</v>
      </c>
      <c r="Y37" s="70">
        <f t="shared" si="2"/>
        <v>2.4384485844298243</v>
      </c>
      <c r="Z37" s="459"/>
      <c r="AA37" s="70">
        <f t="shared" si="3"/>
        <v>9.7112013493449769</v>
      </c>
      <c r="AB37" s="70">
        <f t="shared" si="3"/>
        <v>8.9311851767068262</v>
      </c>
      <c r="AC37" s="459"/>
    </row>
    <row r="38" spans="17:29" ht="16">
      <c r="Q38" s="85" t="s">
        <v>295</v>
      </c>
      <c r="R38" s="468">
        <f t="shared" si="0"/>
        <v>7132</v>
      </c>
      <c r="S38" s="468">
        <f t="shared" si="0"/>
        <v>7502</v>
      </c>
      <c r="T38" s="459"/>
      <c r="U38" s="468">
        <f t="shared" si="1"/>
        <v>2258</v>
      </c>
      <c r="V38" s="468">
        <f t="shared" si="1"/>
        <v>2418</v>
      </c>
      <c r="W38" s="469"/>
      <c r="X38" s="70">
        <f t="shared" si="2"/>
        <v>5.6541886013740879</v>
      </c>
      <c r="Y38" s="70">
        <f t="shared" si="2"/>
        <v>5.3753229945347902</v>
      </c>
      <c r="Z38" s="459"/>
      <c r="AA38" s="70">
        <f t="shared" si="3"/>
        <v>17.859022632860935</v>
      </c>
      <c r="AB38" s="70">
        <f t="shared" si="3"/>
        <v>16.677284162531016</v>
      </c>
      <c r="AC38" s="459"/>
    </row>
    <row r="39" spans="17:29" ht="16">
      <c r="Q39" s="85">
        <v>6762</v>
      </c>
      <c r="R39" s="468">
        <f t="shared" si="0"/>
        <v>14474</v>
      </c>
      <c r="S39" s="468">
        <f t="shared" si="0"/>
        <v>15612</v>
      </c>
      <c r="T39" s="459"/>
      <c r="U39" s="468">
        <f t="shared" si="1"/>
        <v>2760.1918000000001</v>
      </c>
      <c r="V39" s="468">
        <f t="shared" si="1"/>
        <v>3082</v>
      </c>
      <c r="W39" s="469"/>
      <c r="X39" s="70">
        <f t="shared" si="2"/>
        <v>2.7860766274008562</v>
      </c>
      <c r="Y39" s="70">
        <f t="shared" si="2"/>
        <v>2.5829921281706376</v>
      </c>
      <c r="Z39" s="459"/>
      <c r="AA39" s="70">
        <f t="shared" si="3"/>
        <v>14.60973585422578</v>
      </c>
      <c r="AB39" s="70">
        <f t="shared" si="3"/>
        <v>13.084254738805969</v>
      </c>
      <c r="AC39" s="459"/>
    </row>
    <row r="40" spans="17:29" ht="16">
      <c r="Q40" s="566" t="s">
        <v>90</v>
      </c>
      <c r="R40" s="468">
        <f t="shared" si="0"/>
        <v>314.70840000000004</v>
      </c>
      <c r="S40" s="468">
        <f t="shared" si="0"/>
        <v>398.995</v>
      </c>
      <c r="T40" s="459"/>
      <c r="U40" s="468">
        <f t="shared" si="1"/>
        <v>94.371403536781287</v>
      </c>
      <c r="V40" s="468">
        <f t="shared" si="1"/>
        <v>152.84191064587972</v>
      </c>
      <c r="W40" s="469"/>
      <c r="X40" s="70">
        <f t="shared" si="2"/>
        <v>11.326878214880821</v>
      </c>
      <c r="Y40" s="70">
        <f t="shared" si="2"/>
        <v>8.9341062419328559</v>
      </c>
      <c r="Z40" s="459"/>
      <c r="AA40" s="70">
        <f t="shared" si="3"/>
        <v>37.772710656048162</v>
      </c>
      <c r="AB40" s="70">
        <f t="shared" si="3"/>
        <v>23.322554035973742</v>
      </c>
      <c r="AC40" s="459"/>
    </row>
    <row r="41" spans="17:29" ht="16">
      <c r="Q41" s="457" t="s">
        <v>392</v>
      </c>
      <c r="R41" s="459"/>
      <c r="S41" s="459"/>
      <c r="T41" s="459"/>
      <c r="U41" s="459"/>
      <c r="V41" s="459"/>
      <c r="W41" s="459"/>
      <c r="X41" s="459"/>
      <c r="Y41" s="459"/>
      <c r="Z41" s="459"/>
      <c r="AA41" s="459"/>
      <c r="AB41" s="459"/>
      <c r="AC41" s="459"/>
    </row>
    <row r="42" spans="17:29" ht="16">
      <c r="Q42" s="459"/>
      <c r="R42" s="464" t="s">
        <v>393</v>
      </c>
      <c r="S42" s="465"/>
      <c r="T42" s="459"/>
      <c r="U42" s="464" t="s">
        <v>394</v>
      </c>
      <c r="V42" s="464"/>
      <c r="W42" s="459"/>
      <c r="X42" s="464" t="s">
        <v>395</v>
      </c>
      <c r="Y42" s="465"/>
      <c r="Z42" s="459"/>
      <c r="AA42" s="464" t="s">
        <v>396</v>
      </c>
      <c r="AB42" s="464"/>
      <c r="AC42" s="459"/>
    </row>
    <row r="43" spans="17:29" ht="16">
      <c r="Q43" s="459"/>
      <c r="R43" s="470" t="str">
        <f>PubComps_Data!C85</f>
        <v>Year 1 Projected Revenue Growth:</v>
      </c>
      <c r="S43" s="471"/>
      <c r="T43" s="459"/>
      <c r="U43" s="470" t="str">
        <f>PubComps_Data!C86</f>
        <v>Year 1 Projected EBITDA Growth:</v>
      </c>
      <c r="V43" s="471"/>
      <c r="W43" s="459"/>
      <c r="X43" s="467" t="str">
        <f>PubComps_Data!C100</f>
        <v>2026-12-31 EV / Revenue:</v>
      </c>
      <c r="Y43" s="471"/>
      <c r="Z43" s="459"/>
      <c r="AA43" s="467" t="str">
        <f>PubComps_Data!C101</f>
        <v>2026-12-31 EV / EBITDA:</v>
      </c>
      <c r="AB43" s="471"/>
      <c r="AC43" s="459"/>
    </row>
    <row r="44" spans="17:29" ht="16">
      <c r="Q44" s="25" t="s">
        <v>290</v>
      </c>
      <c r="R44" s="159">
        <f t="shared" ref="R44:R50" si="4">INDEX(Pub_Comps_Range,MATCH(R$43,Pub_Comps_Params,0),MATCH($Q44,Pub_Comps_Tickers,0))</f>
        <v>0.74663072776280326</v>
      </c>
      <c r="S44" s="472"/>
      <c r="T44" s="459"/>
      <c r="U44" s="159">
        <f t="shared" ref="U44:U50" si="5">INDEX(Pub_Comps_Range,MATCH(U$43,Pub_Comps_Params,0),MATCH($Q44,Pub_Comps_Tickers,0))</f>
        <v>1.967741935483871</v>
      </c>
      <c r="V44" s="472"/>
      <c r="W44" s="459"/>
      <c r="X44" s="70">
        <f t="shared" ref="X44:X50" si="6">INDEX(Pub_Comps_Range,MATCH(X$43,Pub_Comps_Params,0),MATCH($Q44,Pub_Comps_Tickers,0))</f>
        <v>7.5557962962962977</v>
      </c>
      <c r="Y44" s="473"/>
      <c r="Z44" s="459"/>
      <c r="AA44" s="70">
        <f t="shared" ref="AA44:AA50" si="7">INDEX(Pub_Comps_Range,MATCH(AA$43,Pub_Comps_Params,0),MATCH($Q44,Pub_Comps_Tickers,0))</f>
        <v>17.739695652173918</v>
      </c>
      <c r="AB44" s="473"/>
      <c r="AC44" s="459"/>
    </row>
    <row r="45" spans="17:29" ht="16">
      <c r="Q45" s="85">
        <v>600111</v>
      </c>
      <c r="R45" s="159">
        <f t="shared" si="4"/>
        <v>0.16443020228319649</v>
      </c>
      <c r="S45" s="472"/>
      <c r="T45" s="459"/>
      <c r="U45" s="159">
        <f t="shared" si="5"/>
        <v>0.4179357021996617</v>
      </c>
      <c r="V45" s="472"/>
      <c r="W45" s="459"/>
      <c r="X45" s="70">
        <f t="shared" si="6"/>
        <v>3.2034002407980742</v>
      </c>
      <c r="Y45" s="473"/>
      <c r="Z45" s="459"/>
      <c r="AA45" s="70">
        <f t="shared" si="7"/>
        <v>22.225022673031031</v>
      </c>
      <c r="AB45" s="473"/>
      <c r="AC45" s="459"/>
    </row>
    <row r="46" spans="17:29" ht="16">
      <c r="Q46" s="85" t="s">
        <v>473</v>
      </c>
      <c r="R46" s="159">
        <f t="shared" si="4"/>
        <v>0.21301775147928992</v>
      </c>
      <c r="S46" s="472"/>
      <c r="T46" s="459"/>
      <c r="U46" s="159">
        <f t="shared" si="5"/>
        <v>0.65753424657534243</v>
      </c>
      <c r="V46" s="472"/>
      <c r="W46" s="459"/>
      <c r="X46" s="70">
        <f t="shared" si="6"/>
        <v>1.5897804878048782</v>
      </c>
      <c r="Y46" s="473"/>
      <c r="Z46" s="459"/>
      <c r="AA46" s="70">
        <f t="shared" si="7"/>
        <v>2.6934297520661161</v>
      </c>
      <c r="AB46" s="473"/>
      <c r="AC46" s="459"/>
    </row>
    <row r="47" spans="17:29" ht="16">
      <c r="Q47" s="85" t="s">
        <v>293</v>
      </c>
      <c r="R47" s="159">
        <f t="shared" si="4"/>
        <v>7.2941176470588287E-2</v>
      </c>
      <c r="S47" s="472"/>
      <c r="T47" s="459"/>
      <c r="U47" s="159">
        <f t="shared" si="5"/>
        <v>8.7336244541484698E-2</v>
      </c>
      <c r="V47" s="472"/>
      <c r="W47" s="459"/>
      <c r="X47" s="70">
        <f t="shared" si="6"/>
        <v>2.4384485844298243</v>
      </c>
      <c r="Y47" s="473"/>
      <c r="Z47" s="459"/>
      <c r="AA47" s="70">
        <f t="shared" si="7"/>
        <v>8.9311851767068262</v>
      </c>
      <c r="AB47" s="473"/>
      <c r="AC47" s="459"/>
    </row>
    <row r="48" spans="17:29" ht="16">
      <c r="Q48" s="85" t="s">
        <v>295</v>
      </c>
      <c r="R48" s="159">
        <f t="shared" si="4"/>
        <v>5.1878855860908679E-2</v>
      </c>
      <c r="S48" s="472"/>
      <c r="T48" s="459"/>
      <c r="U48" s="159">
        <f t="shared" si="5"/>
        <v>7.085916740478293E-2</v>
      </c>
      <c r="V48" s="472"/>
      <c r="W48" s="459"/>
      <c r="X48" s="70">
        <f t="shared" si="6"/>
        <v>5.3753229945347902</v>
      </c>
      <c r="Y48" s="473"/>
      <c r="Z48" s="459"/>
      <c r="AA48" s="70">
        <f t="shared" si="7"/>
        <v>16.677284162531016</v>
      </c>
      <c r="AB48" s="473"/>
      <c r="AC48" s="459"/>
    </row>
    <row r="49" spans="17:29" ht="16">
      <c r="Q49" s="85">
        <v>6762</v>
      </c>
      <c r="R49" s="159">
        <f t="shared" si="4"/>
        <v>7.8623739118419245E-2</v>
      </c>
      <c r="S49" s="159"/>
      <c r="T49" s="459"/>
      <c r="U49" s="159">
        <f t="shared" si="5"/>
        <v>0.11658907181740052</v>
      </c>
      <c r="V49" s="472"/>
      <c r="W49" s="459"/>
      <c r="X49" s="70">
        <f t="shared" si="6"/>
        <v>2.5829921281706376</v>
      </c>
      <c r="Y49" s="473"/>
      <c r="Z49" s="459"/>
      <c r="AA49" s="70">
        <f t="shared" si="7"/>
        <v>13.084254738805969</v>
      </c>
      <c r="AB49" s="473"/>
      <c r="AC49" s="459"/>
    </row>
    <row r="50" spans="17:29" ht="16">
      <c r="Q50" s="566" t="s">
        <v>90</v>
      </c>
      <c r="R50" s="159">
        <f t="shared" si="4"/>
        <v>0.26782443684375745</v>
      </c>
      <c r="S50" s="159"/>
      <c r="T50" s="459"/>
      <c r="U50" s="159">
        <f t="shared" si="5"/>
        <v>0.61957865325495054</v>
      </c>
      <c r="V50" s="472"/>
      <c r="W50" s="459"/>
      <c r="X50" s="70">
        <f t="shared" si="6"/>
        <v>8.9341062419328559</v>
      </c>
      <c r="Y50" s="473"/>
      <c r="Z50" s="459"/>
      <c r="AA50" s="70">
        <f t="shared" si="7"/>
        <v>23.322554035973742</v>
      </c>
    </row>
    <row r="52" spans="17:29" ht="16">
      <c r="Q52" s="459" t="str">
        <f>Company_Name&amp;": Revenue and Operating Margins"</f>
        <v>MP Materials Corp.: Revenue and Operating Margins</v>
      </c>
    </row>
    <row r="54" spans="17:29" ht="16">
      <c r="Q54" s="459" t="str">
        <f>Company_Name&amp;": Revenue by Segment"</f>
        <v>MP Materials Corp.: Revenue by Segment</v>
      </c>
    </row>
    <row r="56" spans="17:29" ht="16">
      <c r="Q56" s="459" t="str">
        <f>Company_Name&amp;": Revenue and Operating Margins"</f>
        <v>MP Materials Corp.: Revenue and Operating Margins</v>
      </c>
    </row>
    <row r="59" spans="17:29" ht="16">
      <c r="Q59" s="459" t="str">
        <f>"Annual Revenue, FY"&amp;TEXT(Forward_Year_1,"yy")&amp;" - FY"&amp;TEXT(Forward_Year_2,"yy")</f>
        <v>Annual Revenue, FY25 - FY26</v>
      </c>
    </row>
    <row r="60" spans="17:29" ht="16">
      <c r="Q60" s="459" t="str">
        <f>"Annual EBITDA, FY"&amp;TEXT(Forward_Year_1,"yy")&amp;" - FY"&amp;TEXT(Forward_Year_2,"yy")</f>
        <v>Annual EBITDA, FY25 - FY26</v>
      </c>
    </row>
    <row r="62" spans="17:29" ht="16">
      <c r="Q62" s="459" t="str">
        <f>"Projected Revenue Growth, FY"&amp;TEXT(Forward_Year_1,"yy")&amp;" - FY"&amp;TEXT(Forward_Year_2,"yy")</f>
        <v>Projected Revenue Growth, FY25 - FY26</v>
      </c>
    </row>
    <row r="63" spans="17:29" ht="16">
      <c r="Q63" s="459" t="str">
        <f>"Projected EBITDA Growth, FY"&amp;TEXT(Forward_Year_1,"yy")&amp;" - FY"&amp;TEXT(Forward_Year_2,"yy")</f>
        <v>Projected EBITDA Growth, FY25 - FY26</v>
      </c>
    </row>
    <row r="64" spans="17:29" ht="16">
      <c r="Q64" s="459"/>
    </row>
    <row r="65" spans="17:17" ht="16">
      <c r="Q65" s="459" t="str">
        <f>"FY"&amp;TEXT(Forward_Year_2,"yy")&amp;" Revenue Multiples"</f>
        <v>FY26 Revenue Multiples</v>
      </c>
    </row>
    <row r="66" spans="17:17" ht="16">
      <c r="Q66" s="459" t="str">
        <f>"FY"&amp;TEXT(Forward_Year_2,"yy")&amp;" EBITDA Multiples"</f>
        <v>FY26 EBITDA Multiples</v>
      </c>
    </row>
    <row r="105" spans="18:23">
      <c r="R105" t="str">
        <f>Company_Name&amp;" - LTM Price / Volume"</f>
        <v>MP Materials Corp. - LTM Price / Volume</v>
      </c>
    </row>
    <row r="107" spans="18:23" ht="16">
      <c r="R107" s="459" t="s">
        <v>298</v>
      </c>
      <c r="S107" s="459" t="s">
        <v>397</v>
      </c>
      <c r="T107" s="474" t="s">
        <v>398</v>
      </c>
      <c r="U107" s="513"/>
      <c r="W107" s="513"/>
    </row>
    <row r="108" spans="18:23" ht="16">
      <c r="R108" s="514">
        <v>45777</v>
      </c>
      <c r="S108" s="516">
        <v>24.29</v>
      </c>
      <c r="T108" s="515">
        <v>4437257</v>
      </c>
      <c r="U108" s="513"/>
      <c r="W108" s="513"/>
    </row>
    <row r="109" spans="18:23" ht="16">
      <c r="R109" s="514">
        <v>45776</v>
      </c>
      <c r="S109" s="516">
        <v>24.58</v>
      </c>
      <c r="T109" s="515">
        <v>5974500</v>
      </c>
      <c r="U109" s="513"/>
      <c r="W109" s="513"/>
    </row>
    <row r="110" spans="18:23" ht="16">
      <c r="R110" s="514">
        <v>45775</v>
      </c>
      <c r="S110" s="516">
        <v>24.85</v>
      </c>
      <c r="T110" s="515">
        <v>4117900</v>
      </c>
      <c r="U110" s="513"/>
      <c r="W110" s="513"/>
    </row>
    <row r="111" spans="18:23" ht="16">
      <c r="R111" s="514">
        <v>45772</v>
      </c>
      <c r="S111" s="516">
        <v>24.41</v>
      </c>
      <c r="T111" s="515">
        <v>6209200</v>
      </c>
      <c r="U111" s="513"/>
      <c r="W111" s="513"/>
    </row>
    <row r="112" spans="18:23" ht="16">
      <c r="R112" s="514">
        <v>45771</v>
      </c>
      <c r="S112" s="516">
        <v>26.01</v>
      </c>
      <c r="T112" s="515">
        <v>10857900</v>
      </c>
      <c r="U112" s="513"/>
      <c r="W112" s="513"/>
    </row>
    <row r="113" spans="18:23" ht="16">
      <c r="R113" s="514">
        <v>45770</v>
      </c>
      <c r="S113" s="516">
        <v>22.89</v>
      </c>
      <c r="T113" s="515">
        <v>6330700</v>
      </c>
      <c r="U113" s="513"/>
      <c r="W113" s="513"/>
    </row>
    <row r="114" spans="18:23" ht="16">
      <c r="R114" s="514">
        <v>45769</v>
      </c>
      <c r="S114" s="516">
        <v>22.85</v>
      </c>
      <c r="T114" s="515">
        <v>11127900</v>
      </c>
      <c r="U114" s="513"/>
      <c r="W114" s="513"/>
    </row>
    <row r="115" spans="18:23" ht="16">
      <c r="R115" s="514">
        <v>45768</v>
      </c>
      <c r="S115" s="516">
        <v>23.19</v>
      </c>
      <c r="T115" s="515">
        <v>12265000</v>
      </c>
      <c r="U115" s="513"/>
      <c r="W115" s="513"/>
    </row>
    <row r="116" spans="18:23" ht="16">
      <c r="R116" s="514">
        <v>45764</v>
      </c>
      <c r="S116" s="516">
        <v>26.35</v>
      </c>
      <c r="T116" s="515">
        <v>20286400</v>
      </c>
      <c r="U116" s="513"/>
      <c r="W116" s="513"/>
    </row>
    <row r="117" spans="18:23" ht="16">
      <c r="R117" s="514">
        <v>45763</v>
      </c>
      <c r="S117" s="516">
        <v>27.58</v>
      </c>
      <c r="T117" s="515">
        <v>18086900</v>
      </c>
      <c r="U117" s="513"/>
      <c r="W117" s="513"/>
    </row>
    <row r="118" spans="18:23" ht="16">
      <c r="R118" s="514">
        <v>45762</v>
      </c>
      <c r="S118" s="516">
        <v>25.07</v>
      </c>
      <c r="T118" s="515">
        <v>15803200</v>
      </c>
      <c r="U118" s="513"/>
      <c r="W118" s="513"/>
    </row>
    <row r="119" spans="18:23" ht="16">
      <c r="R119" s="514">
        <v>45761</v>
      </c>
      <c r="S119" s="516">
        <v>27.59</v>
      </c>
      <c r="T119" s="515">
        <v>23657200</v>
      </c>
      <c r="U119" s="513"/>
      <c r="W119" s="513"/>
    </row>
    <row r="120" spans="18:23" ht="16">
      <c r="R120" s="514">
        <v>45758</v>
      </c>
      <c r="S120" s="516">
        <v>22.68</v>
      </c>
      <c r="T120" s="515">
        <v>9026500</v>
      </c>
      <c r="U120" s="513"/>
      <c r="W120" s="513"/>
    </row>
    <row r="121" spans="18:23" ht="16">
      <c r="R121" s="514">
        <v>45757</v>
      </c>
      <c r="S121" s="516">
        <v>23.54</v>
      </c>
      <c r="T121" s="515">
        <v>3836400</v>
      </c>
      <c r="U121" s="513"/>
      <c r="W121" s="513"/>
    </row>
    <row r="122" spans="18:23" ht="16">
      <c r="R122" s="514">
        <v>45756</v>
      </c>
      <c r="S122" s="516">
        <v>23.81</v>
      </c>
      <c r="T122" s="515">
        <v>7116800</v>
      </c>
      <c r="U122" s="513"/>
      <c r="W122" s="513"/>
    </row>
    <row r="123" spans="18:23" ht="16">
      <c r="R123" s="514">
        <v>45755</v>
      </c>
      <c r="S123" s="516">
        <v>21.94</v>
      </c>
      <c r="T123" s="515">
        <v>5268600</v>
      </c>
      <c r="U123" s="513"/>
      <c r="W123" s="513"/>
    </row>
    <row r="124" spans="18:23" ht="16">
      <c r="R124" s="514">
        <v>45754</v>
      </c>
      <c r="S124" s="516">
        <v>23.99</v>
      </c>
      <c r="T124" s="515">
        <v>5256500</v>
      </c>
      <c r="U124" s="513"/>
      <c r="W124" s="513"/>
    </row>
    <row r="125" spans="18:23" ht="16">
      <c r="R125" s="514">
        <v>45751</v>
      </c>
      <c r="S125" s="516">
        <v>23.06</v>
      </c>
      <c r="T125" s="515">
        <v>8168100</v>
      </c>
      <c r="U125" s="513"/>
      <c r="W125" s="513"/>
    </row>
    <row r="126" spans="18:23" ht="16">
      <c r="R126" s="514">
        <v>45750</v>
      </c>
      <c r="S126" s="516">
        <v>24.82</v>
      </c>
      <c r="T126" s="515">
        <v>3717000</v>
      </c>
      <c r="U126" s="513"/>
      <c r="W126" s="513"/>
    </row>
    <row r="127" spans="18:23" ht="16">
      <c r="R127" s="514">
        <v>45749</v>
      </c>
      <c r="S127" s="516">
        <v>25.16</v>
      </c>
      <c r="T127" s="515">
        <v>1842400</v>
      </c>
      <c r="U127" s="513"/>
      <c r="W127" s="513"/>
    </row>
    <row r="128" spans="18:23" ht="16">
      <c r="R128" s="514">
        <v>45748</v>
      </c>
      <c r="S128" s="516">
        <v>25.17</v>
      </c>
      <c r="T128" s="515">
        <v>2765700</v>
      </c>
      <c r="U128" s="513"/>
      <c r="W128" s="513"/>
    </row>
    <row r="129" spans="18:23" ht="16">
      <c r="R129" s="514">
        <v>45747</v>
      </c>
      <c r="S129" s="516">
        <v>24.41</v>
      </c>
      <c r="T129" s="515">
        <v>3586700</v>
      </c>
      <c r="U129" s="513"/>
      <c r="W129" s="513"/>
    </row>
    <row r="130" spans="18:23" ht="16">
      <c r="R130" s="514">
        <v>45744</v>
      </c>
      <c r="S130" s="516">
        <v>25.97</v>
      </c>
      <c r="T130" s="515">
        <v>3139300</v>
      </c>
      <c r="U130" s="513"/>
      <c r="W130" s="513"/>
    </row>
    <row r="131" spans="18:23" ht="16">
      <c r="R131" s="514">
        <v>45743</v>
      </c>
      <c r="S131" s="516">
        <v>26.17</v>
      </c>
      <c r="T131" s="515">
        <v>2147300</v>
      </c>
      <c r="U131" s="513"/>
      <c r="W131" s="513"/>
    </row>
    <row r="132" spans="18:23" ht="16">
      <c r="R132" s="514">
        <v>45742</v>
      </c>
      <c r="S132" s="516">
        <v>26.06</v>
      </c>
      <c r="T132" s="515">
        <v>2238400</v>
      </c>
      <c r="U132" s="513"/>
      <c r="W132" s="513"/>
    </row>
    <row r="133" spans="18:23" ht="16">
      <c r="R133" s="514">
        <v>45741</v>
      </c>
      <c r="S133" s="516">
        <v>26.93</v>
      </c>
      <c r="T133" s="515">
        <v>2933700</v>
      </c>
      <c r="U133" s="513"/>
      <c r="W133" s="513"/>
    </row>
    <row r="134" spans="18:23" ht="16">
      <c r="R134" s="514">
        <v>45740</v>
      </c>
      <c r="S134" s="516">
        <v>26.46</v>
      </c>
      <c r="T134" s="515">
        <v>2635000</v>
      </c>
      <c r="U134" s="513"/>
      <c r="W134" s="513"/>
    </row>
    <row r="135" spans="18:23" ht="16">
      <c r="R135" s="514">
        <v>45737</v>
      </c>
      <c r="S135" s="516">
        <v>25.9</v>
      </c>
      <c r="T135" s="515">
        <v>4614300</v>
      </c>
      <c r="U135" s="513"/>
      <c r="W135" s="513"/>
    </row>
    <row r="136" spans="18:23" ht="16">
      <c r="R136" s="514">
        <v>45736</v>
      </c>
      <c r="S136" s="516">
        <v>26.25</v>
      </c>
      <c r="T136" s="515">
        <v>4207900</v>
      </c>
      <c r="U136" s="513"/>
      <c r="W136" s="513"/>
    </row>
    <row r="137" spans="18:23" ht="16">
      <c r="R137" s="514">
        <v>45735</v>
      </c>
      <c r="S137" s="516">
        <v>26.81</v>
      </c>
      <c r="T137" s="515">
        <v>2693800</v>
      </c>
      <c r="U137" s="513"/>
      <c r="W137" s="513"/>
    </row>
    <row r="138" spans="18:23" ht="16">
      <c r="R138" s="514">
        <v>45734</v>
      </c>
      <c r="S138" s="516">
        <v>26.83</v>
      </c>
      <c r="T138" s="515">
        <v>4309500</v>
      </c>
      <c r="U138" s="513"/>
      <c r="W138" s="513"/>
    </row>
    <row r="139" spans="18:23" ht="16">
      <c r="R139" s="514">
        <v>45733</v>
      </c>
      <c r="S139" s="516">
        <v>26.69</v>
      </c>
      <c r="T139" s="515">
        <v>3578800</v>
      </c>
      <c r="U139" s="513"/>
      <c r="W139" s="513"/>
    </row>
    <row r="140" spans="18:23" ht="16">
      <c r="R140" s="514">
        <v>45730</v>
      </c>
      <c r="S140" s="516">
        <v>26.83</v>
      </c>
      <c r="T140" s="515">
        <v>4822400</v>
      </c>
      <c r="U140" s="513"/>
      <c r="W140" s="513"/>
    </row>
    <row r="141" spans="18:23" ht="16">
      <c r="R141" s="514">
        <v>45729</v>
      </c>
      <c r="S141" s="516">
        <v>24.38</v>
      </c>
      <c r="T141" s="515">
        <v>2075700</v>
      </c>
      <c r="U141" s="513"/>
      <c r="W141" s="513"/>
    </row>
    <row r="142" spans="18:23" ht="16">
      <c r="R142" s="514">
        <v>45728</v>
      </c>
      <c r="S142" s="516">
        <v>24.34</v>
      </c>
      <c r="T142" s="515">
        <v>2691000</v>
      </c>
      <c r="U142" s="513"/>
      <c r="W142" s="513"/>
    </row>
    <row r="143" spans="18:23" ht="16">
      <c r="R143" s="514">
        <v>45727</v>
      </c>
      <c r="S143" s="516">
        <v>24.01</v>
      </c>
      <c r="T143" s="515">
        <v>3234300</v>
      </c>
      <c r="U143" s="513"/>
      <c r="W143" s="513"/>
    </row>
    <row r="144" spans="18:23" ht="16">
      <c r="R144" s="514">
        <v>45726</v>
      </c>
      <c r="S144" s="516">
        <v>24.42</v>
      </c>
      <c r="T144" s="515">
        <v>3992000</v>
      </c>
      <c r="U144" s="513"/>
      <c r="W144" s="513"/>
    </row>
    <row r="145" spans="18:23" ht="16">
      <c r="R145" s="514">
        <v>45723</v>
      </c>
      <c r="S145" s="516">
        <v>24.98</v>
      </c>
      <c r="T145" s="515">
        <v>2400900</v>
      </c>
      <c r="U145" s="513"/>
      <c r="W145" s="513"/>
    </row>
    <row r="146" spans="18:23" ht="16">
      <c r="R146" s="514">
        <v>45722</v>
      </c>
      <c r="S146" s="516">
        <v>24.4</v>
      </c>
      <c r="T146" s="515">
        <v>3515500</v>
      </c>
      <c r="U146" s="513"/>
      <c r="W146" s="513"/>
    </row>
    <row r="147" spans="18:23" ht="16">
      <c r="R147" s="514">
        <v>45721</v>
      </c>
      <c r="S147" s="516">
        <v>25.66</v>
      </c>
      <c r="T147" s="515">
        <v>5011900</v>
      </c>
      <c r="U147" s="513"/>
      <c r="W147" s="513"/>
    </row>
    <row r="148" spans="18:23" ht="16">
      <c r="R148" s="514">
        <v>45720</v>
      </c>
      <c r="S148" s="516">
        <v>22.45</v>
      </c>
      <c r="T148" s="515">
        <v>3456900</v>
      </c>
      <c r="U148" s="513"/>
      <c r="W148" s="513"/>
    </row>
    <row r="149" spans="18:23" ht="16">
      <c r="R149" s="514">
        <v>45719</v>
      </c>
      <c r="S149" s="516">
        <v>22.53</v>
      </c>
      <c r="T149" s="515">
        <v>4165700</v>
      </c>
      <c r="U149" s="513"/>
      <c r="W149" s="513"/>
    </row>
    <row r="150" spans="18:23" ht="16">
      <c r="R150" s="514">
        <v>45716</v>
      </c>
      <c r="S150" s="516">
        <v>24.01</v>
      </c>
      <c r="T150" s="515">
        <v>2579100</v>
      </c>
      <c r="U150" s="513"/>
      <c r="W150" s="513"/>
    </row>
    <row r="151" spans="18:23" ht="16">
      <c r="R151" s="514">
        <v>45715</v>
      </c>
      <c r="S151" s="516">
        <v>23.46</v>
      </c>
      <c r="T151" s="515">
        <v>2036700</v>
      </c>
      <c r="U151" s="513"/>
      <c r="W151" s="513"/>
    </row>
    <row r="152" spans="18:23" ht="16">
      <c r="R152" s="514">
        <v>45714</v>
      </c>
      <c r="S152" s="516">
        <v>23.77</v>
      </c>
      <c r="T152" s="515">
        <v>3115300</v>
      </c>
      <c r="U152" s="513"/>
      <c r="W152" s="513"/>
    </row>
    <row r="153" spans="18:23" ht="16">
      <c r="R153" s="514">
        <v>45713</v>
      </c>
      <c r="S153" s="516">
        <v>23.56</v>
      </c>
      <c r="T153" s="515">
        <v>3075900</v>
      </c>
      <c r="U153" s="513"/>
      <c r="W153" s="513"/>
    </row>
    <row r="154" spans="18:23" ht="16">
      <c r="R154" s="514">
        <v>45712</v>
      </c>
      <c r="S154" s="516">
        <v>24.27</v>
      </c>
      <c r="T154" s="515">
        <v>3105900</v>
      </c>
      <c r="U154" s="513"/>
      <c r="W154" s="513"/>
    </row>
    <row r="155" spans="18:23" ht="16">
      <c r="R155" s="514">
        <v>45709</v>
      </c>
      <c r="S155" s="516">
        <v>24.3</v>
      </c>
      <c r="T155" s="515">
        <v>4661700</v>
      </c>
      <c r="U155" s="513"/>
      <c r="W155" s="513"/>
    </row>
    <row r="156" spans="18:23" ht="16">
      <c r="R156" s="514">
        <v>45708</v>
      </c>
      <c r="S156" s="516">
        <v>23.18</v>
      </c>
      <c r="T156" s="515">
        <v>1919300</v>
      </c>
      <c r="U156" s="513"/>
      <c r="W156" s="513"/>
    </row>
    <row r="157" spans="18:23" ht="16">
      <c r="R157" s="514">
        <v>45707</v>
      </c>
      <c r="S157" s="516">
        <v>22.99</v>
      </c>
      <c r="T157" s="515">
        <v>2746900</v>
      </c>
      <c r="U157" s="513"/>
      <c r="W157" s="513"/>
    </row>
    <row r="158" spans="18:23" ht="16">
      <c r="R158" s="514">
        <v>45706</v>
      </c>
      <c r="S158" s="516">
        <v>23.45</v>
      </c>
      <c r="T158" s="515">
        <v>2241500</v>
      </c>
      <c r="U158" s="513"/>
      <c r="W158" s="513"/>
    </row>
    <row r="159" spans="18:23" ht="16">
      <c r="R159" s="514">
        <v>45702</v>
      </c>
      <c r="S159" s="516">
        <v>23.72</v>
      </c>
      <c r="T159" s="515">
        <v>1741900</v>
      </c>
      <c r="U159" s="513"/>
      <c r="W159" s="513"/>
    </row>
    <row r="160" spans="18:23" ht="16">
      <c r="R160" s="514">
        <v>45701</v>
      </c>
      <c r="S160" s="516">
        <v>24.38</v>
      </c>
      <c r="T160" s="515">
        <v>2374700</v>
      </c>
      <c r="U160" s="513"/>
      <c r="W160" s="513"/>
    </row>
    <row r="161" spans="18:23" ht="16">
      <c r="R161" s="514">
        <v>45700</v>
      </c>
      <c r="S161" s="516">
        <v>24.15</v>
      </c>
      <c r="T161" s="515">
        <v>2408500</v>
      </c>
      <c r="U161" s="513"/>
      <c r="W161" s="513"/>
    </row>
    <row r="162" spans="18:23" ht="16">
      <c r="R162" s="514">
        <v>45699</v>
      </c>
      <c r="S162" s="516">
        <v>24.69</v>
      </c>
      <c r="T162" s="515">
        <v>3215600</v>
      </c>
      <c r="U162" s="513"/>
      <c r="W162" s="513"/>
    </row>
    <row r="163" spans="18:23" ht="16">
      <c r="R163" s="514">
        <v>45698</v>
      </c>
      <c r="S163" s="516">
        <v>25.52</v>
      </c>
      <c r="T163" s="515">
        <v>6625300</v>
      </c>
      <c r="U163" s="513"/>
      <c r="W163" s="513"/>
    </row>
    <row r="164" spans="18:23" ht="16">
      <c r="R164" s="514">
        <v>45695</v>
      </c>
      <c r="S164" s="516">
        <v>23.94</v>
      </c>
      <c r="T164" s="515">
        <v>3882400</v>
      </c>
      <c r="U164" s="513"/>
      <c r="W164" s="513"/>
    </row>
    <row r="165" spans="18:23" ht="16">
      <c r="R165" s="514">
        <v>45694</v>
      </c>
      <c r="S165" s="516">
        <v>24.11</v>
      </c>
      <c r="T165" s="515">
        <v>4407600</v>
      </c>
      <c r="U165" s="513"/>
      <c r="W165" s="513"/>
    </row>
    <row r="166" spans="18:23" ht="16">
      <c r="R166" s="514">
        <v>45693</v>
      </c>
      <c r="S166" s="516">
        <v>23.56</v>
      </c>
      <c r="T166" s="515">
        <v>4570300</v>
      </c>
      <c r="U166" s="513"/>
      <c r="W166" s="513"/>
    </row>
    <row r="167" spans="18:23" ht="16">
      <c r="R167" s="514">
        <v>45692</v>
      </c>
      <c r="S167" s="516">
        <v>24.47</v>
      </c>
      <c r="T167" s="515">
        <v>8831300</v>
      </c>
      <c r="U167" s="513"/>
      <c r="W167" s="513"/>
    </row>
    <row r="168" spans="18:23" ht="16">
      <c r="R168" s="514">
        <v>45691</v>
      </c>
      <c r="S168" s="516">
        <v>22.23</v>
      </c>
      <c r="T168" s="515">
        <v>5228200</v>
      </c>
      <c r="U168" s="513"/>
      <c r="W168" s="513"/>
    </row>
    <row r="169" spans="18:23" ht="16">
      <c r="R169" s="514">
        <v>45688</v>
      </c>
      <c r="S169" s="516">
        <v>21.96</v>
      </c>
      <c r="T169" s="515">
        <v>2844900</v>
      </c>
      <c r="U169" s="513"/>
      <c r="W169" s="513"/>
    </row>
    <row r="170" spans="18:23" ht="16">
      <c r="R170" s="514">
        <v>45687</v>
      </c>
      <c r="S170" s="516">
        <v>21.74</v>
      </c>
      <c r="T170" s="515">
        <v>2102200</v>
      </c>
      <c r="U170" s="513"/>
      <c r="W170" s="513"/>
    </row>
    <row r="171" spans="18:23" ht="16">
      <c r="R171" s="514">
        <v>45686</v>
      </c>
      <c r="S171" s="516">
        <v>20.68</v>
      </c>
      <c r="T171" s="515">
        <v>1501700</v>
      </c>
      <c r="U171" s="513"/>
      <c r="W171" s="513"/>
    </row>
    <row r="172" spans="18:23" ht="16">
      <c r="R172" s="514">
        <v>45685</v>
      </c>
      <c r="S172" s="516">
        <v>20.82</v>
      </c>
      <c r="T172" s="515">
        <v>1541000</v>
      </c>
      <c r="U172" s="513"/>
      <c r="W172" s="513"/>
    </row>
    <row r="173" spans="18:23" ht="16">
      <c r="R173" s="514">
        <v>45684</v>
      </c>
      <c r="S173" s="516">
        <v>21.52</v>
      </c>
      <c r="T173" s="515">
        <v>2317000</v>
      </c>
      <c r="U173" s="513"/>
      <c r="W173" s="513"/>
    </row>
    <row r="174" spans="18:23" ht="16">
      <c r="R174" s="514">
        <v>45681</v>
      </c>
      <c r="S174" s="516">
        <v>21.57</v>
      </c>
      <c r="T174" s="515">
        <v>3716800</v>
      </c>
      <c r="U174" s="513"/>
      <c r="W174" s="513"/>
    </row>
    <row r="175" spans="18:23" ht="16">
      <c r="R175" s="514">
        <v>45680</v>
      </c>
      <c r="S175" s="516">
        <v>21.41</v>
      </c>
      <c r="T175" s="515">
        <v>1461500</v>
      </c>
      <c r="U175" s="513"/>
      <c r="W175" s="513"/>
    </row>
    <row r="176" spans="18:23" ht="16">
      <c r="R176" s="514">
        <v>45679</v>
      </c>
      <c r="S176" s="516">
        <v>21.08</v>
      </c>
      <c r="T176" s="515">
        <v>2351500</v>
      </c>
      <c r="U176" s="513"/>
      <c r="W176" s="513"/>
    </row>
    <row r="177" spans="18:23" ht="16">
      <c r="R177" s="514">
        <v>45678</v>
      </c>
      <c r="S177" s="516">
        <v>20.87</v>
      </c>
      <c r="T177" s="515">
        <v>2999900</v>
      </c>
      <c r="U177" s="513"/>
      <c r="W177" s="513"/>
    </row>
    <row r="178" spans="18:23" ht="16">
      <c r="R178" s="514">
        <v>45674</v>
      </c>
      <c r="S178" s="516">
        <v>20.94</v>
      </c>
      <c r="T178" s="515">
        <v>1978400</v>
      </c>
      <c r="U178" s="513"/>
      <c r="W178" s="513"/>
    </row>
    <row r="179" spans="18:23" ht="16">
      <c r="R179" s="514">
        <v>45673</v>
      </c>
      <c r="S179" s="516">
        <v>21.17</v>
      </c>
      <c r="T179" s="515">
        <v>2535200</v>
      </c>
      <c r="U179" s="513"/>
      <c r="W179" s="513"/>
    </row>
    <row r="180" spans="18:23" ht="16">
      <c r="R180" s="514">
        <v>45672</v>
      </c>
      <c r="S180" s="516">
        <v>20.61</v>
      </c>
      <c r="T180" s="515">
        <v>3114600</v>
      </c>
      <c r="U180" s="513"/>
      <c r="W180" s="513"/>
    </row>
    <row r="181" spans="18:23" ht="16">
      <c r="R181" s="514">
        <v>45671</v>
      </c>
      <c r="S181" s="516">
        <v>19.39</v>
      </c>
      <c r="T181" s="515">
        <v>1283400</v>
      </c>
      <c r="U181" s="513"/>
      <c r="W181" s="513"/>
    </row>
    <row r="182" spans="18:23" ht="16">
      <c r="R182" s="514">
        <v>45670</v>
      </c>
      <c r="S182" s="516">
        <v>19.53</v>
      </c>
      <c r="T182" s="515">
        <v>2174100</v>
      </c>
      <c r="U182" s="513"/>
      <c r="W182" s="513"/>
    </row>
    <row r="183" spans="18:23" ht="16">
      <c r="R183" s="514">
        <v>45667</v>
      </c>
      <c r="S183" s="516">
        <v>19.75</v>
      </c>
      <c r="T183" s="515">
        <v>2089600</v>
      </c>
      <c r="U183" s="513"/>
      <c r="W183" s="513"/>
    </row>
    <row r="184" spans="18:23" ht="16">
      <c r="R184" s="514">
        <v>45665</v>
      </c>
      <c r="S184" s="516">
        <v>19.38</v>
      </c>
      <c r="T184" s="515">
        <v>2665300</v>
      </c>
      <c r="U184" s="513"/>
      <c r="W184" s="513"/>
    </row>
    <row r="185" spans="18:23" ht="16">
      <c r="R185" s="514">
        <v>45664</v>
      </c>
      <c r="S185" s="516">
        <v>20.58</v>
      </c>
      <c r="T185" s="515">
        <v>2844200</v>
      </c>
      <c r="U185" s="513"/>
      <c r="W185" s="513"/>
    </row>
    <row r="186" spans="18:23" ht="16">
      <c r="R186" s="514">
        <v>45663</v>
      </c>
      <c r="S186" s="516">
        <v>20.46</v>
      </c>
      <c r="T186" s="515">
        <v>10553800</v>
      </c>
      <c r="U186" s="513"/>
      <c r="W186" s="513"/>
    </row>
    <row r="187" spans="18:23" ht="16">
      <c r="R187" s="514">
        <v>45660</v>
      </c>
      <c r="S187" s="516">
        <v>18.2</v>
      </c>
      <c r="T187" s="515">
        <v>4892100</v>
      </c>
      <c r="U187" s="513"/>
      <c r="W187" s="513"/>
    </row>
    <row r="188" spans="18:23" ht="16">
      <c r="R188" s="514">
        <v>45659</v>
      </c>
      <c r="S188" s="516">
        <v>16.39</v>
      </c>
      <c r="T188" s="515">
        <v>3004200</v>
      </c>
      <c r="U188" s="513"/>
      <c r="W188" s="513"/>
    </row>
    <row r="189" spans="18:23" ht="16">
      <c r="R189" s="514">
        <v>45657</v>
      </c>
      <c r="S189" s="516">
        <v>15.6</v>
      </c>
      <c r="T189" s="515">
        <v>2305400</v>
      </c>
      <c r="U189" s="513"/>
      <c r="W189" s="513"/>
    </row>
    <row r="190" spans="18:23" ht="16">
      <c r="R190" s="514">
        <v>45656</v>
      </c>
      <c r="S190" s="516">
        <v>15.98</v>
      </c>
      <c r="T190" s="515">
        <v>2327800</v>
      </c>
      <c r="U190" s="513"/>
      <c r="W190" s="513"/>
    </row>
    <row r="191" spans="18:23" ht="16">
      <c r="R191" s="514">
        <v>45653</v>
      </c>
      <c r="S191" s="516">
        <v>16.46</v>
      </c>
      <c r="T191" s="515">
        <v>1529400</v>
      </c>
      <c r="U191" s="513"/>
      <c r="W191" s="513"/>
    </row>
    <row r="192" spans="18:23" ht="16">
      <c r="R192" s="514">
        <v>45652</v>
      </c>
      <c r="S192" s="516">
        <v>16.84</v>
      </c>
      <c r="T192" s="515">
        <v>2046500</v>
      </c>
      <c r="U192" s="513"/>
      <c r="W192" s="513"/>
    </row>
    <row r="193" spans="18:23" ht="16">
      <c r="R193" s="514">
        <v>45650</v>
      </c>
      <c r="S193" s="516">
        <v>16.54</v>
      </c>
      <c r="T193" s="515">
        <v>857900</v>
      </c>
      <c r="U193" s="513"/>
      <c r="W193" s="513"/>
    </row>
    <row r="194" spans="18:23" ht="16">
      <c r="R194" s="514">
        <v>45649</v>
      </c>
      <c r="S194" s="516">
        <v>16.29</v>
      </c>
      <c r="T194" s="515">
        <v>2650500</v>
      </c>
      <c r="U194" s="513"/>
      <c r="W194" s="513"/>
    </row>
    <row r="195" spans="18:23" ht="16">
      <c r="R195" s="514">
        <v>45646</v>
      </c>
      <c r="S195" s="516">
        <v>15.84</v>
      </c>
      <c r="T195" s="515">
        <v>4509700</v>
      </c>
      <c r="U195" s="513"/>
      <c r="W195" s="513"/>
    </row>
    <row r="196" spans="18:23" ht="16">
      <c r="R196" s="514">
        <v>45645</v>
      </c>
      <c r="S196" s="516">
        <v>16.18</v>
      </c>
      <c r="T196" s="515">
        <v>4543700</v>
      </c>
      <c r="U196" s="513"/>
      <c r="W196" s="513"/>
    </row>
    <row r="197" spans="18:23" ht="16">
      <c r="R197" s="514">
        <v>45644</v>
      </c>
      <c r="S197" s="516">
        <v>16.73</v>
      </c>
      <c r="T197" s="515">
        <v>3143100</v>
      </c>
      <c r="U197" s="513"/>
      <c r="W197" s="513"/>
    </row>
    <row r="198" spans="18:23" ht="16">
      <c r="R198" s="514">
        <v>45643</v>
      </c>
      <c r="S198" s="516">
        <v>18.37</v>
      </c>
      <c r="T198" s="515">
        <v>2567300</v>
      </c>
      <c r="U198" s="513"/>
      <c r="W198" s="513"/>
    </row>
    <row r="199" spans="18:23" ht="16">
      <c r="R199" s="514">
        <v>45642</v>
      </c>
      <c r="S199" s="516">
        <v>18.79</v>
      </c>
      <c r="T199" s="515">
        <v>2407700</v>
      </c>
      <c r="U199" s="513"/>
      <c r="W199" s="513"/>
    </row>
    <row r="200" spans="18:23" ht="16">
      <c r="R200" s="514">
        <v>45639</v>
      </c>
      <c r="S200" s="516">
        <v>19.37</v>
      </c>
      <c r="T200" s="515">
        <v>2252600</v>
      </c>
      <c r="U200" s="513"/>
      <c r="W200" s="513"/>
    </row>
    <row r="201" spans="18:23" ht="16">
      <c r="R201" s="514">
        <v>45638</v>
      </c>
      <c r="S201" s="516">
        <v>19.600000000000001</v>
      </c>
      <c r="T201" s="515">
        <v>2127100</v>
      </c>
      <c r="U201" s="513"/>
      <c r="W201" s="513"/>
    </row>
    <row r="202" spans="18:23" ht="16">
      <c r="R202" s="514">
        <v>45637</v>
      </c>
      <c r="S202" s="516">
        <v>19.45</v>
      </c>
      <c r="T202" s="515">
        <v>1980700</v>
      </c>
      <c r="U202" s="513"/>
      <c r="W202" s="513"/>
    </row>
    <row r="203" spans="18:23" ht="16">
      <c r="R203" s="514">
        <v>45636</v>
      </c>
      <c r="S203" s="516">
        <v>19.54</v>
      </c>
      <c r="T203" s="515">
        <v>4162800</v>
      </c>
      <c r="U203" s="513"/>
      <c r="W203" s="513"/>
    </row>
    <row r="204" spans="18:23" ht="16">
      <c r="R204" s="514">
        <v>45635</v>
      </c>
      <c r="S204" s="516">
        <v>20.52</v>
      </c>
      <c r="T204" s="515">
        <v>3030000</v>
      </c>
      <c r="U204" s="513"/>
      <c r="W204" s="513"/>
    </row>
    <row r="205" spans="18:23" ht="16">
      <c r="R205" s="514">
        <v>45632</v>
      </c>
      <c r="S205" s="516">
        <v>19.72</v>
      </c>
      <c r="T205" s="515">
        <v>2118900</v>
      </c>
      <c r="U205" s="513"/>
      <c r="W205" s="513"/>
    </row>
    <row r="206" spans="18:23" ht="16">
      <c r="R206" s="514">
        <v>45631</v>
      </c>
      <c r="S206" s="516">
        <v>20.010000000000002</v>
      </c>
      <c r="T206" s="515">
        <v>3536400</v>
      </c>
      <c r="U206" s="513"/>
      <c r="W206" s="513"/>
    </row>
    <row r="207" spans="18:23" ht="16">
      <c r="R207" s="514">
        <v>45630</v>
      </c>
      <c r="S207" s="516">
        <v>21.13</v>
      </c>
      <c r="T207" s="515">
        <v>6454400</v>
      </c>
      <c r="U207" s="513"/>
      <c r="W207" s="513"/>
    </row>
    <row r="208" spans="18:23" ht="16">
      <c r="R208" s="514">
        <v>45629</v>
      </c>
      <c r="S208" s="516">
        <v>23.11</v>
      </c>
      <c r="T208" s="515">
        <v>12832500</v>
      </c>
      <c r="U208" s="513"/>
      <c r="W208" s="513"/>
    </row>
    <row r="209" spans="18:23" ht="16">
      <c r="R209" s="514">
        <v>45628</v>
      </c>
      <c r="S209" s="516">
        <v>20.81</v>
      </c>
      <c r="T209" s="515">
        <v>2891000</v>
      </c>
      <c r="U209" s="513"/>
      <c r="W209" s="513"/>
    </row>
    <row r="210" spans="18:23" ht="16">
      <c r="R210" s="514">
        <v>45625</v>
      </c>
      <c r="S210" s="516">
        <v>21.07</v>
      </c>
      <c r="T210" s="515">
        <v>1079800</v>
      </c>
      <c r="U210" s="513"/>
      <c r="W210" s="513"/>
    </row>
    <row r="211" spans="18:23" ht="16">
      <c r="R211" s="514">
        <v>45623</v>
      </c>
      <c r="S211" s="516">
        <v>20.84</v>
      </c>
      <c r="T211" s="515">
        <v>2007300</v>
      </c>
      <c r="U211" s="513"/>
      <c r="W211" s="513"/>
    </row>
    <row r="212" spans="18:23" ht="16">
      <c r="R212" s="514">
        <v>45622</v>
      </c>
      <c r="S212" s="516">
        <v>20.25</v>
      </c>
      <c r="T212" s="515">
        <v>3269500</v>
      </c>
      <c r="U212" s="513"/>
      <c r="W212" s="513"/>
    </row>
    <row r="213" spans="18:23" ht="16">
      <c r="R213" s="514">
        <v>45621</v>
      </c>
      <c r="S213" s="516">
        <v>20.84</v>
      </c>
      <c r="T213" s="515">
        <v>2727300</v>
      </c>
      <c r="U213" s="513"/>
      <c r="W213" s="513"/>
    </row>
    <row r="214" spans="18:23" ht="16">
      <c r="R214" s="514">
        <v>45618</v>
      </c>
      <c r="S214" s="516">
        <v>19.64</v>
      </c>
      <c r="T214" s="515">
        <v>2339900</v>
      </c>
      <c r="U214" s="513"/>
      <c r="W214" s="513"/>
    </row>
    <row r="215" spans="18:23" ht="16">
      <c r="R215" s="514">
        <v>45617</v>
      </c>
      <c r="S215" s="516">
        <v>18.73</v>
      </c>
      <c r="T215" s="515">
        <v>1592200</v>
      </c>
      <c r="U215" s="513"/>
      <c r="W215" s="513"/>
    </row>
    <row r="216" spans="18:23" ht="16">
      <c r="R216" s="514">
        <v>45616</v>
      </c>
      <c r="S216" s="516">
        <v>18.23</v>
      </c>
      <c r="T216" s="515">
        <v>1225300</v>
      </c>
      <c r="U216" s="513"/>
      <c r="W216" s="513"/>
    </row>
    <row r="217" spans="18:23" ht="16">
      <c r="R217" s="514">
        <v>45615</v>
      </c>
      <c r="S217" s="516">
        <v>18.02</v>
      </c>
      <c r="T217" s="515">
        <v>1730100</v>
      </c>
      <c r="U217" s="513"/>
      <c r="W217" s="513"/>
    </row>
    <row r="218" spans="18:23" ht="16">
      <c r="R218" s="514">
        <v>45614</v>
      </c>
      <c r="S218" s="516">
        <v>18.350000000000001</v>
      </c>
      <c r="T218" s="515">
        <v>1828300</v>
      </c>
      <c r="U218" s="513"/>
      <c r="W218" s="513"/>
    </row>
    <row r="219" spans="18:23" ht="16">
      <c r="R219" s="514">
        <v>45611</v>
      </c>
      <c r="S219" s="516">
        <v>18.28</v>
      </c>
      <c r="T219" s="515">
        <v>2119000</v>
      </c>
      <c r="U219" s="513"/>
      <c r="W219" s="513"/>
    </row>
    <row r="220" spans="18:23" ht="16">
      <c r="R220" s="514">
        <v>45610</v>
      </c>
      <c r="S220" s="516">
        <v>18.57</v>
      </c>
      <c r="T220" s="515">
        <v>2678500</v>
      </c>
      <c r="U220" s="513"/>
      <c r="W220" s="513"/>
    </row>
    <row r="221" spans="18:23" ht="16">
      <c r="R221" s="514">
        <v>45609</v>
      </c>
      <c r="S221" s="516">
        <v>19.12</v>
      </c>
      <c r="T221" s="515">
        <v>3518600</v>
      </c>
      <c r="U221" s="513"/>
      <c r="W221" s="513"/>
    </row>
    <row r="222" spans="18:23" ht="16">
      <c r="R222" s="514">
        <v>45608</v>
      </c>
      <c r="S222" s="516">
        <v>19.850000000000001</v>
      </c>
      <c r="T222" s="515">
        <v>2040200</v>
      </c>
      <c r="U222" s="513"/>
      <c r="W222" s="513"/>
    </row>
    <row r="223" spans="18:23" ht="16">
      <c r="R223" s="514">
        <v>45607</v>
      </c>
      <c r="S223" s="516">
        <v>20.41</v>
      </c>
      <c r="T223" s="515">
        <v>2529100</v>
      </c>
      <c r="U223" s="513"/>
      <c r="W223" s="513"/>
    </row>
    <row r="224" spans="18:23" ht="16">
      <c r="R224" s="514">
        <v>45604</v>
      </c>
      <c r="S224" s="516">
        <v>19.5</v>
      </c>
      <c r="T224" s="515">
        <v>3124800</v>
      </c>
      <c r="U224" s="513"/>
      <c r="W224" s="513"/>
    </row>
    <row r="225" spans="18:23" ht="16">
      <c r="R225" s="514">
        <v>45603</v>
      </c>
      <c r="S225" s="516">
        <v>19.98</v>
      </c>
      <c r="T225" s="515">
        <v>3189400</v>
      </c>
      <c r="U225" s="513"/>
      <c r="W225" s="513"/>
    </row>
    <row r="226" spans="18:23" ht="16">
      <c r="R226" s="514">
        <v>45602</v>
      </c>
      <c r="S226" s="516">
        <v>19.68</v>
      </c>
      <c r="T226" s="515">
        <v>4788600</v>
      </c>
      <c r="U226" s="513"/>
      <c r="W226" s="513"/>
    </row>
    <row r="227" spans="18:23" ht="16">
      <c r="R227" s="514">
        <v>45601</v>
      </c>
      <c r="S227" s="516">
        <v>18.61</v>
      </c>
      <c r="T227" s="515">
        <v>2379400</v>
      </c>
      <c r="U227" s="513"/>
      <c r="W227" s="513"/>
    </row>
    <row r="228" spans="18:23" ht="16">
      <c r="R228" s="514">
        <v>45600</v>
      </c>
      <c r="S228" s="516">
        <v>18.25</v>
      </c>
      <c r="T228" s="515">
        <v>2070700</v>
      </c>
      <c r="U228" s="513"/>
      <c r="W228" s="513"/>
    </row>
    <row r="229" spans="18:23" ht="16">
      <c r="R229" s="514">
        <v>45597</v>
      </c>
      <c r="S229" s="516">
        <v>18.23</v>
      </c>
      <c r="T229" s="515">
        <v>1817600</v>
      </c>
      <c r="U229" s="513"/>
      <c r="W229" s="513"/>
    </row>
    <row r="230" spans="18:23" ht="16">
      <c r="R230" s="514">
        <v>45596</v>
      </c>
      <c r="S230" s="516">
        <v>17.989999999999998</v>
      </c>
      <c r="T230" s="515">
        <v>2150200</v>
      </c>
      <c r="U230" s="513"/>
      <c r="W230" s="513"/>
    </row>
    <row r="231" spans="18:23" ht="16">
      <c r="R231" s="514">
        <v>45595</v>
      </c>
      <c r="S231" s="516">
        <v>18.739999999999998</v>
      </c>
      <c r="T231" s="515">
        <v>2177300</v>
      </c>
      <c r="U231" s="513"/>
      <c r="W231" s="513"/>
    </row>
    <row r="232" spans="18:23" ht="16">
      <c r="R232" s="514">
        <v>45594</v>
      </c>
      <c r="S232" s="516">
        <v>18.989999999999998</v>
      </c>
      <c r="T232" s="515">
        <v>1349900</v>
      </c>
      <c r="U232" s="513"/>
      <c r="W232" s="513"/>
    </row>
    <row r="233" spans="18:23" ht="16">
      <c r="R233" s="514">
        <v>45593</v>
      </c>
      <c r="S233" s="516">
        <v>18.88</v>
      </c>
      <c r="T233" s="515">
        <v>2689400</v>
      </c>
      <c r="U233" s="513"/>
      <c r="W233" s="513"/>
    </row>
    <row r="234" spans="18:23" ht="16">
      <c r="R234" s="514">
        <v>45590</v>
      </c>
      <c r="S234" s="516">
        <v>18.64</v>
      </c>
      <c r="T234" s="515">
        <v>1541800</v>
      </c>
      <c r="U234" s="513"/>
      <c r="W234" s="513"/>
    </row>
    <row r="235" spans="18:23" ht="16">
      <c r="R235" s="514">
        <v>45589</v>
      </c>
      <c r="S235" s="516">
        <v>18.55</v>
      </c>
      <c r="T235" s="515">
        <v>2104400</v>
      </c>
      <c r="U235" s="513"/>
      <c r="W235" s="513"/>
    </row>
    <row r="236" spans="18:23" ht="16">
      <c r="R236" s="514">
        <v>45588</v>
      </c>
      <c r="S236" s="516">
        <v>17.87</v>
      </c>
      <c r="T236" s="515">
        <v>1992300</v>
      </c>
      <c r="U236" s="513"/>
      <c r="W236" s="513"/>
    </row>
    <row r="237" spans="18:23" ht="16">
      <c r="R237" s="514">
        <v>45587</v>
      </c>
      <c r="S237" s="516">
        <v>18.3</v>
      </c>
      <c r="T237" s="515">
        <v>1581900</v>
      </c>
      <c r="U237" s="513"/>
      <c r="W237" s="513"/>
    </row>
    <row r="238" spans="18:23" ht="16">
      <c r="R238" s="514">
        <v>45586</v>
      </c>
      <c r="S238" s="516">
        <v>18.079999999999998</v>
      </c>
      <c r="T238" s="515">
        <v>1788000</v>
      </c>
      <c r="U238" s="513"/>
      <c r="W238" s="513"/>
    </row>
    <row r="239" spans="18:23" ht="16">
      <c r="R239" s="514">
        <v>45583</v>
      </c>
      <c r="S239" s="516">
        <v>18.579999999999998</v>
      </c>
      <c r="T239" s="515">
        <v>2168100</v>
      </c>
      <c r="U239" s="513"/>
      <c r="W239" s="513"/>
    </row>
    <row r="240" spans="18:23" ht="16">
      <c r="R240" s="514">
        <v>45582</v>
      </c>
      <c r="S240" s="516">
        <v>18.29</v>
      </c>
      <c r="T240" s="515">
        <v>2875100</v>
      </c>
      <c r="U240" s="513"/>
      <c r="W240" s="513"/>
    </row>
    <row r="241" spans="18:23" ht="16">
      <c r="R241" s="514">
        <v>45581</v>
      </c>
      <c r="S241" s="516">
        <v>19</v>
      </c>
      <c r="T241" s="515">
        <v>3484200</v>
      </c>
      <c r="U241" s="513"/>
      <c r="W241" s="513"/>
    </row>
    <row r="242" spans="18:23" ht="16">
      <c r="R242" s="514">
        <v>45580</v>
      </c>
      <c r="S242" s="516">
        <v>17.7</v>
      </c>
      <c r="T242" s="515">
        <v>1440200</v>
      </c>
      <c r="U242" s="513"/>
      <c r="W242" s="513"/>
    </row>
    <row r="243" spans="18:23" ht="16">
      <c r="R243" s="514">
        <v>45579</v>
      </c>
      <c r="S243" s="516">
        <v>17.760000000000002</v>
      </c>
      <c r="T243" s="515">
        <v>1426600</v>
      </c>
      <c r="U243" s="513"/>
      <c r="W243" s="513"/>
    </row>
    <row r="244" spans="18:23" ht="16">
      <c r="R244" s="514">
        <v>45576</v>
      </c>
      <c r="S244" s="516">
        <v>17.809999999999999</v>
      </c>
      <c r="T244" s="515">
        <v>1942000</v>
      </c>
      <c r="U244" s="513"/>
      <c r="W244" s="513"/>
    </row>
    <row r="245" spans="18:23" ht="16">
      <c r="R245" s="514">
        <v>45575</v>
      </c>
      <c r="S245" s="516">
        <v>17.37</v>
      </c>
      <c r="T245" s="515">
        <v>1390600</v>
      </c>
      <c r="U245" s="513"/>
      <c r="W245" s="513"/>
    </row>
    <row r="246" spans="18:23" ht="16">
      <c r="R246" s="514">
        <v>45574</v>
      </c>
      <c r="S246" s="516">
        <v>17.149999999999999</v>
      </c>
      <c r="T246" s="515">
        <v>2572600</v>
      </c>
      <c r="U246" s="513"/>
      <c r="W246" s="513"/>
    </row>
    <row r="247" spans="18:23" ht="16">
      <c r="R247" s="514">
        <v>45573</v>
      </c>
      <c r="S247" s="516">
        <v>17</v>
      </c>
      <c r="T247" s="515">
        <v>3182900</v>
      </c>
      <c r="U247" s="513"/>
      <c r="W247" s="513"/>
    </row>
    <row r="248" spans="18:23" ht="16">
      <c r="R248" s="514">
        <v>45572</v>
      </c>
      <c r="S248" s="516">
        <v>17.84</v>
      </c>
      <c r="T248" s="515">
        <v>2687600</v>
      </c>
      <c r="U248" s="513"/>
      <c r="W248" s="513"/>
    </row>
    <row r="249" spans="18:23" ht="16">
      <c r="R249" s="514">
        <v>45569</v>
      </c>
      <c r="S249" s="516">
        <v>17.38</v>
      </c>
      <c r="T249" s="515">
        <v>2314000</v>
      </c>
      <c r="U249" s="513"/>
      <c r="W249" s="513"/>
    </row>
    <row r="250" spans="18:23" ht="16">
      <c r="R250" s="514">
        <v>45568</v>
      </c>
      <c r="S250" s="516">
        <v>16.96</v>
      </c>
      <c r="T250" s="515">
        <v>3000700</v>
      </c>
      <c r="U250" s="513"/>
      <c r="W250" s="513"/>
    </row>
    <row r="251" spans="18:23" ht="16">
      <c r="R251" s="514">
        <v>45567</v>
      </c>
      <c r="S251" s="516">
        <v>16.96</v>
      </c>
      <c r="T251" s="515">
        <v>3455400</v>
      </c>
      <c r="U251" s="513"/>
      <c r="W251" s="513"/>
    </row>
    <row r="252" spans="18:23" ht="16">
      <c r="R252" s="514">
        <v>45566</v>
      </c>
      <c r="S252" s="516">
        <v>17.54</v>
      </c>
      <c r="T252" s="515">
        <v>2826600</v>
      </c>
      <c r="U252" s="513"/>
      <c r="W252" s="513"/>
    </row>
    <row r="253" spans="18:23" ht="16">
      <c r="R253" s="514">
        <v>45565</v>
      </c>
      <c r="S253" s="516">
        <v>17.649999999999999</v>
      </c>
      <c r="T253" s="515">
        <v>5312900</v>
      </c>
      <c r="U253" s="513"/>
      <c r="W253" s="513"/>
    </row>
    <row r="254" spans="18:23" ht="16">
      <c r="R254" s="514">
        <v>45562</v>
      </c>
      <c r="S254" s="516">
        <v>18.39</v>
      </c>
      <c r="T254" s="515">
        <v>5510400</v>
      </c>
      <c r="U254" s="513"/>
      <c r="W254" s="513"/>
    </row>
    <row r="255" spans="18:23" ht="16">
      <c r="R255" s="514">
        <v>45561</v>
      </c>
      <c r="S255" s="516">
        <v>16.899999999999999</v>
      </c>
      <c r="T255" s="515">
        <v>3962800</v>
      </c>
      <c r="U255" s="513"/>
      <c r="W255" s="513"/>
    </row>
    <row r="256" spans="18:23" ht="16">
      <c r="R256" s="514">
        <v>45560</v>
      </c>
      <c r="S256" s="516">
        <v>16.16</v>
      </c>
      <c r="T256" s="515">
        <v>5652500</v>
      </c>
      <c r="U256" s="513"/>
      <c r="W256" s="513"/>
    </row>
    <row r="257" spans="18:23" ht="16">
      <c r="R257" s="514">
        <v>45559</v>
      </c>
      <c r="S257" s="516">
        <v>16</v>
      </c>
      <c r="T257" s="515">
        <v>8498400</v>
      </c>
      <c r="U257" s="513"/>
      <c r="W257" s="513"/>
    </row>
    <row r="258" spans="18:23" ht="16">
      <c r="R258" s="514">
        <v>45558</v>
      </c>
      <c r="S258" s="516">
        <v>14.23</v>
      </c>
      <c r="T258" s="515">
        <v>3417600</v>
      </c>
      <c r="U258" s="513"/>
      <c r="W258" s="513"/>
    </row>
    <row r="259" spans="18:23" ht="16">
      <c r="R259" s="514">
        <v>45555</v>
      </c>
      <c r="S259" s="516">
        <v>13.89</v>
      </c>
      <c r="T259" s="515">
        <v>26011200</v>
      </c>
      <c r="U259" s="513"/>
      <c r="W259" s="513"/>
    </row>
    <row r="260" spans="18:23" ht="16">
      <c r="R260" s="514">
        <v>45554</v>
      </c>
      <c r="S260" s="516">
        <v>14.2</v>
      </c>
      <c r="T260" s="515">
        <v>2753800</v>
      </c>
      <c r="U260" s="513"/>
      <c r="W260" s="513"/>
    </row>
    <row r="261" spans="18:23" ht="16">
      <c r="R261" s="514">
        <v>45553</v>
      </c>
      <c r="S261" s="516">
        <v>14.12</v>
      </c>
      <c r="T261" s="515">
        <v>2927200</v>
      </c>
      <c r="U261" s="513"/>
      <c r="W261" s="513"/>
    </row>
    <row r="262" spans="18:23" ht="16">
      <c r="R262" s="514">
        <v>45552</v>
      </c>
      <c r="S262" s="516">
        <v>14.21</v>
      </c>
      <c r="T262" s="515">
        <v>2563100</v>
      </c>
      <c r="U262" s="513"/>
      <c r="W262" s="513"/>
    </row>
    <row r="263" spans="18:23" ht="16">
      <c r="R263" s="514">
        <v>45551</v>
      </c>
      <c r="S263" s="516">
        <v>14.01</v>
      </c>
      <c r="T263" s="515">
        <v>1940400</v>
      </c>
      <c r="U263" s="513"/>
      <c r="W263" s="513"/>
    </row>
    <row r="264" spans="18:23" ht="16">
      <c r="R264" s="514">
        <v>45548</v>
      </c>
      <c r="S264" s="516">
        <v>13.8</v>
      </c>
      <c r="T264" s="515">
        <v>2457200</v>
      </c>
      <c r="U264" s="513"/>
      <c r="W264" s="513"/>
    </row>
    <row r="265" spans="18:23" ht="16">
      <c r="R265" s="514">
        <v>45547</v>
      </c>
      <c r="S265" s="516">
        <v>13.79</v>
      </c>
      <c r="T265" s="515">
        <v>2690100</v>
      </c>
      <c r="U265" s="513"/>
      <c r="W265" s="513"/>
    </row>
    <row r="266" spans="18:23" ht="16">
      <c r="R266" s="514">
        <v>45546</v>
      </c>
      <c r="S266" s="516">
        <v>13.84</v>
      </c>
      <c r="T266" s="515">
        <v>2989800</v>
      </c>
      <c r="U266" s="513"/>
      <c r="W266" s="513"/>
    </row>
    <row r="267" spans="18:23" ht="16">
      <c r="R267" s="514">
        <v>45545</v>
      </c>
      <c r="S267" s="516">
        <v>13.86</v>
      </c>
      <c r="T267" s="515">
        <v>2549400</v>
      </c>
      <c r="U267" s="513"/>
      <c r="W267" s="513"/>
    </row>
    <row r="268" spans="18:23" ht="16">
      <c r="R268" s="514">
        <v>45544</v>
      </c>
      <c r="S268" s="516">
        <v>13.59</v>
      </c>
      <c r="T268" s="515">
        <v>3627100</v>
      </c>
      <c r="U268" s="513"/>
      <c r="W268" s="513"/>
    </row>
    <row r="269" spans="18:23" ht="16">
      <c r="R269" s="514">
        <v>45541</v>
      </c>
      <c r="S269" s="516">
        <v>13.91</v>
      </c>
      <c r="T269" s="515">
        <v>3326200</v>
      </c>
      <c r="U269" s="513"/>
      <c r="W269" s="513"/>
    </row>
    <row r="270" spans="18:23" ht="16">
      <c r="R270" s="514">
        <v>45540</v>
      </c>
      <c r="S270" s="516">
        <v>13.69</v>
      </c>
      <c r="T270" s="515">
        <v>2679200</v>
      </c>
      <c r="U270" s="513"/>
      <c r="W270" s="513"/>
    </row>
    <row r="271" spans="18:23" ht="16">
      <c r="R271" s="514">
        <v>45539</v>
      </c>
      <c r="S271" s="516">
        <v>13.97</v>
      </c>
      <c r="T271" s="515">
        <v>4766100</v>
      </c>
      <c r="U271" s="513"/>
      <c r="W271" s="513"/>
    </row>
    <row r="272" spans="18:23" ht="16">
      <c r="R272" s="514">
        <v>45538</v>
      </c>
      <c r="S272" s="516">
        <v>12.96</v>
      </c>
      <c r="T272" s="515">
        <v>3586300</v>
      </c>
      <c r="U272" s="513"/>
      <c r="W272" s="513"/>
    </row>
    <row r="273" spans="18:23" ht="16">
      <c r="R273" s="514">
        <v>45534</v>
      </c>
      <c r="S273" s="516">
        <v>12.9</v>
      </c>
      <c r="T273" s="515">
        <v>2925000</v>
      </c>
      <c r="U273" s="513"/>
      <c r="W273" s="513"/>
    </row>
    <row r="274" spans="18:23" ht="16">
      <c r="R274" s="514">
        <v>45533</v>
      </c>
      <c r="S274" s="516">
        <v>12.9</v>
      </c>
      <c r="T274" s="515">
        <v>1821600</v>
      </c>
      <c r="U274" s="513"/>
      <c r="W274" s="513"/>
    </row>
    <row r="275" spans="18:23" ht="16">
      <c r="R275" s="514">
        <v>45532</v>
      </c>
      <c r="S275" s="516">
        <v>12.5</v>
      </c>
      <c r="T275" s="515">
        <v>2005200</v>
      </c>
      <c r="U275" s="513"/>
      <c r="W275" s="513"/>
    </row>
    <row r="276" spans="18:23" ht="16">
      <c r="R276" s="514">
        <v>45531</v>
      </c>
      <c r="S276" s="516">
        <v>12.8</v>
      </c>
      <c r="T276" s="515">
        <v>1565600</v>
      </c>
      <c r="U276" s="513"/>
      <c r="W276" s="513"/>
    </row>
    <row r="277" spans="18:23" ht="16">
      <c r="R277" s="514">
        <v>45530</v>
      </c>
      <c r="S277" s="516">
        <v>12.9</v>
      </c>
      <c r="T277" s="515">
        <v>1996000</v>
      </c>
      <c r="U277" s="513"/>
      <c r="W277" s="513"/>
    </row>
    <row r="278" spans="18:23" ht="16">
      <c r="R278" s="514">
        <v>45527</v>
      </c>
      <c r="S278" s="516">
        <v>12.95</v>
      </c>
      <c r="T278" s="515">
        <v>2032300</v>
      </c>
      <c r="U278" s="513"/>
      <c r="W278" s="513"/>
    </row>
    <row r="279" spans="18:23" ht="16">
      <c r="R279" s="514">
        <v>45526</v>
      </c>
      <c r="S279" s="516">
        <v>12.48</v>
      </c>
      <c r="T279" s="515">
        <v>1955200</v>
      </c>
      <c r="U279" s="513"/>
      <c r="W279" s="513"/>
    </row>
    <row r="280" spans="18:23" ht="16">
      <c r="R280" s="514">
        <v>45525</v>
      </c>
      <c r="S280" s="516">
        <v>13.18</v>
      </c>
      <c r="T280" s="515">
        <v>2654200</v>
      </c>
      <c r="U280" s="513"/>
      <c r="W280" s="513"/>
    </row>
    <row r="281" spans="18:23" ht="16">
      <c r="R281" s="514">
        <v>45524</v>
      </c>
      <c r="S281" s="516">
        <v>12.31</v>
      </c>
      <c r="T281" s="515">
        <v>1653200</v>
      </c>
      <c r="U281" s="513"/>
      <c r="W281" s="513"/>
    </row>
    <row r="282" spans="18:23" ht="16">
      <c r="R282" s="514">
        <v>45523</v>
      </c>
      <c r="S282" s="516">
        <v>12.47</v>
      </c>
      <c r="T282" s="515">
        <v>1960400</v>
      </c>
      <c r="U282" s="513"/>
      <c r="W282" s="513"/>
    </row>
    <row r="283" spans="18:23" ht="16">
      <c r="R283" s="514">
        <v>45520</v>
      </c>
      <c r="S283" s="516">
        <v>11.89</v>
      </c>
      <c r="T283" s="515">
        <v>1700200</v>
      </c>
      <c r="U283" s="513"/>
      <c r="W283" s="513"/>
    </row>
    <row r="284" spans="18:23" ht="16">
      <c r="R284" s="514">
        <v>45519</v>
      </c>
      <c r="S284" s="516">
        <v>12.35</v>
      </c>
      <c r="T284" s="515">
        <v>2663000</v>
      </c>
      <c r="U284" s="513"/>
      <c r="W284" s="513"/>
    </row>
    <row r="285" spans="18:23" ht="16">
      <c r="R285" s="514">
        <v>45518</v>
      </c>
      <c r="S285" s="516">
        <v>11.6</v>
      </c>
      <c r="T285" s="515">
        <v>2504700</v>
      </c>
      <c r="U285" s="513"/>
      <c r="W285" s="513"/>
    </row>
    <row r="286" spans="18:23" ht="16">
      <c r="R286" s="514">
        <v>45517</v>
      </c>
      <c r="S286" s="516">
        <v>11.44</v>
      </c>
      <c r="T286" s="515">
        <v>1912400</v>
      </c>
      <c r="U286" s="513"/>
      <c r="W286" s="513"/>
    </row>
    <row r="287" spans="18:23" ht="16">
      <c r="R287" s="514">
        <v>45516</v>
      </c>
      <c r="S287" s="516">
        <v>11.14</v>
      </c>
      <c r="T287" s="515">
        <v>2707500</v>
      </c>
      <c r="U287" s="513"/>
      <c r="W287" s="513"/>
    </row>
    <row r="288" spans="18:23" ht="16">
      <c r="R288" s="514">
        <v>45513</v>
      </c>
      <c r="S288" s="516">
        <v>11.14</v>
      </c>
      <c r="T288" s="515">
        <v>2872100</v>
      </c>
      <c r="U288" s="513"/>
      <c r="W288" s="513"/>
    </row>
    <row r="289" spans="18:23" ht="16">
      <c r="R289" s="514">
        <v>45512</v>
      </c>
      <c r="S289" s="516">
        <v>10.97</v>
      </c>
      <c r="T289" s="515">
        <v>2782500</v>
      </c>
      <c r="U289" s="513"/>
      <c r="W289" s="513"/>
    </row>
    <row r="290" spans="18:23" ht="16">
      <c r="R290" s="514">
        <v>45511</v>
      </c>
      <c r="S290" s="516">
        <v>10.49</v>
      </c>
      <c r="T290" s="515">
        <v>4200900</v>
      </c>
      <c r="U290" s="513"/>
      <c r="W290" s="513"/>
    </row>
    <row r="291" spans="18:23" ht="16">
      <c r="R291" s="514">
        <v>45510</v>
      </c>
      <c r="S291" s="516">
        <v>10.98</v>
      </c>
      <c r="T291" s="515">
        <v>4718000</v>
      </c>
      <c r="U291" s="513"/>
      <c r="W291" s="513"/>
    </row>
    <row r="292" spans="18:23" ht="16">
      <c r="R292" s="514">
        <v>45509</v>
      </c>
      <c r="S292" s="516">
        <v>10.52</v>
      </c>
      <c r="T292" s="515">
        <v>6829900</v>
      </c>
      <c r="U292" s="513"/>
      <c r="W292" s="513"/>
    </row>
    <row r="293" spans="18:23" ht="16">
      <c r="R293" s="514">
        <v>45506</v>
      </c>
      <c r="S293" s="516">
        <v>11.17</v>
      </c>
      <c r="T293" s="515">
        <v>8501100</v>
      </c>
      <c r="U293" s="513"/>
      <c r="W293" s="513"/>
    </row>
    <row r="294" spans="18:23" ht="16">
      <c r="R294" s="514">
        <v>45505</v>
      </c>
      <c r="S294" s="516">
        <v>12.68</v>
      </c>
      <c r="T294" s="515">
        <v>3655400</v>
      </c>
      <c r="U294" s="513"/>
      <c r="W294" s="513"/>
    </row>
    <row r="295" spans="18:23" ht="16">
      <c r="R295" s="514">
        <v>45504</v>
      </c>
      <c r="S295" s="516">
        <v>13.52</v>
      </c>
      <c r="T295" s="515">
        <v>2251400</v>
      </c>
      <c r="U295" s="513"/>
      <c r="W295" s="513"/>
    </row>
    <row r="296" spans="18:23" ht="16">
      <c r="R296" s="514">
        <v>45503</v>
      </c>
      <c r="S296" s="516">
        <v>13.18</v>
      </c>
      <c r="T296" s="515">
        <v>1422200</v>
      </c>
      <c r="U296" s="513"/>
      <c r="W296" s="513"/>
    </row>
    <row r="297" spans="18:23" ht="16">
      <c r="R297" s="514">
        <v>45502</v>
      </c>
      <c r="S297" s="516">
        <v>13.43</v>
      </c>
      <c r="T297" s="515">
        <v>1579400</v>
      </c>
      <c r="U297" s="513"/>
      <c r="W297" s="513"/>
    </row>
    <row r="298" spans="18:23" ht="16">
      <c r="R298" s="514">
        <v>45499</v>
      </c>
      <c r="S298" s="516">
        <v>13.9</v>
      </c>
      <c r="T298" s="515">
        <v>1403000</v>
      </c>
      <c r="U298" s="513"/>
      <c r="W298" s="513"/>
    </row>
    <row r="299" spans="18:23" ht="16">
      <c r="R299" s="514">
        <v>45498</v>
      </c>
      <c r="S299" s="516">
        <v>13.8</v>
      </c>
      <c r="T299" s="515">
        <v>2021600</v>
      </c>
      <c r="U299" s="513"/>
      <c r="W299" s="513"/>
    </row>
    <row r="300" spans="18:23" ht="16">
      <c r="R300" s="514">
        <v>45497</v>
      </c>
      <c r="S300" s="516">
        <v>13.73</v>
      </c>
      <c r="T300" s="515">
        <v>1986900</v>
      </c>
      <c r="U300" s="513"/>
      <c r="W300" s="513"/>
    </row>
    <row r="301" spans="18:23" ht="16">
      <c r="R301" s="514">
        <v>45496</v>
      </c>
      <c r="S301" s="516">
        <v>14.1</v>
      </c>
      <c r="T301" s="515">
        <v>1509500</v>
      </c>
      <c r="U301" s="513"/>
      <c r="W301" s="513"/>
    </row>
    <row r="302" spans="18:23" ht="16">
      <c r="R302" s="514">
        <v>45495</v>
      </c>
      <c r="S302" s="516">
        <v>14.24</v>
      </c>
      <c r="T302" s="515">
        <v>2693900</v>
      </c>
      <c r="U302" s="513"/>
      <c r="W302" s="513"/>
    </row>
    <row r="303" spans="18:23" ht="16">
      <c r="R303" s="514">
        <v>45492</v>
      </c>
      <c r="S303" s="516">
        <v>14.29</v>
      </c>
      <c r="T303" s="515">
        <v>1932300</v>
      </c>
      <c r="U303" s="513"/>
      <c r="W303" s="513"/>
    </row>
    <row r="304" spans="18:23" ht="16">
      <c r="R304" s="514">
        <v>45491</v>
      </c>
      <c r="S304" s="516">
        <v>14.47</v>
      </c>
      <c r="T304" s="515">
        <v>2042700</v>
      </c>
      <c r="U304" s="513"/>
      <c r="W304" s="513"/>
    </row>
    <row r="305" spans="18:23" ht="16">
      <c r="R305" s="514">
        <v>45490</v>
      </c>
      <c r="S305" s="516">
        <v>15.11</v>
      </c>
      <c r="T305" s="515">
        <v>2189700</v>
      </c>
      <c r="U305" s="513"/>
      <c r="W305" s="513"/>
    </row>
    <row r="306" spans="18:23" ht="16">
      <c r="R306" s="514">
        <v>45489</v>
      </c>
      <c r="S306" s="516">
        <v>15.28</v>
      </c>
      <c r="T306" s="515">
        <v>1431100</v>
      </c>
      <c r="U306" s="513"/>
      <c r="W306" s="513"/>
    </row>
    <row r="307" spans="18:23" ht="16">
      <c r="R307" s="514">
        <v>45488</v>
      </c>
      <c r="S307" s="516">
        <v>15.3</v>
      </c>
      <c r="T307" s="515">
        <v>3286600</v>
      </c>
      <c r="U307" s="513"/>
      <c r="W307" s="513"/>
    </row>
    <row r="308" spans="18:23" ht="16">
      <c r="R308" s="514">
        <v>45485</v>
      </c>
      <c r="S308" s="516">
        <v>15.62</v>
      </c>
      <c r="T308" s="515">
        <v>2828800</v>
      </c>
      <c r="U308" s="513"/>
      <c r="W308" s="513"/>
    </row>
    <row r="309" spans="18:23" ht="16">
      <c r="R309" s="514">
        <v>45484</v>
      </c>
      <c r="S309" s="516">
        <v>14.88</v>
      </c>
      <c r="T309" s="515">
        <v>2510500</v>
      </c>
      <c r="U309" s="513"/>
      <c r="W309" s="513"/>
    </row>
    <row r="310" spans="18:23" ht="16">
      <c r="R310" s="514">
        <v>45483</v>
      </c>
      <c r="S310" s="516">
        <v>14.33</v>
      </c>
      <c r="T310" s="515">
        <v>1763700</v>
      </c>
      <c r="U310" s="513"/>
      <c r="W310" s="513"/>
    </row>
    <row r="311" spans="18:23" ht="16">
      <c r="R311" s="514">
        <v>45482</v>
      </c>
      <c r="S311" s="516">
        <v>14.24</v>
      </c>
      <c r="T311" s="515">
        <v>1675900</v>
      </c>
      <c r="U311" s="513"/>
      <c r="W311" s="513"/>
    </row>
    <row r="312" spans="18:23" ht="16">
      <c r="R312" s="514">
        <v>45481</v>
      </c>
      <c r="S312" s="516">
        <v>14.22</v>
      </c>
      <c r="T312" s="515">
        <v>2018800</v>
      </c>
      <c r="U312" s="513"/>
      <c r="W312" s="513"/>
    </row>
    <row r="313" spans="18:23" ht="16">
      <c r="R313" s="514">
        <v>45478</v>
      </c>
      <c r="S313" s="516">
        <v>14.07</v>
      </c>
      <c r="T313" s="515">
        <v>1971700</v>
      </c>
      <c r="U313" s="513"/>
      <c r="W313" s="513"/>
    </row>
    <row r="314" spans="18:23" ht="16">
      <c r="R314" s="514">
        <v>45476</v>
      </c>
      <c r="S314" s="516">
        <v>14.16</v>
      </c>
      <c r="T314" s="515">
        <v>2538600</v>
      </c>
      <c r="U314" s="513"/>
      <c r="W314" s="513"/>
    </row>
    <row r="315" spans="18:23" ht="16">
      <c r="R315" s="514">
        <v>45475</v>
      </c>
      <c r="S315" s="516">
        <v>13.74</v>
      </c>
      <c r="T315" s="515">
        <v>4159200</v>
      </c>
      <c r="U315" s="513"/>
      <c r="W315" s="513"/>
    </row>
    <row r="316" spans="18:23" ht="16">
      <c r="R316" s="514">
        <v>45474</v>
      </c>
      <c r="S316" s="516">
        <v>12.8</v>
      </c>
      <c r="T316" s="515">
        <v>4093800</v>
      </c>
      <c r="U316" s="513"/>
      <c r="W316" s="513"/>
    </row>
    <row r="317" spans="18:23" ht="16">
      <c r="R317" s="514">
        <v>45471</v>
      </c>
      <c r="S317" s="516">
        <v>12.73</v>
      </c>
      <c r="T317" s="515">
        <v>4165400</v>
      </c>
      <c r="U317" s="513"/>
      <c r="W317" s="513"/>
    </row>
    <row r="318" spans="18:23" ht="16">
      <c r="R318" s="514">
        <v>45470</v>
      </c>
      <c r="S318" s="516">
        <v>12.85</v>
      </c>
      <c r="T318" s="515">
        <v>2782000</v>
      </c>
      <c r="U318" s="513"/>
      <c r="W318" s="513"/>
    </row>
    <row r="319" spans="18:23" ht="16">
      <c r="R319" s="514">
        <v>45469</v>
      </c>
      <c r="S319" s="516">
        <v>12.59</v>
      </c>
      <c r="T319" s="515">
        <v>3858700</v>
      </c>
      <c r="U319" s="513"/>
      <c r="W319" s="513"/>
    </row>
    <row r="320" spans="18:23" ht="16">
      <c r="R320" s="514">
        <v>45468</v>
      </c>
      <c r="S320" s="516">
        <v>12.28</v>
      </c>
      <c r="T320" s="515">
        <v>6088400</v>
      </c>
      <c r="U320" s="513"/>
      <c r="W320" s="513"/>
    </row>
    <row r="321" spans="18:23" ht="16">
      <c r="R321" s="514">
        <v>45467</v>
      </c>
      <c r="S321" s="516">
        <v>13.39</v>
      </c>
      <c r="T321" s="515">
        <v>3039300</v>
      </c>
      <c r="U321" s="513"/>
      <c r="W321" s="513"/>
    </row>
    <row r="322" spans="18:23" ht="16">
      <c r="R322" s="514">
        <v>45464</v>
      </c>
      <c r="S322" s="516">
        <v>13.68</v>
      </c>
      <c r="T322" s="515">
        <v>7092800</v>
      </c>
      <c r="U322" s="513"/>
      <c r="W322" s="513"/>
    </row>
    <row r="323" spans="18:23" ht="16">
      <c r="R323" s="514">
        <v>45463</v>
      </c>
      <c r="S323" s="516">
        <v>13.67</v>
      </c>
      <c r="T323" s="515">
        <v>3307400</v>
      </c>
      <c r="U323" s="513"/>
      <c r="W323" s="513"/>
    </row>
    <row r="324" spans="18:23" ht="16">
      <c r="R324" s="514">
        <v>45461</v>
      </c>
      <c r="S324" s="516">
        <v>13.4</v>
      </c>
      <c r="T324" s="515">
        <v>3356900</v>
      </c>
      <c r="U324" s="513"/>
      <c r="W324" s="513"/>
    </row>
    <row r="325" spans="18:23" ht="16">
      <c r="R325" s="514">
        <v>45460</v>
      </c>
      <c r="S325" s="516">
        <v>13.33</v>
      </c>
      <c r="T325" s="515">
        <v>4035700</v>
      </c>
      <c r="U325" s="513"/>
      <c r="W325" s="513"/>
    </row>
    <row r="326" spans="18:23" ht="16">
      <c r="R326" s="514">
        <v>45457</v>
      </c>
      <c r="S326" s="516">
        <v>13.64</v>
      </c>
      <c r="T326" s="515">
        <v>3291400</v>
      </c>
      <c r="U326" s="513"/>
      <c r="W326" s="513"/>
    </row>
    <row r="327" spans="18:23" ht="16">
      <c r="R327" s="514">
        <v>45456</v>
      </c>
      <c r="S327" s="516">
        <v>14.07</v>
      </c>
      <c r="T327" s="515">
        <v>3156900</v>
      </c>
      <c r="U327" s="513"/>
      <c r="W327" s="513"/>
    </row>
    <row r="328" spans="18:23" ht="16">
      <c r="R328" s="514">
        <v>45455</v>
      </c>
      <c r="S328" s="516">
        <v>14.64</v>
      </c>
      <c r="T328" s="515">
        <v>2140500</v>
      </c>
      <c r="U328" s="513"/>
      <c r="W328" s="513"/>
    </row>
    <row r="329" spans="18:23" ht="16">
      <c r="R329" s="514">
        <v>45454</v>
      </c>
      <c r="S329" s="516">
        <v>14.49</v>
      </c>
      <c r="T329" s="515">
        <v>3053800</v>
      </c>
      <c r="U329" s="513"/>
      <c r="W329" s="513"/>
    </row>
    <row r="330" spans="18:23" ht="16">
      <c r="R330" s="514">
        <v>45453</v>
      </c>
      <c r="S330" s="516">
        <v>14.99</v>
      </c>
      <c r="T330" s="515">
        <v>2136000</v>
      </c>
      <c r="U330" s="513"/>
      <c r="W330" s="513"/>
    </row>
    <row r="331" spans="18:23" ht="16">
      <c r="R331" s="514">
        <v>45450</v>
      </c>
      <c r="S331" s="516">
        <v>14.84</v>
      </c>
      <c r="T331" s="515">
        <v>2631700</v>
      </c>
      <c r="U331" s="513"/>
      <c r="W331" s="513"/>
    </row>
    <row r="332" spans="18:23" ht="16">
      <c r="R332" s="514">
        <v>45449</v>
      </c>
      <c r="S332" s="516">
        <v>15.25</v>
      </c>
      <c r="T332" s="515">
        <v>1853700</v>
      </c>
      <c r="U332" s="513"/>
      <c r="W332" s="513"/>
    </row>
    <row r="333" spans="18:23" ht="16">
      <c r="R333" s="514">
        <v>45448</v>
      </c>
      <c r="S333" s="516">
        <v>15.43</v>
      </c>
      <c r="T333" s="515">
        <v>1997900</v>
      </c>
      <c r="U333" s="513"/>
      <c r="W333" s="513"/>
    </row>
    <row r="334" spans="18:23" ht="16">
      <c r="R334" s="514">
        <v>45447</v>
      </c>
      <c r="S334" s="516">
        <v>15.41</v>
      </c>
      <c r="T334" s="515">
        <v>3035000</v>
      </c>
      <c r="U334" s="513"/>
      <c r="W334" s="513"/>
    </row>
    <row r="335" spans="18:23" ht="16">
      <c r="R335" s="514">
        <v>45446</v>
      </c>
      <c r="S335" s="516">
        <v>16.13</v>
      </c>
      <c r="T335" s="515">
        <v>2112100</v>
      </c>
      <c r="U335" s="513"/>
      <c r="W335" s="513"/>
    </row>
    <row r="336" spans="18:23" ht="16">
      <c r="R336" s="514">
        <v>45443</v>
      </c>
      <c r="S336" s="516">
        <v>16.22</v>
      </c>
      <c r="T336" s="515">
        <v>2404800</v>
      </c>
      <c r="U336" s="513"/>
      <c r="W336" s="513"/>
    </row>
    <row r="337" spans="18:23" ht="16">
      <c r="R337" s="514">
        <v>45442</v>
      </c>
      <c r="S337" s="516">
        <v>15.97</v>
      </c>
      <c r="T337" s="515">
        <v>2039400</v>
      </c>
      <c r="U337" s="513"/>
      <c r="W337" s="513"/>
    </row>
    <row r="338" spans="18:23" ht="16">
      <c r="R338" s="514">
        <v>45441</v>
      </c>
      <c r="S338" s="516">
        <v>15.77</v>
      </c>
      <c r="T338" s="515">
        <v>3277000</v>
      </c>
      <c r="U338" s="513"/>
      <c r="W338" s="513"/>
    </row>
    <row r="339" spans="18:23" ht="16">
      <c r="R339" s="514">
        <v>45440</v>
      </c>
      <c r="S339" s="516">
        <v>16.7</v>
      </c>
      <c r="T339" s="515">
        <v>2559200</v>
      </c>
      <c r="U339" s="513"/>
      <c r="W339" s="513"/>
    </row>
    <row r="340" spans="18:23" ht="16">
      <c r="R340" s="514">
        <v>45436</v>
      </c>
      <c r="S340" s="516">
        <v>17.14</v>
      </c>
      <c r="T340" s="515">
        <v>1339800</v>
      </c>
      <c r="U340" s="513"/>
      <c r="W340" s="513"/>
    </row>
    <row r="341" spans="18:23" ht="16">
      <c r="R341" s="514">
        <v>45435</v>
      </c>
      <c r="S341" s="516">
        <v>16.88</v>
      </c>
      <c r="T341" s="515">
        <v>2974600</v>
      </c>
      <c r="U341" s="513"/>
      <c r="W341" s="513"/>
    </row>
    <row r="342" spans="18:23" ht="16">
      <c r="R342" s="514">
        <v>45434</v>
      </c>
      <c r="S342" s="516">
        <v>17.54</v>
      </c>
      <c r="T342" s="515">
        <v>2594900</v>
      </c>
      <c r="U342" s="513"/>
      <c r="W342" s="513"/>
    </row>
    <row r="343" spans="18:23" ht="16">
      <c r="R343" s="514">
        <v>45433</v>
      </c>
      <c r="S343" s="516">
        <v>17.670000000000002</v>
      </c>
      <c r="T343" s="515">
        <v>2204800</v>
      </c>
      <c r="U343" s="513"/>
      <c r="W343" s="513"/>
    </row>
    <row r="344" spans="18:23" ht="16">
      <c r="R344" s="514">
        <v>45432</v>
      </c>
      <c r="S344" s="516">
        <v>18.02</v>
      </c>
      <c r="T344" s="515">
        <v>3982100</v>
      </c>
      <c r="U344" s="513"/>
      <c r="W344" s="513"/>
    </row>
    <row r="345" spans="18:23" ht="16">
      <c r="R345" s="514">
        <v>45429</v>
      </c>
      <c r="S345" s="516">
        <v>18.25</v>
      </c>
      <c r="T345" s="515">
        <v>3116900</v>
      </c>
      <c r="U345" s="513"/>
      <c r="W345" s="513"/>
    </row>
    <row r="346" spans="18:23" ht="16">
      <c r="R346" s="514">
        <v>45428</v>
      </c>
      <c r="S346" s="516">
        <v>18.079999999999998</v>
      </c>
      <c r="T346" s="515">
        <v>3177000</v>
      </c>
      <c r="U346" s="513"/>
      <c r="W346" s="513"/>
    </row>
    <row r="347" spans="18:23" ht="16">
      <c r="R347" s="514">
        <v>45427</v>
      </c>
      <c r="S347" s="516">
        <v>17.93</v>
      </c>
      <c r="T347" s="515">
        <v>5285200</v>
      </c>
      <c r="U347" s="513"/>
      <c r="W347" s="513"/>
    </row>
    <row r="348" spans="18:23" ht="16">
      <c r="R348" s="514">
        <v>45426</v>
      </c>
      <c r="S348" s="516">
        <v>18.420000000000002</v>
      </c>
      <c r="T348" s="515">
        <v>7338400</v>
      </c>
      <c r="U348" s="513"/>
      <c r="W348" s="513"/>
    </row>
    <row r="349" spans="18:23" ht="16">
      <c r="R349" s="514">
        <v>45425</v>
      </c>
      <c r="S349" s="516">
        <v>16.350000000000001</v>
      </c>
      <c r="T349" s="515">
        <v>3544200</v>
      </c>
      <c r="U349" s="513"/>
      <c r="W349" s="513"/>
    </row>
    <row r="350" spans="18:23" ht="16">
      <c r="R350" s="514">
        <v>45422</v>
      </c>
      <c r="S350" s="516">
        <v>16.13</v>
      </c>
      <c r="T350" s="515">
        <v>3927900</v>
      </c>
      <c r="U350" s="513"/>
      <c r="W350" s="513"/>
    </row>
    <row r="351" spans="18:23" ht="16">
      <c r="R351" s="514">
        <v>45421</v>
      </c>
      <c r="S351" s="516">
        <v>16.32</v>
      </c>
      <c r="T351" s="515">
        <v>2303600</v>
      </c>
      <c r="U351" s="513"/>
      <c r="W351" s="513"/>
    </row>
    <row r="352" spans="18:23" ht="16">
      <c r="R352" s="514">
        <v>45420</v>
      </c>
      <c r="S352" s="516">
        <v>15.64</v>
      </c>
      <c r="T352" s="515">
        <v>2178700</v>
      </c>
      <c r="U352" s="513"/>
      <c r="W352" s="513"/>
    </row>
    <row r="353" spans="18:23" ht="16">
      <c r="R353" s="514">
        <v>45419</v>
      </c>
      <c r="S353" s="516">
        <v>16.2</v>
      </c>
      <c r="T353" s="515">
        <v>2691200</v>
      </c>
      <c r="U353" s="513"/>
      <c r="W353" s="513"/>
    </row>
    <row r="354" spans="18:23" ht="16">
      <c r="R354" s="514">
        <v>45418</v>
      </c>
      <c r="S354" s="516">
        <v>16.100000000000001</v>
      </c>
      <c r="T354" s="515">
        <v>3470600</v>
      </c>
      <c r="U354" s="513"/>
      <c r="W354" s="513"/>
    </row>
    <row r="355" spans="18:23" ht="16">
      <c r="R355" s="514">
        <v>45415</v>
      </c>
      <c r="S355" s="516">
        <v>15.41</v>
      </c>
      <c r="T355" s="515">
        <v>4722000</v>
      </c>
      <c r="U355" s="513"/>
      <c r="W355" s="513"/>
    </row>
    <row r="356" spans="18:23" ht="16">
      <c r="R356" s="514">
        <v>45414</v>
      </c>
      <c r="S356" s="516">
        <v>15.96</v>
      </c>
      <c r="T356" s="515">
        <v>3263300</v>
      </c>
      <c r="U356" s="513"/>
      <c r="W356" s="513"/>
    </row>
    <row r="357" spans="18:23" ht="16">
      <c r="R357" s="514">
        <v>45413</v>
      </c>
      <c r="S357" s="516">
        <v>15.91</v>
      </c>
      <c r="T357" s="515">
        <v>2509800</v>
      </c>
      <c r="U357" s="513"/>
      <c r="W357" s="513"/>
    </row>
    <row r="358" spans="18:23" ht="16">
      <c r="R358" s="514">
        <v>45412</v>
      </c>
      <c r="S358" s="516">
        <v>16</v>
      </c>
      <c r="T358" s="515">
        <v>3064100</v>
      </c>
      <c r="U358" s="513"/>
      <c r="W358" s="513"/>
    </row>
  </sheetData>
  <dataValidations disablePrompts="1" count="1">
    <dataValidation type="list" allowBlank="1" showInputMessage="1" showErrorMessage="1" sqref="R20" xr:uid="{8D145E85-6CF7-4F8F-B53B-FD020A56B3BC}">
      <formula1>"1,2,3,4,5,6,7,8"</formula1>
    </dataValidation>
  </dataValidations>
  <pageMargins left="0.7" right="0.7" top="0.75" bottom="0.75" header="0.3" footer="0.3"/>
  <pageSetup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49523-D35E-4C53-90CF-A45267A281F4}">
  <dimension ref="B2:W176"/>
  <sheetViews>
    <sheetView showGridLines="0" tabSelected="1" zoomScale="50" zoomScaleNormal="85" workbookViewId="0">
      <selection activeCell="O9" sqref="O9"/>
    </sheetView>
  </sheetViews>
  <sheetFormatPr defaultRowHeight="14.5"/>
  <cols>
    <col min="3" max="3" width="74.26953125" bestFit="1" customWidth="1"/>
    <col min="4" max="4" width="12.453125" customWidth="1"/>
    <col min="5" max="7" width="13.453125" bestFit="1" customWidth="1"/>
    <col min="8" max="17" width="14.453125" bestFit="1" customWidth="1"/>
    <col min="18" max="18" width="10.90625" bestFit="1" customWidth="1"/>
  </cols>
  <sheetData>
    <row r="2" spans="2:23" ht="16">
      <c r="B2" s="12"/>
      <c r="C2" s="12"/>
      <c r="D2" s="12"/>
      <c r="E2" s="12"/>
      <c r="F2" s="12"/>
      <c r="G2" s="12"/>
      <c r="H2" s="13"/>
      <c r="I2" s="13"/>
      <c r="J2" s="14" t="s">
        <v>67</v>
      </c>
      <c r="K2" s="13"/>
      <c r="L2" s="15"/>
      <c r="M2" s="13"/>
      <c r="N2" s="14" t="s">
        <v>68</v>
      </c>
      <c r="O2" s="13"/>
      <c r="P2" s="13"/>
      <c r="Q2" s="13"/>
      <c r="S2" s="1"/>
      <c r="T2" s="1"/>
      <c r="U2" s="1"/>
      <c r="V2" s="1"/>
      <c r="W2" s="1"/>
    </row>
    <row r="3" spans="2:23" ht="16">
      <c r="B3" s="16" t="str">
        <f>Company_Name</f>
        <v>MP Materials Corp.</v>
      </c>
      <c r="C3" s="12"/>
      <c r="D3" s="12"/>
      <c r="E3" s="17" t="s">
        <v>69</v>
      </c>
      <c r="F3" s="18"/>
      <c r="G3" s="18"/>
      <c r="H3" s="19">
        <v>44561</v>
      </c>
      <c r="I3" s="19">
        <f>EOMONTH(H3,12)</f>
        <v>44926</v>
      </c>
      <c r="J3" s="19">
        <f t="shared" ref="J3:Q3" si="0">EOMONTH(I3,12)</f>
        <v>45291</v>
      </c>
      <c r="K3" s="19">
        <f t="shared" si="0"/>
        <v>45657</v>
      </c>
      <c r="L3" s="29">
        <f t="shared" si="0"/>
        <v>46022</v>
      </c>
      <c r="M3" s="19">
        <f t="shared" si="0"/>
        <v>46387</v>
      </c>
      <c r="N3" s="28">
        <f t="shared" si="0"/>
        <v>46752</v>
      </c>
      <c r="O3" s="19">
        <f t="shared" si="0"/>
        <v>47118</v>
      </c>
      <c r="P3" s="19">
        <f t="shared" si="0"/>
        <v>47483</v>
      </c>
      <c r="Q3" s="19">
        <f t="shared" si="0"/>
        <v>47848</v>
      </c>
      <c r="R3" s="27"/>
      <c r="S3" s="27"/>
      <c r="T3" s="27"/>
      <c r="U3" s="27"/>
      <c r="V3" s="27"/>
      <c r="W3" s="27"/>
    </row>
    <row r="4" spans="2:23" ht="16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2:23" ht="16">
      <c r="B5" s="1"/>
      <c r="C5" s="1" t="s">
        <v>70</v>
      </c>
      <c r="D5" s="1"/>
      <c r="E5" s="21" t="s">
        <v>71</v>
      </c>
      <c r="F5" s="1"/>
      <c r="G5" s="125" t="s">
        <v>91</v>
      </c>
      <c r="H5" s="136"/>
      <c r="I5" s="1"/>
      <c r="J5" s="22" t="s">
        <v>72</v>
      </c>
      <c r="K5" s="23"/>
      <c r="L5" s="24"/>
      <c r="M5" s="24"/>
      <c r="N5" s="139">
        <v>45657</v>
      </c>
      <c r="O5" s="1"/>
      <c r="P5" s="1"/>
      <c r="Q5" s="1"/>
      <c r="R5" s="1"/>
      <c r="S5" s="1"/>
      <c r="T5" s="1"/>
      <c r="U5" s="1"/>
      <c r="V5" s="1"/>
      <c r="W5" s="1"/>
    </row>
    <row r="6" spans="2:23" ht="16">
      <c r="B6" s="1"/>
      <c r="C6" s="1" t="s">
        <v>73</v>
      </c>
      <c r="D6" s="1"/>
      <c r="E6" s="21" t="s">
        <v>71</v>
      </c>
      <c r="F6" s="1"/>
      <c r="G6" s="126" t="s">
        <v>90</v>
      </c>
      <c r="H6" s="1"/>
      <c r="I6" s="1"/>
      <c r="J6" s="22" t="s">
        <v>74</v>
      </c>
      <c r="K6" s="23"/>
      <c r="L6" s="24"/>
      <c r="M6" s="24"/>
      <c r="N6" s="139">
        <f>EOMONTH(N5,12)</f>
        <v>46022</v>
      </c>
      <c r="O6" s="1"/>
      <c r="P6" s="1"/>
      <c r="Q6" s="1"/>
      <c r="R6" s="1"/>
      <c r="S6" s="1"/>
      <c r="T6" s="1"/>
      <c r="U6" s="1"/>
      <c r="V6" s="1"/>
      <c r="W6" s="1"/>
    </row>
    <row r="7" spans="2:23" ht="16">
      <c r="B7" s="1"/>
      <c r="C7" s="1" t="s">
        <v>75</v>
      </c>
      <c r="D7" s="1"/>
      <c r="E7" s="21" t="s">
        <v>76</v>
      </c>
      <c r="F7" s="1"/>
      <c r="G7" s="127">
        <v>21.44</v>
      </c>
      <c r="H7" s="1"/>
      <c r="I7" s="1"/>
      <c r="J7" s="22" t="s">
        <v>77</v>
      </c>
      <c r="K7" s="23"/>
      <c r="L7" s="24"/>
      <c r="M7" s="24"/>
      <c r="N7" s="139">
        <v>45657</v>
      </c>
      <c r="O7" s="1"/>
      <c r="P7" s="1"/>
      <c r="Q7" s="1"/>
      <c r="R7" s="1"/>
      <c r="S7" s="1"/>
      <c r="T7" s="1"/>
      <c r="U7" s="1"/>
      <c r="V7" s="1"/>
      <c r="W7" s="1"/>
    </row>
    <row r="8" spans="2:23" ht="16">
      <c r="B8" s="1"/>
      <c r="C8" s="25" t="s">
        <v>78</v>
      </c>
      <c r="D8" s="1"/>
      <c r="E8" s="21" t="s">
        <v>79</v>
      </c>
      <c r="F8" s="1"/>
      <c r="G8" s="128">
        <v>163.4</v>
      </c>
      <c r="H8" s="1"/>
      <c r="I8" s="1"/>
      <c r="J8" s="22" t="s">
        <v>80</v>
      </c>
      <c r="K8" s="23"/>
      <c r="L8" s="24"/>
      <c r="M8" s="24"/>
      <c r="N8" s="139">
        <v>45776</v>
      </c>
      <c r="O8" s="1"/>
      <c r="P8" s="1"/>
      <c r="Q8" s="1"/>
      <c r="R8" s="1"/>
      <c r="S8" s="1"/>
      <c r="T8" s="1"/>
      <c r="U8" s="1"/>
      <c r="V8" s="1"/>
      <c r="W8" s="1"/>
    </row>
    <row r="9" spans="2:23" ht="16">
      <c r="B9" s="1"/>
      <c r="C9" s="25"/>
      <c r="D9" s="1"/>
      <c r="E9" s="25"/>
      <c r="F9" s="1"/>
      <c r="G9" s="25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2:23" ht="16">
      <c r="B10" s="1"/>
      <c r="C10" s="25" t="s">
        <v>81</v>
      </c>
      <c r="D10" s="1"/>
      <c r="E10" s="21" t="s">
        <v>82</v>
      </c>
      <c r="F10" s="1"/>
      <c r="G10" s="130">
        <f>-AVERAGE((H74/H72),(I74/I72))</f>
        <v>0.15495232496007769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2:23" ht="16">
      <c r="B11" s="1"/>
      <c r="C11" s="25" t="s">
        <v>83</v>
      </c>
      <c r="D11" s="1"/>
      <c r="E11" s="21" t="s">
        <v>82</v>
      </c>
      <c r="F11" s="1"/>
      <c r="G11" s="137">
        <f>Wacc!L40</f>
        <v>0.10034420326043085</v>
      </c>
      <c r="H11" s="1"/>
      <c r="I11" s="1"/>
      <c r="J11" s="22" t="s">
        <v>84</v>
      </c>
      <c r="K11" s="23"/>
      <c r="L11" s="24"/>
      <c r="M11" s="24"/>
      <c r="N11" s="139">
        <f>N7</f>
        <v>45657</v>
      </c>
      <c r="O11" s="1"/>
      <c r="P11" s="1"/>
      <c r="Q11" s="1"/>
      <c r="R11" s="1"/>
      <c r="S11" s="1"/>
      <c r="T11" s="1"/>
      <c r="U11" s="1"/>
      <c r="V11" s="1"/>
      <c r="W11" s="1"/>
    </row>
    <row r="12" spans="2:23" ht="16">
      <c r="B12" s="1"/>
      <c r="C12" s="25"/>
      <c r="D12" s="1"/>
      <c r="E12" s="25"/>
      <c r="F12" s="1"/>
      <c r="G12" s="25"/>
      <c r="H12" s="1"/>
      <c r="I12" s="1"/>
      <c r="J12" s="22" t="s">
        <v>85</v>
      </c>
      <c r="K12" s="23"/>
      <c r="L12" s="24"/>
      <c r="M12" s="24"/>
      <c r="N12" s="139">
        <f>EOMONTH(N5,12)</f>
        <v>46022</v>
      </c>
      <c r="O12" s="1"/>
      <c r="P12" s="1"/>
      <c r="Q12" s="1"/>
      <c r="R12" s="1"/>
      <c r="S12" s="1"/>
      <c r="T12" s="1"/>
      <c r="U12" s="1"/>
      <c r="V12" s="1"/>
      <c r="W12" s="1"/>
    </row>
    <row r="13" spans="2:23" ht="16">
      <c r="B13" s="1"/>
      <c r="C13" s="25" t="s">
        <v>86</v>
      </c>
      <c r="D13" s="1"/>
      <c r="E13" s="21" t="s">
        <v>87</v>
      </c>
      <c r="F13" s="1"/>
      <c r="G13" s="138">
        <v>1000</v>
      </c>
      <c r="H13" s="1"/>
      <c r="I13" s="1"/>
      <c r="J13" s="22" t="s">
        <v>88</v>
      </c>
      <c r="K13" s="23"/>
      <c r="L13" s="24"/>
      <c r="M13" s="24"/>
      <c r="N13" s="139">
        <f t="shared" ref="N13:N14" si="1">EOMONTH(N12,12)</f>
        <v>46387</v>
      </c>
      <c r="O13" s="1"/>
      <c r="P13" s="1"/>
      <c r="Q13" s="1"/>
      <c r="R13" s="1"/>
      <c r="S13" s="1"/>
      <c r="T13" s="1"/>
      <c r="U13" s="1"/>
      <c r="V13" s="1"/>
      <c r="W13" s="1"/>
    </row>
    <row r="14" spans="2:23" ht="16">
      <c r="B14" s="1"/>
      <c r="C14" s="1"/>
      <c r="D14" s="1"/>
      <c r="E14" s="1"/>
      <c r="F14" s="1"/>
      <c r="G14" s="26"/>
      <c r="H14" s="1"/>
      <c r="I14" s="1"/>
      <c r="J14" s="22" t="s">
        <v>89</v>
      </c>
      <c r="K14" s="23"/>
      <c r="L14" s="23"/>
      <c r="M14" s="23"/>
      <c r="N14" s="139">
        <f t="shared" si="1"/>
        <v>46752</v>
      </c>
      <c r="O14" s="1"/>
      <c r="P14" s="1"/>
      <c r="Q14" s="1"/>
      <c r="R14" s="1"/>
      <c r="S14" s="1"/>
      <c r="T14" s="1"/>
      <c r="U14" s="1"/>
      <c r="V14" s="1"/>
      <c r="W14" s="1"/>
    </row>
    <row r="15" spans="2:23" ht="16">
      <c r="B15" s="1"/>
      <c r="C15" s="1"/>
      <c r="D15" s="1"/>
      <c r="E15" s="1"/>
      <c r="F15" s="1"/>
      <c r="G15" s="26"/>
      <c r="H15" s="1"/>
      <c r="I15" s="1"/>
      <c r="J15" s="22"/>
      <c r="K15" s="23"/>
      <c r="L15" s="23"/>
      <c r="M15" s="23"/>
      <c r="N15" s="30"/>
      <c r="O15" s="1"/>
      <c r="P15" s="1"/>
      <c r="Q15" s="1"/>
      <c r="R15" s="1"/>
      <c r="S15" s="1"/>
      <c r="T15" s="1"/>
      <c r="U15" s="1"/>
      <c r="V15" s="1"/>
      <c r="W15" s="1"/>
    </row>
    <row r="16" spans="2:23" ht="16">
      <c r="B16" s="12"/>
      <c r="C16" s="12"/>
      <c r="D16" s="12"/>
      <c r="E16" s="12"/>
      <c r="F16" s="12"/>
      <c r="G16" s="12"/>
      <c r="H16" s="13"/>
      <c r="I16" s="13"/>
      <c r="J16" s="14" t="s">
        <v>67</v>
      </c>
      <c r="K16" s="13"/>
      <c r="L16" s="15"/>
      <c r="M16" s="13"/>
      <c r="N16" s="14" t="s">
        <v>68</v>
      </c>
      <c r="O16" s="13"/>
      <c r="P16" s="13"/>
      <c r="Q16" s="13"/>
      <c r="S16" s="1"/>
      <c r="T16" s="1"/>
      <c r="U16" s="1"/>
      <c r="V16" s="1"/>
      <c r="W16" s="1"/>
    </row>
    <row r="17" spans="2:23" ht="16">
      <c r="B17" s="16" t="str">
        <f>"Model Drivers - "&amp;Company_Name</f>
        <v>Model Drivers - MP Materials Corp.</v>
      </c>
      <c r="C17" s="12"/>
      <c r="D17" s="12"/>
      <c r="E17" s="17" t="s">
        <v>69</v>
      </c>
      <c r="F17" s="18"/>
      <c r="G17" s="18"/>
      <c r="H17" s="19">
        <f>H3</f>
        <v>44561</v>
      </c>
      <c r="I17" s="19">
        <f t="shared" ref="I17:Q17" si="2">I3</f>
        <v>44926</v>
      </c>
      <c r="J17" s="19">
        <f t="shared" si="2"/>
        <v>45291</v>
      </c>
      <c r="K17" s="19">
        <f t="shared" si="2"/>
        <v>45657</v>
      </c>
      <c r="L17" s="20">
        <f t="shared" si="2"/>
        <v>46022</v>
      </c>
      <c r="M17" s="19">
        <f t="shared" si="2"/>
        <v>46387</v>
      </c>
      <c r="N17" s="19">
        <f t="shared" si="2"/>
        <v>46752</v>
      </c>
      <c r="O17" s="19">
        <f t="shared" si="2"/>
        <v>47118</v>
      </c>
      <c r="P17" s="19">
        <f t="shared" si="2"/>
        <v>47483</v>
      </c>
      <c r="Q17" s="19">
        <f t="shared" si="2"/>
        <v>47848</v>
      </c>
      <c r="R17" s="27"/>
      <c r="S17" s="27"/>
      <c r="T17" s="27"/>
      <c r="U17" s="27"/>
      <c r="V17" s="1"/>
      <c r="W17" s="1"/>
    </row>
    <row r="18" spans="2:23" ht="16">
      <c r="B18" s="1"/>
      <c r="C18" s="149" t="s">
        <v>170</v>
      </c>
      <c r="D18" s="144"/>
      <c r="E18" s="144"/>
      <c r="F18" s="144"/>
      <c r="G18" s="145"/>
      <c r="H18" s="144"/>
      <c r="I18" s="144"/>
      <c r="J18" s="146"/>
      <c r="K18" s="147"/>
      <c r="L18" s="147"/>
      <c r="M18" s="147"/>
      <c r="N18" s="148"/>
      <c r="O18" s="144"/>
      <c r="P18" s="144"/>
      <c r="Q18" s="144"/>
      <c r="R18" s="1"/>
      <c r="S18" s="1"/>
      <c r="T18" s="1"/>
      <c r="U18" s="1"/>
      <c r="V18" s="1"/>
      <c r="W18" s="1"/>
    </row>
    <row r="19" spans="2:23" ht="16">
      <c r="B19" s="1"/>
      <c r="C19" s="4"/>
      <c r="D19" s="1"/>
      <c r="E19" s="1"/>
      <c r="F19" s="1"/>
      <c r="G19" s="26"/>
      <c r="H19" s="5"/>
      <c r="I19" s="5"/>
      <c r="J19" s="5"/>
      <c r="K19" s="5"/>
      <c r="L19" s="5"/>
      <c r="M19" s="5"/>
      <c r="N19" s="5"/>
      <c r="O19" s="5"/>
      <c r="P19" s="5"/>
      <c r="Q19" s="5"/>
      <c r="R19" s="1"/>
      <c r="S19" s="1"/>
      <c r="T19" s="1"/>
      <c r="U19" s="1"/>
      <c r="V19" s="1"/>
      <c r="W19" s="1"/>
    </row>
    <row r="20" spans="2:23" ht="16">
      <c r="B20" s="1"/>
      <c r="C20" s="7" t="s">
        <v>172</v>
      </c>
      <c r="D20" s="1"/>
      <c r="E20" s="36" t="s">
        <v>82</v>
      </c>
      <c r="F20" s="1"/>
      <c r="G20" s="26"/>
      <c r="H20" s="142">
        <f>H58/H56</f>
        <v>0.22971092206102087</v>
      </c>
      <c r="I20" s="142">
        <f t="shared" ref="I20:K20" si="3">I58/I56</f>
        <v>0.17481753900399993</v>
      </c>
      <c r="J20" s="142">
        <f t="shared" si="3"/>
        <v>0.36581506835802641</v>
      </c>
      <c r="K20" s="142">
        <f t="shared" si="3"/>
        <v>0.94472051212871899</v>
      </c>
      <c r="L20" s="150">
        <v>0.37</v>
      </c>
      <c r="M20" s="150">
        <f>L20-4%</f>
        <v>0.33</v>
      </c>
      <c r="N20" s="150">
        <v>0.3</v>
      </c>
      <c r="O20" s="150">
        <v>0.3</v>
      </c>
      <c r="P20" s="150">
        <v>0.3</v>
      </c>
      <c r="Q20" s="150">
        <v>0.3</v>
      </c>
      <c r="R20" s="1"/>
      <c r="S20" s="1"/>
      <c r="T20" s="1"/>
      <c r="U20" s="1"/>
      <c r="V20" s="1"/>
      <c r="W20" s="1"/>
    </row>
    <row r="21" spans="2:23" ht="16">
      <c r="B21" s="1"/>
      <c r="C21" s="7" t="s">
        <v>209</v>
      </c>
      <c r="D21" s="1"/>
      <c r="E21" s="36" t="s">
        <v>82</v>
      </c>
      <c r="F21" s="1"/>
      <c r="H21" s="142">
        <f t="shared" ref="H21:K21" si="4">H59/H$56</f>
        <v>0.17064515351617102</v>
      </c>
      <c r="I21" s="142">
        <f t="shared" si="4"/>
        <v>0.14376978635476104</v>
      </c>
      <c r="J21" s="142">
        <f t="shared" si="4"/>
        <v>0.3126713882696443</v>
      </c>
      <c r="K21" s="142">
        <f t="shared" si="4"/>
        <v>0.4086188712565304</v>
      </c>
      <c r="L21" s="150">
        <v>0.25</v>
      </c>
      <c r="M21" s="150">
        <f>L21-2%</f>
        <v>0.23</v>
      </c>
      <c r="N21" s="150">
        <f t="shared" ref="N21:Q21" si="5">M21-2%</f>
        <v>0.21000000000000002</v>
      </c>
      <c r="O21" s="150">
        <f t="shared" si="5"/>
        <v>0.19000000000000003</v>
      </c>
      <c r="P21" s="150">
        <f t="shared" si="5"/>
        <v>0.17000000000000004</v>
      </c>
      <c r="Q21" s="150">
        <f t="shared" si="5"/>
        <v>0.15000000000000005</v>
      </c>
      <c r="R21" s="1"/>
      <c r="S21" s="1"/>
      <c r="T21" s="1"/>
      <c r="U21" s="1"/>
      <c r="V21" s="1"/>
      <c r="W21" s="1"/>
    </row>
    <row r="22" spans="2:23" ht="16">
      <c r="B22" s="1"/>
      <c r="C22" s="7" t="s">
        <v>210</v>
      </c>
      <c r="E22" s="36" t="s">
        <v>82</v>
      </c>
      <c r="H22" s="142">
        <f>H61/H56</f>
        <v>1.377608810912421E-2</v>
      </c>
      <c r="I22" s="142">
        <f t="shared" ref="I22:K22" si="6">I61/I56</f>
        <v>2.240147106215996E-2</v>
      </c>
      <c r="J22" s="142">
        <f t="shared" si="6"/>
        <v>0.14307640711002387</v>
      </c>
      <c r="K22" s="142">
        <f t="shared" si="6"/>
        <v>7.3537563464227018E-2</v>
      </c>
      <c r="L22" s="150">
        <f>AVERAGE(H22:K22)</f>
        <v>6.3197882436383773E-2</v>
      </c>
      <c r="M22" s="150">
        <v>0.04</v>
      </c>
      <c r="N22" s="150">
        <v>0.02</v>
      </c>
      <c r="O22" s="150">
        <v>0.02</v>
      </c>
      <c r="P22" s="150">
        <v>0.02</v>
      </c>
      <c r="Q22" s="150">
        <v>0.02</v>
      </c>
      <c r="R22" s="1"/>
      <c r="S22" s="1"/>
      <c r="T22" s="1"/>
      <c r="U22" s="1"/>
      <c r="V22" s="1"/>
      <c r="W22" s="1"/>
    </row>
    <row r="23" spans="2:23" ht="16">
      <c r="B23" s="1"/>
      <c r="C23" s="7" t="s">
        <v>211</v>
      </c>
      <c r="D23" s="1"/>
      <c r="E23" s="36" t="s">
        <v>82</v>
      </c>
      <c r="F23" s="1"/>
      <c r="H23" s="142">
        <f>H62/H$56</f>
        <v>1.4318335180990023E-2</v>
      </c>
      <c r="I23" s="142">
        <f>I62/I$56</f>
        <v>3.541165096396277E-3</v>
      </c>
      <c r="J23" s="142">
        <f>J62/J$56</f>
        <v>2.8542681844187102E-2</v>
      </c>
      <c r="K23" s="142">
        <f>K62/K$56</f>
        <v>2.13288857276005E-2</v>
      </c>
      <c r="L23" s="150">
        <f>AVERAGE(H23:K23)</f>
        <v>1.6932766962293476E-2</v>
      </c>
      <c r="M23" s="150">
        <v>1.6932766962293476E-2</v>
      </c>
      <c r="N23" s="150">
        <v>1.6932766962293476E-2</v>
      </c>
      <c r="O23" s="150">
        <v>0.01</v>
      </c>
      <c r="P23" s="150">
        <v>0.01</v>
      </c>
      <c r="Q23" s="150">
        <v>0.01</v>
      </c>
      <c r="R23" s="1"/>
      <c r="S23" s="1"/>
      <c r="T23" s="1"/>
      <c r="U23" s="1"/>
      <c r="V23" s="1"/>
      <c r="W23" s="1"/>
    </row>
    <row r="24" spans="2:23" ht="16">
      <c r="B24" s="1"/>
      <c r="C24" s="7"/>
      <c r="D24" s="1"/>
      <c r="E24" s="36"/>
      <c r="F24" s="1"/>
      <c r="H24" s="142"/>
      <c r="I24" s="142"/>
      <c r="J24" s="142"/>
      <c r="K24" s="142"/>
      <c r="L24" s="3"/>
      <c r="M24" s="3"/>
      <c r="N24" s="3"/>
      <c r="O24" s="3"/>
      <c r="P24" s="1"/>
      <c r="Q24" s="1"/>
      <c r="R24" s="1"/>
      <c r="S24" s="1"/>
      <c r="T24" s="1"/>
      <c r="U24" s="1"/>
      <c r="V24" s="1"/>
      <c r="W24" s="1"/>
    </row>
    <row r="25" spans="2:23" ht="16">
      <c r="B25" s="1"/>
      <c r="C25" s="7" t="s">
        <v>173</v>
      </c>
      <c r="D25" s="1"/>
      <c r="E25" s="36" t="s">
        <v>82</v>
      </c>
      <c r="F25" s="1"/>
      <c r="H25" s="142">
        <f>H69/H56</f>
        <v>1.1308863932134766E-2</v>
      </c>
      <c r="I25" s="142">
        <f>I69/I56</f>
        <v>3.7017307728763438E-2</v>
      </c>
      <c r="J25" s="142">
        <f>J69/J56</f>
        <v>0.22114462703939711</v>
      </c>
      <c r="K25" s="142">
        <f>K69/K56</f>
        <v>0.22652375462951607</v>
      </c>
      <c r="L25" s="151">
        <v>0.1</v>
      </c>
      <c r="M25" s="151">
        <f>L25-1%</f>
        <v>9.0000000000000011E-2</v>
      </c>
      <c r="N25" s="151">
        <f t="shared" ref="N25:Q25" si="7">M25-1%</f>
        <v>8.0000000000000016E-2</v>
      </c>
      <c r="O25" s="151">
        <f t="shared" si="7"/>
        <v>7.0000000000000021E-2</v>
      </c>
      <c r="P25" s="151">
        <f t="shared" si="7"/>
        <v>6.0000000000000019E-2</v>
      </c>
      <c r="Q25" s="151">
        <f t="shared" si="7"/>
        <v>5.0000000000000017E-2</v>
      </c>
      <c r="R25" s="1"/>
      <c r="S25" s="1"/>
      <c r="T25" s="1"/>
      <c r="U25" s="1"/>
      <c r="V25" s="1"/>
      <c r="W25" s="1"/>
    </row>
    <row r="26" spans="2:23" ht="16">
      <c r="B26" s="1"/>
      <c r="C26" s="42"/>
      <c r="D26" s="1"/>
      <c r="E26" s="36"/>
      <c r="F26" s="1"/>
      <c r="H26" s="142"/>
      <c r="I26" s="142"/>
      <c r="J26" s="142"/>
      <c r="K26" s="142"/>
      <c r="L26" s="40"/>
      <c r="M26" s="40"/>
      <c r="N26" s="40"/>
      <c r="O26" s="40"/>
      <c r="P26" s="1"/>
      <c r="Q26" s="1"/>
      <c r="R26" s="1"/>
      <c r="S26" s="1"/>
      <c r="T26" s="1"/>
      <c r="U26" s="1"/>
      <c r="V26" s="1"/>
      <c r="W26" s="1"/>
    </row>
    <row r="27" spans="2:23" ht="16">
      <c r="B27" s="1"/>
      <c r="C27" s="149" t="s">
        <v>205</v>
      </c>
      <c r="D27" s="144"/>
      <c r="E27" s="144"/>
      <c r="F27" s="144"/>
      <c r="G27" s="145"/>
      <c r="H27" s="144"/>
      <c r="I27" s="144"/>
      <c r="J27" s="146"/>
      <c r="K27" s="147"/>
      <c r="L27" s="147"/>
      <c r="M27" s="147"/>
      <c r="N27" s="148"/>
      <c r="O27" s="144"/>
      <c r="P27" s="144"/>
      <c r="Q27" s="144"/>
      <c r="R27" s="1"/>
      <c r="S27" s="1"/>
      <c r="T27" s="1"/>
      <c r="U27" s="1"/>
      <c r="V27" s="1"/>
      <c r="W27" s="1"/>
    </row>
    <row r="28" spans="2:23" ht="16">
      <c r="B28" s="1"/>
      <c r="C28" s="41"/>
      <c r="D28" s="1"/>
      <c r="E28" s="36"/>
      <c r="F28" s="1"/>
      <c r="H28" s="142"/>
      <c r="I28" s="142"/>
      <c r="J28" s="142"/>
      <c r="K28" s="142"/>
      <c r="L28" s="3"/>
      <c r="M28" s="3"/>
      <c r="N28" s="3"/>
      <c r="O28" s="3"/>
      <c r="P28" s="1"/>
      <c r="Q28" s="1"/>
      <c r="R28" s="1"/>
      <c r="S28" s="1"/>
      <c r="T28" s="1"/>
      <c r="U28" s="1"/>
      <c r="V28" s="1"/>
      <c r="W28" s="1"/>
    </row>
    <row r="29" spans="2:23" ht="16">
      <c r="B29" s="1"/>
      <c r="C29" s="7" t="s">
        <v>228</v>
      </c>
      <c r="D29" s="1"/>
      <c r="E29" s="36" t="s">
        <v>82</v>
      </c>
      <c r="F29" s="1"/>
      <c r="H29" s="37"/>
      <c r="I29" s="37">
        <f>I92/(H91+H92)</f>
        <v>0.8867299755701914</v>
      </c>
      <c r="J29" s="37">
        <f t="shared" ref="J29:K29" si="8">J92/(I91+I92)</f>
        <v>0.62121715742866934</v>
      </c>
      <c r="K29" s="37">
        <f t="shared" si="8"/>
        <v>0.56965417440000643</v>
      </c>
      <c r="L29" s="151">
        <f>AVERAGE(I29:K29)</f>
        <v>0.69253376913295572</v>
      </c>
      <c r="M29" s="151">
        <f>L29-5%</f>
        <v>0.64253376913295568</v>
      </c>
      <c r="N29" s="151">
        <f t="shared" ref="N29:Q29" si="9">M29-5%</f>
        <v>0.59253376913295563</v>
      </c>
      <c r="O29" s="151">
        <f t="shared" si="9"/>
        <v>0.54253376913295559</v>
      </c>
      <c r="P29" s="151">
        <f t="shared" si="9"/>
        <v>0.4925337691329556</v>
      </c>
      <c r="Q29" s="151">
        <f t="shared" si="9"/>
        <v>0.44253376913295561</v>
      </c>
      <c r="R29" s="1"/>
      <c r="S29" s="1"/>
      <c r="T29" s="1"/>
      <c r="U29" s="1"/>
      <c r="V29" s="1"/>
      <c r="W29" s="1"/>
    </row>
    <row r="30" spans="2:23" ht="16">
      <c r="B30" s="1"/>
      <c r="C30" s="7" t="s">
        <v>206</v>
      </c>
      <c r="D30" s="1"/>
      <c r="E30" s="36" t="s">
        <v>207</v>
      </c>
      <c r="F30" s="1"/>
      <c r="H30" s="3">
        <f>H93*(H54-EOMONTH(H54,-12))/H56</f>
        <v>56.087280691184269</v>
      </c>
      <c r="I30" s="3">
        <f>I93*(I54-EOMONTH(I54,-12))/I56</f>
        <v>24.256990388807797</v>
      </c>
      <c r="J30" s="3">
        <f>J93*(J54-EOMONTH(J54,-12))/J56</f>
        <v>15.638639547041764</v>
      </c>
      <c r="K30" s="3">
        <f>K93*(K54-EOMONTH(K54,-12))/K56</f>
        <v>76.386823968016486</v>
      </c>
      <c r="L30" s="39">
        <v>70</v>
      </c>
      <c r="M30" s="39">
        <v>60</v>
      </c>
      <c r="N30" s="39">
        <v>50</v>
      </c>
      <c r="O30" s="39">
        <f>AVERAGE(H30:K30)</f>
        <v>43.092433648762579</v>
      </c>
      <c r="P30" s="39">
        <f t="shared" ref="P30:Q30" si="10">AVERAGE(I30:L30)</f>
        <v>46.57061347596651</v>
      </c>
      <c r="Q30" s="39">
        <f t="shared" si="10"/>
        <v>55.506365878764562</v>
      </c>
    </row>
    <row r="31" spans="2:23" ht="16">
      <c r="B31" s="1"/>
      <c r="C31" s="7" t="s">
        <v>208</v>
      </c>
      <c r="D31" s="1"/>
      <c r="E31" s="36" t="s">
        <v>207</v>
      </c>
      <c r="F31" s="1"/>
      <c r="H31" s="3">
        <f>H94*(H54-EOMONTH(H54,-12))/H56</f>
        <v>42.544042512170435</v>
      </c>
      <c r="I31" s="3">
        <f>I94*(I54-EOMONTH(I54,-12))/I56</f>
        <v>43.79778582396542</v>
      </c>
      <c r="J31" s="3">
        <f>J94*(J54-EOMONTH(J54,-12))/J56</f>
        <v>156.30286649963503</v>
      </c>
      <c r="K31" s="3">
        <f>K94*(K54-EOMONTH(K54,-12))/K56</f>
        <v>227.90010546712125</v>
      </c>
      <c r="L31" s="39">
        <v>240</v>
      </c>
      <c r="M31" s="39">
        <v>150</v>
      </c>
      <c r="N31" s="39">
        <f t="shared" ref="N31:Q31" si="11">M31-25</f>
        <v>125</v>
      </c>
      <c r="O31" s="39">
        <f t="shared" si="11"/>
        <v>100</v>
      </c>
      <c r="P31" s="39">
        <f t="shared" si="11"/>
        <v>75</v>
      </c>
      <c r="Q31" s="39">
        <f t="shared" si="11"/>
        <v>50</v>
      </c>
    </row>
    <row r="32" spans="2:23" ht="16">
      <c r="B32" s="1"/>
      <c r="C32" s="7" t="s">
        <v>212</v>
      </c>
      <c r="D32" s="1"/>
      <c r="E32" s="36" t="s">
        <v>82</v>
      </c>
      <c r="F32" s="1"/>
      <c r="H32" s="37">
        <f>H96/H58</f>
        <v>0.10240908554417531</v>
      </c>
      <c r="I32" s="37">
        <f>I96/I58</f>
        <v>0.20464551389099742</v>
      </c>
      <c r="J32" s="37">
        <f>J96/J58</f>
        <v>8.6179002092456367E-2</v>
      </c>
      <c r="K32" s="37">
        <f>K96/K58</f>
        <v>5.2984121379539534E-2</v>
      </c>
      <c r="L32" s="151">
        <v>0.09</v>
      </c>
      <c r="M32" s="151">
        <f>L32-2%</f>
        <v>6.9999999999999993E-2</v>
      </c>
      <c r="N32" s="151">
        <f t="shared" ref="N32:O32" si="12">M32-2%</f>
        <v>4.9999999999999989E-2</v>
      </c>
      <c r="O32" s="151">
        <f t="shared" si="12"/>
        <v>2.9999999999999988E-2</v>
      </c>
      <c r="P32" s="151">
        <v>0.02</v>
      </c>
      <c r="Q32" s="151">
        <v>0.01</v>
      </c>
    </row>
    <row r="33" spans="2:23" ht="16">
      <c r="B33" s="1"/>
      <c r="C33" s="42"/>
      <c r="D33" s="1"/>
      <c r="E33" s="36"/>
      <c r="F33" s="1"/>
      <c r="H33" s="45"/>
      <c r="I33" s="142"/>
      <c r="J33" s="142"/>
      <c r="K33" s="142"/>
      <c r="L33" s="142"/>
      <c r="M33" s="142"/>
      <c r="N33" s="30"/>
    </row>
    <row r="34" spans="2:23" ht="16">
      <c r="B34" s="1"/>
      <c r="C34" s="7" t="s">
        <v>213</v>
      </c>
      <c r="D34" s="1"/>
      <c r="E34" s="36" t="s">
        <v>82</v>
      </c>
      <c r="F34" s="1"/>
      <c r="H34" s="3">
        <f>H100/H99</f>
        <v>0</v>
      </c>
      <c r="I34" s="3">
        <f t="shared" ref="I34:K34" si="13">I100/I99</f>
        <v>0</v>
      </c>
      <c r="J34" s="37">
        <f t="shared" si="13"/>
        <v>8.6913045505650002E-3</v>
      </c>
      <c r="K34" s="37">
        <f t="shared" si="13"/>
        <v>6.9356993550119218E-3</v>
      </c>
      <c r="L34" s="151">
        <v>6.9356993550119218E-3</v>
      </c>
      <c r="M34" s="151">
        <v>6.9356993550119218E-3</v>
      </c>
      <c r="N34" s="151">
        <v>6.9356993550119218E-3</v>
      </c>
      <c r="O34" s="151">
        <v>6.9356993550119218E-3</v>
      </c>
      <c r="P34" s="151">
        <v>6.9356993550119218E-3</v>
      </c>
      <c r="Q34" s="151">
        <v>6.9356993550119218E-3</v>
      </c>
    </row>
    <row r="35" spans="2:23" ht="16">
      <c r="B35" s="1"/>
      <c r="C35" s="7" t="s">
        <v>214</v>
      </c>
      <c r="E35" s="36" t="s">
        <v>82</v>
      </c>
      <c r="H35" s="37">
        <f>H102/H56</f>
        <v>6.7690509471248859E-3</v>
      </c>
      <c r="I35" s="37">
        <f>I102/I56</f>
        <v>4.6861670868798694E-3</v>
      </c>
      <c r="J35" s="37">
        <f>J102/J56</f>
        <v>5.8888516246128349E-2</v>
      </c>
      <c r="K35" s="37">
        <f>K102/K56</f>
        <v>7.681440239385838E-2</v>
      </c>
      <c r="L35" s="151">
        <v>0.04</v>
      </c>
      <c r="M35" s="151">
        <v>0.04</v>
      </c>
      <c r="N35" s="151">
        <v>0.03</v>
      </c>
      <c r="O35" s="151">
        <v>0.03</v>
      </c>
      <c r="P35" s="151">
        <v>0.03</v>
      </c>
      <c r="Q35" s="151">
        <v>0.03</v>
      </c>
      <c r="R35" s="1"/>
      <c r="S35" s="1"/>
      <c r="T35" s="1"/>
      <c r="U35" s="1"/>
      <c r="V35" s="1"/>
      <c r="W35" s="1"/>
    </row>
    <row r="36" spans="2:23" ht="16">
      <c r="B36" s="1"/>
      <c r="I36" s="143"/>
      <c r="J36" s="143"/>
      <c r="K36" s="143"/>
      <c r="M36" s="23"/>
      <c r="N36" s="30"/>
      <c r="O36" s="1"/>
      <c r="P36" s="1"/>
      <c r="Q36" s="1"/>
      <c r="R36" s="1"/>
      <c r="S36" s="1"/>
      <c r="T36" s="1"/>
      <c r="U36" s="1"/>
      <c r="V36" s="1"/>
      <c r="W36" s="1"/>
    </row>
    <row r="37" spans="2:23" ht="16">
      <c r="B37" s="1"/>
      <c r="C37" s="7" t="s">
        <v>215</v>
      </c>
      <c r="D37" s="1"/>
      <c r="E37" s="36" t="s">
        <v>207</v>
      </c>
      <c r="F37" s="1"/>
      <c r="H37" s="3">
        <f>H107*(H54-EOMONTH(H54,-12))/H56</f>
        <v>43.099318576179691</v>
      </c>
      <c r="I37" s="3">
        <f>I107*(I54-EOMONTH(I54,-12))/I56</f>
        <v>64.645637049534599</v>
      </c>
      <c r="J37" s="3">
        <f>J107*(J54-EOMONTH(J54,-12))/J56</f>
        <v>40.317129949298668</v>
      </c>
      <c r="K37" s="3">
        <f>K107*(K54-EOMONTH(K54,-12))/K56</f>
        <v>42.303068357410908</v>
      </c>
      <c r="L37" s="39">
        <f>AVERAGE(H37:K37)</f>
        <v>47.59128848310597</v>
      </c>
      <c r="M37" s="39">
        <v>44</v>
      </c>
      <c r="N37" s="39">
        <v>40</v>
      </c>
      <c r="O37" s="39">
        <v>36</v>
      </c>
      <c r="P37" s="39">
        <v>34</v>
      </c>
      <c r="Q37" s="39">
        <v>32</v>
      </c>
      <c r="R37" s="1"/>
      <c r="S37" s="1"/>
      <c r="T37" s="1"/>
      <c r="U37" s="1"/>
      <c r="V37" s="1"/>
      <c r="W37" s="1"/>
    </row>
    <row r="38" spans="2:23" ht="16">
      <c r="B38" s="1"/>
      <c r="C38" s="7" t="s">
        <v>216</v>
      </c>
      <c r="D38" s="1"/>
      <c r="E38" s="36" t="s">
        <v>82</v>
      </c>
      <c r="F38" s="1"/>
      <c r="H38" s="37">
        <f>H108/-H63</f>
        <v>0</v>
      </c>
      <c r="I38" s="37">
        <f>I108/-I63</f>
        <v>0</v>
      </c>
      <c r="J38" s="37">
        <f>J108/-J63</f>
        <v>0.27267262615981475</v>
      </c>
      <c r="K38" s="37">
        <f>K108/-K63</f>
        <v>0.17340019984944319</v>
      </c>
      <c r="L38" s="151">
        <f>AVERAGE(J38:K38)</f>
        <v>0.22303641300462895</v>
      </c>
      <c r="M38" s="151">
        <f>L38-2%</f>
        <v>0.20303641300462896</v>
      </c>
      <c r="N38" s="151">
        <v>0.15</v>
      </c>
      <c r="O38" s="151">
        <f t="shared" ref="O38:Q38" si="14">N38-2%</f>
        <v>0.13</v>
      </c>
      <c r="P38" s="151">
        <f t="shared" si="14"/>
        <v>0.11</v>
      </c>
      <c r="Q38" s="151">
        <f t="shared" si="14"/>
        <v>0.09</v>
      </c>
      <c r="R38" s="1"/>
      <c r="S38" s="1"/>
      <c r="T38" s="1"/>
      <c r="U38" s="1"/>
      <c r="V38" s="1"/>
      <c r="W38" s="1"/>
    </row>
    <row r="39" spans="2:23" ht="16">
      <c r="B39" s="1"/>
      <c r="R39" s="1"/>
      <c r="S39" s="1"/>
      <c r="T39" s="1"/>
      <c r="U39" s="1"/>
      <c r="V39" s="1"/>
      <c r="W39" s="1"/>
    </row>
    <row r="40" spans="2:23" ht="16">
      <c r="B40" s="1"/>
      <c r="C40" s="7" t="s">
        <v>217</v>
      </c>
      <c r="D40" s="1"/>
      <c r="E40" s="36" t="s">
        <v>82</v>
      </c>
      <c r="F40" s="1"/>
      <c r="H40" s="37">
        <f>H112/H56</f>
        <v>0</v>
      </c>
      <c r="I40" s="37">
        <f>I112/I56</f>
        <v>0</v>
      </c>
      <c r="J40" s="37">
        <f>J112/J56</f>
        <v>0</v>
      </c>
      <c r="K40" s="37">
        <f>K112/K56</f>
        <v>0.49054474994481373</v>
      </c>
      <c r="L40" s="151">
        <v>0.35</v>
      </c>
      <c r="M40" s="151">
        <v>0.2</v>
      </c>
      <c r="N40" s="151">
        <f>M40-5%</f>
        <v>0.15000000000000002</v>
      </c>
      <c r="O40" s="151">
        <v>0.1</v>
      </c>
      <c r="P40" s="151">
        <v>0.08</v>
      </c>
      <c r="Q40" s="151">
        <v>0.06</v>
      </c>
      <c r="R40" s="1"/>
      <c r="S40" s="1"/>
      <c r="T40" s="1"/>
      <c r="U40" s="1"/>
      <c r="V40" s="1"/>
      <c r="W40" s="1"/>
    </row>
    <row r="41" spans="2:23" ht="16">
      <c r="B41" s="1"/>
      <c r="C41" s="7" t="s">
        <v>218</v>
      </c>
      <c r="D41" s="1"/>
      <c r="E41" s="36" t="s">
        <v>82</v>
      </c>
      <c r="F41" s="1"/>
      <c r="H41" s="37">
        <f>H113/H99</f>
        <v>0</v>
      </c>
      <c r="I41" s="37">
        <f>I113/I99</f>
        <v>0</v>
      </c>
      <c r="J41" s="37">
        <f>J113/J99</f>
        <v>5.8969616270053036E-3</v>
      </c>
      <c r="K41" s="37">
        <f>K113/K99</f>
        <v>4.6328553986588854E-3</v>
      </c>
      <c r="L41" s="151">
        <f>AVERAGE(J41:K41)</f>
        <v>5.2649085128320949E-3</v>
      </c>
      <c r="M41" s="151">
        <v>5.2649085128320949E-3</v>
      </c>
      <c r="N41" s="151">
        <v>5.2649085128320949E-3</v>
      </c>
      <c r="O41" s="151">
        <v>5.2649085128320949E-3</v>
      </c>
      <c r="P41" s="151">
        <v>5.2649085128320949E-3</v>
      </c>
      <c r="Q41" s="151">
        <v>5.2649085128320949E-3</v>
      </c>
      <c r="R41" s="1"/>
      <c r="S41" s="1"/>
      <c r="T41" s="1"/>
      <c r="U41" s="1"/>
      <c r="V41" s="1"/>
      <c r="W41" s="1"/>
    </row>
    <row r="42" spans="2:23" ht="16">
      <c r="B42" s="1"/>
      <c r="C42" s="7" t="s">
        <v>219</v>
      </c>
      <c r="D42" s="1"/>
      <c r="E42" s="36" t="s">
        <v>82</v>
      </c>
      <c r="F42" s="1"/>
      <c r="H42" s="37">
        <f>H115/H99</f>
        <v>0.17113977452129994</v>
      </c>
      <c r="I42" s="37">
        <f>I115/I99</f>
        <v>0.13075491881852175</v>
      </c>
      <c r="J42" s="37">
        <f>J115/J99</f>
        <v>0.11294205624262772</v>
      </c>
      <c r="K42" s="37">
        <f>K115/K99</f>
        <v>8.8542831938735717E-2</v>
      </c>
      <c r="L42" s="151">
        <f>K42-1%</f>
        <v>7.8542831938735722E-2</v>
      </c>
      <c r="M42" s="151">
        <f t="shared" ref="M42:Q42" si="15">L42-1%</f>
        <v>6.8542831938735727E-2</v>
      </c>
      <c r="N42" s="151">
        <f t="shared" si="15"/>
        <v>5.8542831938735725E-2</v>
      </c>
      <c r="O42" s="151">
        <f t="shared" si="15"/>
        <v>4.8542831938735723E-2</v>
      </c>
      <c r="P42" s="151">
        <f t="shared" si="15"/>
        <v>3.8542831938735721E-2</v>
      </c>
      <c r="Q42" s="151">
        <f t="shared" si="15"/>
        <v>2.8542831938735719E-2</v>
      </c>
      <c r="R42" s="1"/>
      <c r="S42" s="1"/>
      <c r="T42" s="1"/>
      <c r="U42" s="1"/>
      <c r="V42" s="1"/>
      <c r="W42" s="1"/>
    </row>
    <row r="43" spans="2:23" ht="16">
      <c r="B43" s="1"/>
      <c r="C43" s="7" t="s">
        <v>220</v>
      </c>
      <c r="E43" s="36" t="s">
        <v>82</v>
      </c>
      <c r="H43" s="37">
        <f>H116/H56</f>
        <v>0.13926109799007086</v>
      </c>
      <c r="I43" s="37">
        <f>I116/I56</f>
        <v>5.8630168148471121E-2</v>
      </c>
      <c r="J43" s="37">
        <f>J116/J56</f>
        <v>0.12509222908323306</v>
      </c>
      <c r="K43" s="37">
        <f>K116/K56</f>
        <v>0.22056854136518603</v>
      </c>
      <c r="L43" s="151">
        <v>0.08</v>
      </c>
      <c r="M43" s="151">
        <f>L43-1%</f>
        <v>7.0000000000000007E-2</v>
      </c>
      <c r="N43" s="151">
        <f t="shared" ref="N43:Q43" si="16">M43-1%</f>
        <v>6.0000000000000005E-2</v>
      </c>
      <c r="O43" s="151">
        <f t="shared" si="16"/>
        <v>0.05</v>
      </c>
      <c r="P43" s="151">
        <f t="shared" si="16"/>
        <v>0.04</v>
      </c>
      <c r="Q43" s="151">
        <f t="shared" si="16"/>
        <v>0.03</v>
      </c>
      <c r="R43" s="1"/>
      <c r="S43" s="1"/>
      <c r="T43" s="1"/>
      <c r="U43" s="1"/>
      <c r="V43" s="1"/>
      <c r="W43" s="1"/>
    </row>
    <row r="44" spans="2:23" ht="16">
      <c r="B44" s="1"/>
      <c r="M44" s="23"/>
      <c r="N44" s="30"/>
      <c r="O44" s="1"/>
      <c r="P44" s="1"/>
      <c r="Q44" s="1"/>
      <c r="R44" s="1"/>
      <c r="S44" s="1"/>
      <c r="T44" s="1"/>
      <c r="U44" s="1"/>
      <c r="V44" s="1"/>
      <c r="W44" s="1"/>
    </row>
    <row r="45" spans="2:23" ht="16">
      <c r="B45" s="1"/>
      <c r="C45" s="149" t="s">
        <v>221</v>
      </c>
      <c r="D45" s="144"/>
      <c r="E45" s="144"/>
      <c r="F45" s="144"/>
      <c r="G45" s="145"/>
      <c r="H45" s="144"/>
      <c r="I45" s="144"/>
      <c r="J45" s="146"/>
      <c r="K45" s="147"/>
      <c r="L45" s="147"/>
      <c r="M45" s="147"/>
      <c r="N45" s="148"/>
      <c r="O45" s="144"/>
      <c r="P45" s="144"/>
      <c r="Q45" s="144"/>
      <c r="R45" s="1"/>
      <c r="S45" s="1"/>
      <c r="T45" s="1"/>
      <c r="U45" s="1"/>
      <c r="V45" s="1"/>
      <c r="W45" s="1"/>
    </row>
    <row r="46" spans="2:23" ht="16">
      <c r="B46" s="1"/>
      <c r="C46" s="1"/>
      <c r="D46" s="1"/>
      <c r="E46" s="36"/>
      <c r="F46" s="1"/>
      <c r="H46" s="3"/>
      <c r="I46" s="3"/>
      <c r="J46" s="3"/>
      <c r="K46" s="3"/>
      <c r="O46" s="1"/>
      <c r="P46" s="1"/>
      <c r="Q46" s="1"/>
      <c r="R46" s="1"/>
      <c r="S46" s="1"/>
      <c r="T46" s="1"/>
      <c r="U46" s="1"/>
      <c r="V46" s="1"/>
      <c r="W46" s="1"/>
    </row>
    <row r="47" spans="2:23" ht="16">
      <c r="B47" s="1"/>
      <c r="C47" s="7" t="s">
        <v>229</v>
      </c>
      <c r="D47" s="1"/>
      <c r="E47" s="36" t="s">
        <v>82</v>
      </c>
      <c r="F47" s="1"/>
      <c r="H47" s="37"/>
      <c r="I47" s="37">
        <f>-I139/I92</f>
        <v>9.5226437720303172E-3</v>
      </c>
      <c r="J47" s="37">
        <f t="shared" ref="J47:K47" si="17">-J139/J92</f>
        <v>3.5828796190024957E-2</v>
      </c>
      <c r="K47" s="37">
        <f t="shared" si="17"/>
        <v>5.3225925626202882E-2</v>
      </c>
      <c r="L47" s="151">
        <f>AVERAGE(I47:K47)</f>
        <v>3.2859121862752722E-2</v>
      </c>
      <c r="M47" s="151">
        <v>3.2859121862752722E-2</v>
      </c>
      <c r="N47" s="151">
        <v>3.2859121862752722E-2</v>
      </c>
      <c r="O47" s="151">
        <v>3.2859121862752722E-2</v>
      </c>
      <c r="P47" s="151">
        <v>3.2859121862752722E-2</v>
      </c>
      <c r="Q47" s="151">
        <v>3.2859121862752722E-2</v>
      </c>
      <c r="R47" s="1"/>
      <c r="S47" s="1"/>
      <c r="T47" s="1"/>
      <c r="U47" s="1"/>
      <c r="V47" s="1"/>
      <c r="W47" s="1"/>
    </row>
    <row r="48" spans="2:23" ht="16">
      <c r="B48" s="1"/>
      <c r="C48" s="7" t="s">
        <v>226</v>
      </c>
      <c r="D48" s="1"/>
      <c r="E48" s="36" t="s">
        <v>82</v>
      </c>
      <c r="F48" s="1"/>
      <c r="H48" s="37">
        <f>H141/H59</f>
        <v>0.40481234332521271</v>
      </c>
      <c r="I48" s="37">
        <f>I141/I59</f>
        <v>0.41904008438818563</v>
      </c>
      <c r="J48" s="37">
        <f>J141/J59</f>
        <v>0.31845542305508234</v>
      </c>
      <c r="K48" s="37">
        <f>K141/K59</f>
        <v>0.27831066399356535</v>
      </c>
      <c r="L48" s="151">
        <v>0.26</v>
      </c>
      <c r="M48" s="151">
        <f>L48-2%</f>
        <v>0.24000000000000002</v>
      </c>
      <c r="N48" s="151">
        <f t="shared" ref="N48:Q48" si="18">M48-2%</f>
        <v>0.22000000000000003</v>
      </c>
      <c r="O48" s="151">
        <f t="shared" si="18"/>
        <v>0.20000000000000004</v>
      </c>
      <c r="P48" s="151">
        <f t="shared" si="18"/>
        <v>0.18000000000000005</v>
      </c>
      <c r="Q48" s="151">
        <f t="shared" si="18"/>
        <v>0.16000000000000006</v>
      </c>
      <c r="R48" s="1"/>
      <c r="S48" s="1"/>
      <c r="T48" s="1"/>
      <c r="U48" s="1"/>
      <c r="V48" s="1"/>
      <c r="W48" s="1"/>
    </row>
    <row r="49" spans="2:23" ht="16">
      <c r="B49" s="1"/>
      <c r="C49" s="7"/>
      <c r="D49" s="1"/>
      <c r="E49" s="36"/>
      <c r="F49" s="1"/>
      <c r="H49" s="200"/>
      <c r="I49" s="200"/>
      <c r="J49" s="200"/>
      <c r="K49" s="200"/>
      <c r="L49" s="40"/>
      <c r="M49" s="40"/>
      <c r="N49" s="40"/>
      <c r="O49" s="40"/>
      <c r="P49" s="40"/>
      <c r="Q49" s="40"/>
      <c r="R49" s="1"/>
      <c r="S49" s="1"/>
      <c r="T49" s="1"/>
      <c r="U49" s="1"/>
      <c r="V49" s="1"/>
      <c r="W49" s="1"/>
    </row>
    <row r="50" spans="2:23" ht="16">
      <c r="B50" s="1"/>
      <c r="C50" s="7" t="s">
        <v>227</v>
      </c>
      <c r="D50" s="1"/>
      <c r="E50" s="36" t="s">
        <v>82</v>
      </c>
      <c r="F50" s="1"/>
      <c r="H50" s="37">
        <f>-H169/H141</f>
        <v>0.1452182634861105</v>
      </c>
      <c r="I50" s="37">
        <f>-I169/I141</f>
        <v>0.57762743864065447</v>
      </c>
      <c r="J50" s="37">
        <f>-J169/J141</f>
        <v>0.28471231573941985</v>
      </c>
      <c r="K50" s="37">
        <f>-K169/K141</f>
        <v>0.43618168485528191</v>
      </c>
      <c r="L50" s="151">
        <f>AVERAGE(H50:K50)</f>
        <v>0.36093492568036667</v>
      </c>
      <c r="M50" s="151">
        <v>0.36093492568036667</v>
      </c>
      <c r="N50" s="151">
        <v>0.36093492568036667</v>
      </c>
      <c r="O50" s="151">
        <v>0.36093492568036667</v>
      </c>
      <c r="P50" s="151">
        <v>0.36093492568036667</v>
      </c>
      <c r="Q50" s="151">
        <v>0.36093492568036667</v>
      </c>
      <c r="R50" s="1"/>
      <c r="S50" s="1"/>
      <c r="T50" s="1"/>
      <c r="U50" s="1"/>
      <c r="V50" s="1"/>
      <c r="W50" s="1"/>
    </row>
    <row r="51" spans="2:23" ht="16">
      <c r="B51" s="1"/>
      <c r="C51" s="1"/>
      <c r="D51" s="1"/>
      <c r="E51" s="36"/>
      <c r="F51" s="1"/>
      <c r="H51" s="3"/>
      <c r="I51" s="3"/>
      <c r="J51" s="3"/>
      <c r="K51" s="3"/>
      <c r="M51" s="23"/>
      <c r="N51" s="30"/>
      <c r="O51" s="1"/>
      <c r="P51" s="1"/>
      <c r="Q51" s="1"/>
      <c r="R51" s="1"/>
      <c r="S51" s="1"/>
      <c r="T51" s="1"/>
      <c r="U51" s="1"/>
      <c r="V51" s="1"/>
      <c r="W51" s="1"/>
    </row>
    <row r="52" spans="2:23" ht="16">
      <c r="B52" s="1"/>
      <c r="C52" s="1"/>
      <c r="D52" s="1"/>
      <c r="E52" s="1"/>
      <c r="F52" s="1"/>
      <c r="G52" s="26"/>
      <c r="H52" s="1"/>
      <c r="I52" s="1"/>
      <c r="J52" s="22"/>
      <c r="K52" s="23"/>
      <c r="L52" s="23"/>
      <c r="M52" s="23"/>
      <c r="N52" s="30"/>
      <c r="O52" s="1"/>
      <c r="P52" s="1"/>
      <c r="Q52" s="1"/>
      <c r="R52" s="1"/>
      <c r="S52" s="1"/>
      <c r="T52" s="1"/>
      <c r="U52" s="1"/>
      <c r="V52" s="1"/>
      <c r="W52" s="1"/>
    </row>
    <row r="53" spans="2:23" ht="16">
      <c r="B53" s="12"/>
      <c r="C53" s="12"/>
      <c r="D53" s="12"/>
      <c r="E53" s="12"/>
      <c r="F53" s="12"/>
      <c r="G53" s="12"/>
      <c r="H53" s="13"/>
      <c r="I53" s="13"/>
      <c r="J53" s="14" t="s">
        <v>67</v>
      </c>
      <c r="K53" s="13"/>
      <c r="L53" s="15"/>
      <c r="M53" s="13"/>
      <c r="N53" s="14" t="s">
        <v>68</v>
      </c>
      <c r="O53" s="13"/>
      <c r="P53" s="13"/>
      <c r="Q53" s="13"/>
      <c r="S53" s="1"/>
      <c r="T53" s="1"/>
      <c r="U53" s="1"/>
      <c r="V53" s="1"/>
      <c r="W53" s="1"/>
    </row>
    <row r="54" spans="2:23" ht="16">
      <c r="B54" s="16" t="str">
        <f>"Income Statement - "&amp;Company_Name</f>
        <v>Income Statement - MP Materials Corp.</v>
      </c>
      <c r="C54" s="12"/>
      <c r="D54" s="12"/>
      <c r="E54" s="17" t="s">
        <v>69</v>
      </c>
      <c r="F54" s="18"/>
      <c r="G54" s="18"/>
      <c r="H54" s="19">
        <f t="shared" ref="H54:Q54" si="19">H3</f>
        <v>44561</v>
      </c>
      <c r="I54" s="19">
        <f t="shared" si="19"/>
        <v>44926</v>
      </c>
      <c r="J54" s="19">
        <f t="shared" si="19"/>
        <v>45291</v>
      </c>
      <c r="K54" s="19">
        <f t="shared" si="19"/>
        <v>45657</v>
      </c>
      <c r="L54" s="20">
        <f t="shared" si="19"/>
        <v>46022</v>
      </c>
      <c r="M54" s="19">
        <f t="shared" si="19"/>
        <v>46387</v>
      </c>
      <c r="N54" s="19">
        <f t="shared" si="19"/>
        <v>46752</v>
      </c>
      <c r="O54" s="19">
        <f t="shared" si="19"/>
        <v>47118</v>
      </c>
      <c r="P54" s="19">
        <f t="shared" si="19"/>
        <v>47483</v>
      </c>
      <c r="Q54" s="19">
        <f t="shared" si="19"/>
        <v>47848</v>
      </c>
      <c r="R54" s="27"/>
      <c r="S54" s="27"/>
      <c r="T54" s="27"/>
      <c r="U54" s="27"/>
    </row>
    <row r="55" spans="2:23" ht="16">
      <c r="C55" s="1"/>
      <c r="D55" s="1"/>
      <c r="E55" s="1"/>
      <c r="F55" s="1"/>
      <c r="G55" s="1"/>
      <c r="H55" s="1"/>
    </row>
    <row r="56" spans="2:23" ht="16">
      <c r="C56" s="4" t="s">
        <v>0</v>
      </c>
      <c r="D56" s="1"/>
      <c r="E56" s="35" t="s">
        <v>96</v>
      </c>
      <c r="H56" s="176">
        <v>331952</v>
      </c>
      <c r="I56" s="176">
        <v>527510</v>
      </c>
      <c r="J56" s="176">
        <v>253445</v>
      </c>
      <c r="K56" s="176">
        <v>203855</v>
      </c>
      <c r="L56" s="10">
        <f>Drivers!L57</f>
        <v>314708.40000000002</v>
      </c>
      <c r="M56" s="10">
        <f>Drivers!M57</f>
        <v>398995</v>
      </c>
      <c r="N56" s="10">
        <f>Drivers!N57</f>
        <v>522406.17467239487</v>
      </c>
      <c r="O56" s="10">
        <f>Drivers!O57</f>
        <v>681452.60136240441</v>
      </c>
      <c r="P56" s="10">
        <f>Drivers!P57</f>
        <v>814418.99282991118</v>
      </c>
      <c r="Q56" s="10">
        <f>Drivers!Q57</f>
        <v>969012.25812233286</v>
      </c>
    </row>
    <row r="57" spans="2:23">
      <c r="H57" s="177"/>
      <c r="I57" s="177"/>
      <c r="J57" s="177"/>
      <c r="K57" s="177"/>
    </row>
    <row r="58" spans="2:23" ht="16">
      <c r="C58" s="7" t="s">
        <v>171</v>
      </c>
      <c r="D58" s="1"/>
      <c r="E58" s="34" t="s">
        <v>96</v>
      </c>
      <c r="H58" s="157">
        <v>76253</v>
      </c>
      <c r="I58" s="157">
        <v>92218</v>
      </c>
      <c r="J58" s="157">
        <v>92714</v>
      </c>
      <c r="K58" s="157">
        <v>192586</v>
      </c>
      <c r="L58" s="3">
        <f t="shared" ref="L58:Q58" si="20">L56*L20</f>
        <v>116442.10800000001</v>
      </c>
      <c r="M58" s="3">
        <f t="shared" si="20"/>
        <v>131668.35</v>
      </c>
      <c r="N58" s="3">
        <f t="shared" si="20"/>
        <v>156721.85240171847</v>
      </c>
      <c r="O58" s="3">
        <f t="shared" si="20"/>
        <v>204435.78040872133</v>
      </c>
      <c r="P58" s="3">
        <f t="shared" si="20"/>
        <v>244325.69784897333</v>
      </c>
      <c r="Q58" s="3">
        <f t="shared" si="20"/>
        <v>290703.67743669986</v>
      </c>
    </row>
    <row r="59" spans="2:23" ht="16">
      <c r="C59" s="7" t="s">
        <v>1</v>
      </c>
      <c r="D59" s="1"/>
      <c r="E59" s="34" t="s">
        <v>96</v>
      </c>
      <c r="H59" s="157">
        <v>56646</v>
      </c>
      <c r="I59" s="157">
        <v>75840</v>
      </c>
      <c r="J59" s="157">
        <v>79245</v>
      </c>
      <c r="K59" s="157">
        <v>83299</v>
      </c>
      <c r="L59" s="3">
        <f t="shared" ref="L59:Q59" si="21">L21*L$56</f>
        <v>78677.100000000006</v>
      </c>
      <c r="M59" s="3">
        <f t="shared" si="21"/>
        <v>91768.85</v>
      </c>
      <c r="N59" s="3">
        <f t="shared" si="21"/>
        <v>109705.29668120293</v>
      </c>
      <c r="O59" s="3">
        <f t="shared" si="21"/>
        <v>129475.99425885685</v>
      </c>
      <c r="P59" s="3">
        <f t="shared" si="21"/>
        <v>138451.22878108494</v>
      </c>
      <c r="Q59" s="3">
        <f t="shared" si="21"/>
        <v>145351.83871834999</v>
      </c>
    </row>
    <row r="60" spans="2:23" ht="16">
      <c r="C60" s="7" t="s">
        <v>2</v>
      </c>
      <c r="D60" s="1"/>
      <c r="E60" s="34" t="s">
        <v>96</v>
      </c>
      <c r="H60" s="157">
        <v>24382</v>
      </c>
      <c r="I60" s="157">
        <v>18356</v>
      </c>
      <c r="J60" s="157">
        <v>55709</v>
      </c>
      <c r="K60" s="157">
        <v>78057</v>
      </c>
      <c r="L60" s="3">
        <f>Drivers!L111</f>
        <v>55408.944935819978</v>
      </c>
      <c r="M60" s="3">
        <f>Drivers!M111</f>
        <v>65262.87543715108</v>
      </c>
      <c r="N60" s="3">
        <f>Drivers!N111</f>
        <v>71698.079607821739</v>
      </c>
      <c r="O60" s="3">
        <f>Drivers!O111</f>
        <v>78658.982150313459</v>
      </c>
      <c r="P60" s="3">
        <f>Drivers!P111</f>
        <v>78771.975038817836</v>
      </c>
      <c r="Q60" s="3">
        <f>Drivers!Q111</f>
        <v>79864.387533805057</v>
      </c>
    </row>
    <row r="61" spans="2:23" ht="16">
      <c r="C61" s="7" t="s">
        <v>3</v>
      </c>
      <c r="D61" s="1"/>
      <c r="E61" s="34" t="s">
        <v>96</v>
      </c>
      <c r="H61" s="157">
        <v>4573</v>
      </c>
      <c r="I61" s="157">
        <v>11817</v>
      </c>
      <c r="J61" s="157">
        <v>36262</v>
      </c>
      <c r="K61" s="157">
        <v>14991</v>
      </c>
      <c r="L61" s="3">
        <f t="shared" ref="L61:Q61" si="22">L22*L56</f>
        <v>19888.90446494244</v>
      </c>
      <c r="M61" s="3">
        <f t="shared" si="22"/>
        <v>15959.800000000001</v>
      </c>
      <c r="N61" s="3">
        <f t="shared" si="22"/>
        <v>10448.123493447898</v>
      </c>
      <c r="O61" s="3">
        <f t="shared" si="22"/>
        <v>13629.052027248088</v>
      </c>
      <c r="P61" s="3">
        <f t="shared" si="22"/>
        <v>16288.379856598223</v>
      </c>
      <c r="Q61" s="3">
        <f t="shared" si="22"/>
        <v>19380.245162446659</v>
      </c>
    </row>
    <row r="62" spans="2:23" ht="16">
      <c r="C62" s="8" t="s">
        <v>98</v>
      </c>
      <c r="D62" s="1"/>
      <c r="E62" s="34" t="s">
        <v>96</v>
      </c>
      <c r="H62" s="178">
        <v>4753</v>
      </c>
      <c r="I62" s="178">
        <v>1868</v>
      </c>
      <c r="J62" s="178">
        <v>7234</v>
      </c>
      <c r="K62" s="178">
        <v>4348</v>
      </c>
      <c r="L62" s="9">
        <f t="shared" ref="L62:Q62" si="23">L23*L$56</f>
        <v>5328.8839982762402</v>
      </c>
      <c r="M62" s="9">
        <f t="shared" si="23"/>
        <v>6756.0893541202859</v>
      </c>
      <c r="N62" s="9">
        <f t="shared" si="23"/>
        <v>8845.7820153908433</v>
      </c>
      <c r="O62" s="9">
        <f t="shared" si="23"/>
        <v>6814.526013624044</v>
      </c>
      <c r="P62" s="9">
        <f t="shared" si="23"/>
        <v>8144.1899282991117</v>
      </c>
      <c r="Q62" s="9">
        <f t="shared" si="23"/>
        <v>9690.1225812233297</v>
      </c>
    </row>
    <row r="63" spans="2:23" ht="16">
      <c r="C63" s="4" t="s">
        <v>4</v>
      </c>
      <c r="D63" s="4"/>
      <c r="E63" s="35" t="s">
        <v>96</v>
      </c>
      <c r="H63" s="10">
        <f t="shared" ref="H63:Q63" si="24">-SUM(H58:H62)</f>
        <v>-166607</v>
      </c>
      <c r="I63" s="10">
        <f t="shared" si="24"/>
        <v>-200099</v>
      </c>
      <c r="J63" s="10">
        <f t="shared" si="24"/>
        <v>-271164</v>
      </c>
      <c r="K63" s="10">
        <f t="shared" si="24"/>
        <v>-373281</v>
      </c>
      <c r="L63" s="10">
        <f t="shared" si="24"/>
        <v>-275745.94139903871</v>
      </c>
      <c r="M63" s="10">
        <f t="shared" si="24"/>
        <v>-311415.96479127137</v>
      </c>
      <c r="N63" s="10">
        <f t="shared" si="24"/>
        <v>-357419.13419958187</v>
      </c>
      <c r="O63" s="10">
        <f t="shared" si="24"/>
        <v>-433014.33485876373</v>
      </c>
      <c r="P63" s="10">
        <f t="shared" si="24"/>
        <v>-485981.47145377344</v>
      </c>
      <c r="Q63" s="10">
        <f t="shared" si="24"/>
        <v>-544990.2714325249</v>
      </c>
    </row>
    <row r="64" spans="2:23" ht="16">
      <c r="C64" s="1"/>
      <c r="D64" s="1"/>
      <c r="H64" s="3"/>
      <c r="I64" s="3"/>
      <c r="J64" s="3"/>
      <c r="K64" s="3"/>
    </row>
    <row r="65" spans="3:17" ht="16">
      <c r="C65" s="4" t="s">
        <v>5</v>
      </c>
      <c r="D65" s="4"/>
      <c r="E65" s="35" t="s">
        <v>96</v>
      </c>
      <c r="H65" s="10">
        <f t="shared" ref="H65:Q65" si="25">SUM(H56,H63)</f>
        <v>165345</v>
      </c>
      <c r="I65" s="10">
        <f t="shared" si="25"/>
        <v>327411</v>
      </c>
      <c r="J65" s="10">
        <f t="shared" si="25"/>
        <v>-17719</v>
      </c>
      <c r="K65" s="10">
        <f t="shared" si="25"/>
        <v>-169426</v>
      </c>
      <c r="L65" s="10">
        <f t="shared" si="25"/>
        <v>38962.458600961312</v>
      </c>
      <c r="M65" s="10">
        <f t="shared" si="25"/>
        <v>87579.03520872863</v>
      </c>
      <c r="N65" s="10">
        <f t="shared" si="25"/>
        <v>164987.04047281301</v>
      </c>
      <c r="O65" s="10">
        <f t="shared" si="25"/>
        <v>248438.26650364068</v>
      </c>
      <c r="P65" s="10">
        <f t="shared" si="25"/>
        <v>328437.52137613774</v>
      </c>
      <c r="Q65" s="10">
        <f t="shared" si="25"/>
        <v>424021.98668980796</v>
      </c>
    </row>
    <row r="66" spans="3:17" ht="16">
      <c r="H66" s="3"/>
      <c r="I66" s="3"/>
      <c r="J66" s="3"/>
      <c r="K66" s="3"/>
    </row>
    <row r="67" spans="3:17" ht="16">
      <c r="C67" s="7" t="s">
        <v>6</v>
      </c>
      <c r="D67" s="1"/>
      <c r="E67" s="34" t="s">
        <v>96</v>
      </c>
      <c r="H67" s="157">
        <v>-8904</v>
      </c>
      <c r="I67" s="157">
        <v>-5786</v>
      </c>
      <c r="J67" s="157">
        <v>-5254</v>
      </c>
      <c r="K67" s="157">
        <v>-23010</v>
      </c>
      <c r="L67" s="3">
        <f>Drivers!L86</f>
        <v>-23010</v>
      </c>
      <c r="M67" s="3">
        <f>Drivers!M86</f>
        <v>-23010</v>
      </c>
      <c r="N67" s="3">
        <f>Drivers!N86</f>
        <v>-23010</v>
      </c>
      <c r="O67" s="3">
        <f>Drivers!O86</f>
        <v>-23010</v>
      </c>
      <c r="P67" s="3">
        <f>Drivers!P86</f>
        <v>-23010</v>
      </c>
      <c r="Q67" s="3">
        <f>Drivers!Q86</f>
        <v>-31230.239130434777</v>
      </c>
    </row>
    <row r="68" spans="3:17" ht="16">
      <c r="C68" s="7" t="s">
        <v>7</v>
      </c>
      <c r="D68" s="1"/>
      <c r="E68" s="34" t="s">
        <v>96</v>
      </c>
      <c r="H68" s="157">
        <v>0</v>
      </c>
      <c r="I68" s="157">
        <v>0</v>
      </c>
      <c r="J68" s="157">
        <v>0</v>
      </c>
      <c r="K68" s="157">
        <v>52911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</row>
    <row r="69" spans="3:17" ht="16">
      <c r="C69" s="8" t="s">
        <v>8</v>
      </c>
      <c r="D69" s="1"/>
      <c r="E69" s="34" t="s">
        <v>96</v>
      </c>
      <c r="H69" s="178">
        <v>3754</v>
      </c>
      <c r="I69" s="178">
        <v>19527</v>
      </c>
      <c r="J69" s="178">
        <v>56048</v>
      </c>
      <c r="K69" s="178">
        <v>46178</v>
      </c>
      <c r="L69" s="9">
        <f t="shared" ref="L69:Q69" si="26">L25*L56</f>
        <v>31470.840000000004</v>
      </c>
      <c r="M69" s="9">
        <f t="shared" si="26"/>
        <v>35909.550000000003</v>
      </c>
      <c r="N69" s="9">
        <f t="shared" si="26"/>
        <v>41792.493973791599</v>
      </c>
      <c r="O69" s="9">
        <f t="shared" si="26"/>
        <v>47701.68209536832</v>
      </c>
      <c r="P69" s="9">
        <f t="shared" si="26"/>
        <v>48865.139569794686</v>
      </c>
      <c r="Q69" s="9">
        <f t="shared" si="26"/>
        <v>48450.612906116658</v>
      </c>
    </row>
    <row r="70" spans="3:17" ht="16">
      <c r="C70" s="4" t="s">
        <v>65</v>
      </c>
      <c r="D70" s="4"/>
      <c r="E70" s="35" t="s">
        <v>96</v>
      </c>
      <c r="H70" s="10">
        <f>SUM(H67:H69)</f>
        <v>-5150</v>
      </c>
      <c r="I70" s="10">
        <f t="shared" ref="I70:K70" si="27">SUM(I67:I69)</f>
        <v>13741</v>
      </c>
      <c r="J70" s="10">
        <f t="shared" si="27"/>
        <v>50794</v>
      </c>
      <c r="K70" s="10">
        <f t="shared" si="27"/>
        <v>76079</v>
      </c>
      <c r="L70" s="10">
        <f t="shared" ref="L70" si="28">SUM(L67:L69)</f>
        <v>8460.8400000000038</v>
      </c>
      <c r="M70" s="10">
        <f t="shared" ref="M70" si="29">SUM(M67:M69)</f>
        <v>12899.550000000003</v>
      </c>
      <c r="N70" s="10">
        <f t="shared" ref="N70" si="30">SUM(N67:N69)</f>
        <v>18782.493973791599</v>
      </c>
      <c r="O70" s="10">
        <f t="shared" ref="O70" si="31">SUM(O67:O69)</f>
        <v>24691.68209536832</v>
      </c>
      <c r="P70" s="10">
        <f t="shared" ref="P70" si="32">SUM(P67:P69)</f>
        <v>25855.139569794686</v>
      </c>
      <c r="Q70" s="10">
        <f t="shared" ref="Q70" si="33">SUM(Q67:Q69)</f>
        <v>17220.373775681881</v>
      </c>
    </row>
    <row r="71" spans="3:17" ht="16">
      <c r="C71" s="1"/>
      <c r="D71" s="1"/>
      <c r="H71" s="3"/>
      <c r="I71" s="3"/>
      <c r="J71" s="3"/>
      <c r="K71" s="3"/>
    </row>
    <row r="72" spans="3:17" ht="16">
      <c r="C72" s="4" t="s">
        <v>9</v>
      </c>
      <c r="D72" s="1"/>
      <c r="E72" s="35" t="s">
        <v>96</v>
      </c>
      <c r="H72" s="10">
        <f>SUM(H65,H70)</f>
        <v>160195</v>
      </c>
      <c r="I72" s="10">
        <f t="shared" ref="I72:Q72" si="34">SUM(I65,I70)</f>
        <v>341152</v>
      </c>
      <c r="J72" s="10">
        <f t="shared" si="34"/>
        <v>33075</v>
      </c>
      <c r="K72" s="10">
        <f t="shared" si="34"/>
        <v>-93347</v>
      </c>
      <c r="L72" s="10">
        <f t="shared" si="34"/>
        <v>47423.298600961316</v>
      </c>
      <c r="M72" s="10">
        <f t="shared" si="34"/>
        <v>100478.58520872863</v>
      </c>
      <c r="N72" s="10">
        <f t="shared" si="34"/>
        <v>183769.53444660461</v>
      </c>
      <c r="O72" s="10">
        <f t="shared" si="34"/>
        <v>273129.94859900902</v>
      </c>
      <c r="P72" s="10">
        <f t="shared" si="34"/>
        <v>354292.66094593244</v>
      </c>
      <c r="Q72" s="10">
        <f t="shared" si="34"/>
        <v>441242.36046548985</v>
      </c>
    </row>
    <row r="73" spans="3:17" ht="16">
      <c r="H73" s="3"/>
      <c r="I73" s="3"/>
      <c r="J73" s="3"/>
      <c r="K73" s="3"/>
    </row>
    <row r="74" spans="3:17" ht="16">
      <c r="C74" s="7" t="s">
        <v>10</v>
      </c>
      <c r="D74" s="1"/>
      <c r="E74" s="34" t="s">
        <v>96</v>
      </c>
      <c r="H74" s="157">
        <v>-25158</v>
      </c>
      <c r="I74" s="157">
        <v>-52148</v>
      </c>
      <c r="J74" s="157">
        <v>-8768</v>
      </c>
      <c r="K74" s="157">
        <v>27923</v>
      </c>
      <c r="L74" s="3">
        <f t="shared" ref="L74:Q74" si="35">-L72*Tax_Rate</f>
        <v>-7348.3503754949552</v>
      </c>
      <c r="M74" s="3">
        <f t="shared" si="35"/>
        <v>-15569.390386791774</v>
      </c>
      <c r="N74" s="3">
        <f t="shared" si="35"/>
        <v>-28475.516619332466</v>
      </c>
      <c r="O74" s="3">
        <f t="shared" si="35"/>
        <v>-42322.120551642962</v>
      </c>
      <c r="P74" s="3">
        <f t="shared" si="35"/>
        <v>-54898.47152986475</v>
      </c>
      <c r="Q74" s="3">
        <f t="shared" si="35"/>
        <v>-68371.529625000316</v>
      </c>
    </row>
    <row r="75" spans="3:17" ht="16">
      <c r="C75" s="1"/>
      <c r="D75" s="1"/>
      <c r="H75" s="3"/>
      <c r="I75" s="3"/>
      <c r="J75" s="3"/>
      <c r="K75" s="3"/>
    </row>
    <row r="76" spans="3:17" ht="16">
      <c r="C76" s="4" t="s">
        <v>11</v>
      </c>
      <c r="D76" s="1"/>
      <c r="E76" s="35" t="s">
        <v>96</v>
      </c>
      <c r="H76" s="10">
        <f>SUM(H72:H74)</f>
        <v>135037</v>
      </c>
      <c r="I76" s="10">
        <f t="shared" ref="I76:Q76" si="36">SUM(I72:I74)</f>
        <v>289004</v>
      </c>
      <c r="J76" s="10">
        <f t="shared" si="36"/>
        <v>24307</v>
      </c>
      <c r="K76" s="10">
        <f t="shared" si="36"/>
        <v>-65424</v>
      </c>
      <c r="L76" s="10">
        <f t="shared" si="36"/>
        <v>40074.94822546636</v>
      </c>
      <c r="M76" s="10">
        <f t="shared" si="36"/>
        <v>84909.194821936864</v>
      </c>
      <c r="N76" s="10">
        <f t="shared" si="36"/>
        <v>155294.01782727215</v>
      </c>
      <c r="O76" s="10">
        <f t="shared" si="36"/>
        <v>230807.82804736606</v>
      </c>
      <c r="P76" s="10">
        <f t="shared" si="36"/>
        <v>299394.18941606767</v>
      </c>
      <c r="Q76" s="10">
        <f t="shared" si="36"/>
        <v>372870.83084048954</v>
      </c>
    </row>
    <row r="77" spans="3:17" ht="16">
      <c r="C77" s="4"/>
      <c r="D77" s="1"/>
      <c r="E77" s="35"/>
      <c r="H77" s="10"/>
      <c r="I77" s="10"/>
      <c r="J77" s="10"/>
      <c r="K77" s="10"/>
      <c r="L77" s="10"/>
      <c r="M77" s="10"/>
      <c r="N77" s="10"/>
      <c r="O77" s="10"/>
      <c r="P77" s="10"/>
      <c r="Q77" s="10"/>
    </row>
    <row r="78" spans="3:17" ht="16">
      <c r="C78" s="4" t="s">
        <v>235</v>
      </c>
      <c r="D78" s="1"/>
      <c r="E78" s="35" t="s">
        <v>96</v>
      </c>
      <c r="H78" s="10">
        <f>H65+H137</f>
        <v>189727</v>
      </c>
      <c r="I78" s="10">
        <f t="shared" ref="I78:Q78" si="37">I65+I137</f>
        <v>345767</v>
      </c>
      <c r="J78" s="10">
        <f t="shared" si="37"/>
        <v>37990</v>
      </c>
      <c r="K78" s="10">
        <f t="shared" si="37"/>
        <v>-91369</v>
      </c>
      <c r="L78" s="10">
        <f t="shared" si="37"/>
        <v>94371.40353678129</v>
      </c>
      <c r="M78" s="10">
        <f t="shared" si="37"/>
        <v>152841.91064587972</v>
      </c>
      <c r="N78" s="10">
        <f t="shared" si="37"/>
        <v>236685.12008063475</v>
      </c>
      <c r="O78" s="10">
        <f t="shared" si="37"/>
        <v>327097.24865395413</v>
      </c>
      <c r="P78" s="10">
        <f t="shared" si="37"/>
        <v>407209.49641495559</v>
      </c>
      <c r="Q78" s="10">
        <f t="shared" si="37"/>
        <v>503886.37422361301</v>
      </c>
    </row>
    <row r="79" spans="3:17" ht="16">
      <c r="H79" s="3"/>
      <c r="I79" s="3"/>
      <c r="J79" s="3"/>
      <c r="K79" s="3"/>
    </row>
    <row r="80" spans="3:17" ht="16">
      <c r="C80" s="7" t="s">
        <v>12</v>
      </c>
      <c r="D80" s="1"/>
      <c r="H80" s="545">
        <v>0.78</v>
      </c>
      <c r="I80" s="545">
        <v>1.64</v>
      </c>
      <c r="J80" s="545">
        <v>0.14000000000000001</v>
      </c>
      <c r="K80" s="545">
        <v>-0.39</v>
      </c>
      <c r="L80" s="418">
        <f>L76*1000/L82</f>
        <v>0.24019900182136328</v>
      </c>
      <c r="M80" s="418">
        <f t="shared" ref="M80:Q80" si="38">M76*1000/M82</f>
        <v>0.50892402223303335</v>
      </c>
      <c r="N80" s="418">
        <f t="shared" si="38"/>
        <v>0.93079267030059099</v>
      </c>
      <c r="O80" s="418">
        <f t="shared" si="38"/>
        <v>1.3834031574444789</v>
      </c>
      <c r="P80" s="418">
        <f t="shared" si="38"/>
        <v>1.7944922859103392</v>
      </c>
      <c r="Q80" s="418">
        <f t="shared" si="38"/>
        <v>2.2348925037231462</v>
      </c>
    </row>
    <row r="81" spans="2:21" ht="16">
      <c r="C81" s="7" t="s">
        <v>13</v>
      </c>
      <c r="D81" s="1"/>
      <c r="H81" s="545">
        <v>0.73</v>
      </c>
      <c r="I81" s="545">
        <v>1.52</v>
      </c>
      <c r="J81" s="545">
        <v>0.14000000000000001</v>
      </c>
      <c r="K81" s="545">
        <v>-0.56999999999999995</v>
      </c>
      <c r="L81" s="418">
        <f>L76*1000/L83</f>
        <v>0.23589784233083713</v>
      </c>
      <c r="M81" s="418">
        <f t="shared" ref="M81:Q81" si="39">M76*1000/M83</f>
        <v>0.49981089781708632</v>
      </c>
      <c r="N81" s="418">
        <f t="shared" si="39"/>
        <v>0.91412529159702338</v>
      </c>
      <c r="O81" s="418">
        <f t="shared" si="39"/>
        <v>1.3586310410961713</v>
      </c>
      <c r="P81" s="418">
        <f t="shared" si="39"/>
        <v>1.7623589403606374</v>
      </c>
      <c r="Q81" s="418">
        <f t="shared" si="39"/>
        <v>2.1948730655497788</v>
      </c>
    </row>
    <row r="82" spans="2:21" ht="16">
      <c r="C82" s="7" t="s">
        <v>14</v>
      </c>
      <c r="D82" s="1"/>
      <c r="H82" s="157">
        <v>173469546</v>
      </c>
      <c r="I82" s="157">
        <v>176519203</v>
      </c>
      <c r="J82" s="157">
        <v>177181661</v>
      </c>
      <c r="K82" s="157">
        <v>166840611</v>
      </c>
      <c r="L82" s="157">
        <v>166840611</v>
      </c>
      <c r="M82" s="157">
        <v>166840611</v>
      </c>
      <c r="N82" s="157">
        <v>166840611</v>
      </c>
      <c r="O82" s="157">
        <v>166840611</v>
      </c>
      <c r="P82" s="157">
        <v>166840611</v>
      </c>
      <c r="Q82" s="157">
        <v>166840611</v>
      </c>
    </row>
    <row r="83" spans="2:21" ht="16">
      <c r="C83" s="7" t="s">
        <v>15</v>
      </c>
      <c r="D83" s="1"/>
      <c r="H83" s="157">
        <v>189844028</v>
      </c>
      <c r="I83" s="157">
        <v>193453087</v>
      </c>
      <c r="J83" s="157">
        <v>178152212</v>
      </c>
      <c r="K83" s="157">
        <v>169882640</v>
      </c>
      <c r="L83" s="157">
        <v>169882640</v>
      </c>
      <c r="M83" s="157">
        <v>169882640</v>
      </c>
      <c r="N83" s="157">
        <v>169882640</v>
      </c>
      <c r="O83" s="157">
        <v>169882640</v>
      </c>
      <c r="P83" s="157">
        <v>169882640</v>
      </c>
      <c r="Q83" s="157">
        <v>169882640</v>
      </c>
    </row>
    <row r="84" spans="2:21" ht="16">
      <c r="C84" s="7"/>
      <c r="D84" s="1"/>
      <c r="H84" s="157"/>
      <c r="I84" s="157"/>
      <c r="J84" s="157"/>
      <c r="K84" s="157"/>
    </row>
    <row r="85" spans="2:21" ht="16">
      <c r="C85" s="7"/>
      <c r="D85" s="1"/>
      <c r="H85" s="157"/>
      <c r="I85" s="157"/>
      <c r="J85" s="157"/>
      <c r="K85" s="157"/>
    </row>
    <row r="86" spans="2:21" ht="16">
      <c r="C86" s="7"/>
      <c r="D86" s="1"/>
      <c r="H86" s="3"/>
      <c r="I86" s="3"/>
      <c r="J86" s="3"/>
      <c r="K86" s="3"/>
    </row>
    <row r="87" spans="2:21" ht="16">
      <c r="B87" s="12"/>
      <c r="C87" s="12"/>
      <c r="D87" s="12"/>
      <c r="E87" s="12"/>
      <c r="F87" s="12"/>
      <c r="G87" s="12"/>
      <c r="H87" s="13"/>
      <c r="I87" s="13"/>
      <c r="J87" s="14" t="s">
        <v>67</v>
      </c>
      <c r="K87" s="13"/>
      <c r="L87" s="15"/>
      <c r="M87" s="13"/>
      <c r="N87" s="14" t="s">
        <v>68</v>
      </c>
      <c r="O87" s="13"/>
      <c r="P87" s="13"/>
      <c r="Q87" s="13"/>
      <c r="S87" s="1"/>
      <c r="T87" s="1"/>
      <c r="U87" s="1"/>
    </row>
    <row r="88" spans="2:21" ht="16">
      <c r="B88" s="16" t="str">
        <f>"Balance Sheet - "&amp;Company_Name</f>
        <v>Balance Sheet - MP Materials Corp.</v>
      </c>
      <c r="C88" s="12"/>
      <c r="D88" s="12"/>
      <c r="E88" s="17" t="s">
        <v>69</v>
      </c>
      <c r="F88" s="18"/>
      <c r="G88" s="18"/>
      <c r="H88" s="19">
        <f t="shared" ref="H88:Q88" si="40">H3</f>
        <v>44561</v>
      </c>
      <c r="I88" s="19">
        <f t="shared" si="40"/>
        <v>44926</v>
      </c>
      <c r="J88" s="19">
        <f t="shared" si="40"/>
        <v>45291</v>
      </c>
      <c r="K88" s="19">
        <f t="shared" si="40"/>
        <v>45657</v>
      </c>
      <c r="L88" s="20">
        <f t="shared" si="40"/>
        <v>46022</v>
      </c>
      <c r="M88" s="19">
        <f t="shared" si="40"/>
        <v>46387</v>
      </c>
      <c r="N88" s="19">
        <f t="shared" si="40"/>
        <v>46752</v>
      </c>
      <c r="O88" s="19">
        <f t="shared" si="40"/>
        <v>47118</v>
      </c>
      <c r="P88" s="19">
        <f t="shared" si="40"/>
        <v>47483</v>
      </c>
      <c r="Q88" s="19">
        <f t="shared" si="40"/>
        <v>47848</v>
      </c>
      <c r="R88" s="27"/>
      <c r="S88" s="27"/>
      <c r="T88" s="27"/>
      <c r="U88" s="27"/>
    </row>
    <row r="89" spans="2:21">
      <c r="C89" s="33" t="s">
        <v>93</v>
      </c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</row>
    <row r="90" spans="2:21" ht="16">
      <c r="C90" s="7"/>
      <c r="D90" s="1"/>
      <c r="H90" s="1"/>
      <c r="I90" s="1"/>
      <c r="J90" s="1"/>
      <c r="K90" s="1"/>
    </row>
    <row r="91" spans="2:21" ht="16">
      <c r="C91" s="7" t="s">
        <v>16</v>
      </c>
      <c r="D91" s="1"/>
      <c r="E91" s="34" t="s">
        <v>96</v>
      </c>
      <c r="H91" s="157">
        <v>1179297</v>
      </c>
      <c r="I91" s="157">
        <v>136627</v>
      </c>
      <c r="J91" s="157">
        <v>263351</v>
      </c>
      <c r="K91" s="157">
        <v>282442</v>
      </c>
      <c r="L91" s="163">
        <f>L175</f>
        <v>39339.699068563554</v>
      </c>
      <c r="M91" s="163">
        <f t="shared" ref="M91:Q91" si="41">M175</f>
        <v>280927.4577659081</v>
      </c>
      <c r="N91" s="163">
        <f t="shared" si="41"/>
        <v>377918.3027099669</v>
      </c>
      <c r="O91" s="163">
        <f t="shared" si="41"/>
        <v>526806.67104661185</v>
      </c>
      <c r="P91" s="163">
        <f t="shared" si="41"/>
        <v>703785.39413072099</v>
      </c>
      <c r="Q91" s="163">
        <f t="shared" si="41"/>
        <v>1238976.1555135557</v>
      </c>
      <c r="R91" s="202"/>
    </row>
    <row r="92" spans="2:21" ht="16">
      <c r="C92" s="7" t="s">
        <v>228</v>
      </c>
      <c r="D92" s="1"/>
      <c r="E92" s="34"/>
      <c r="H92" s="157">
        <v>0</v>
      </c>
      <c r="I92" s="157">
        <v>1045718</v>
      </c>
      <c r="J92" s="157">
        <v>734493</v>
      </c>
      <c r="K92" s="157">
        <v>568426</v>
      </c>
      <c r="L92" s="163">
        <f t="shared" ref="L92:Q92" si="42">SUM(K91:K92)*L29</f>
        <v>589254.82307461975</v>
      </c>
      <c r="M92" s="163">
        <f t="shared" si="42"/>
        <v>403893.20756898873</v>
      </c>
      <c r="N92" s="163">
        <f t="shared" si="42"/>
        <v>405779.37001102488</v>
      </c>
      <c r="O92" s="163">
        <f t="shared" si="42"/>
        <v>425182.45224204514</v>
      </c>
      <c r="P92" s="163">
        <f t="shared" si="42"/>
        <v>468886.79106694023</v>
      </c>
      <c r="Q92" s="163">
        <f t="shared" si="42"/>
        <v>518947.04207290034</v>
      </c>
      <c r="R92" s="202"/>
    </row>
    <row r="93" spans="2:21" ht="16">
      <c r="C93" s="7" t="s">
        <v>17</v>
      </c>
      <c r="D93" s="1"/>
      <c r="E93" s="34" t="s">
        <v>96</v>
      </c>
      <c r="H93" s="157">
        <v>51009</v>
      </c>
      <c r="I93" s="157">
        <v>35057</v>
      </c>
      <c r="J93" s="157">
        <v>10859</v>
      </c>
      <c r="K93" s="157">
        <v>42546</v>
      </c>
      <c r="L93" s="163">
        <f t="shared" ref="L93:Q93" si="43">L30/(L54-EOMONTH(L54,-12))*L56</f>
        <v>60355.035616438356</v>
      </c>
      <c r="M93" s="163">
        <f t="shared" si="43"/>
        <v>65588.219178082189</v>
      </c>
      <c r="N93" s="163">
        <f t="shared" si="43"/>
        <v>71562.489681149978</v>
      </c>
      <c r="O93" s="163">
        <f t="shared" si="43"/>
        <v>80233.47270214773</v>
      </c>
      <c r="P93" s="163">
        <f t="shared" si="43"/>
        <v>103912.30718511708</v>
      </c>
      <c r="Q93" s="163">
        <f t="shared" si="43"/>
        <v>147359.86011053715</v>
      </c>
      <c r="R93" s="202"/>
    </row>
    <row r="94" spans="2:21" ht="16">
      <c r="C94" s="7" t="s">
        <v>204</v>
      </c>
      <c r="D94" s="1"/>
      <c r="E94" s="34" t="s">
        <v>96</v>
      </c>
      <c r="H94" s="157">
        <v>38692</v>
      </c>
      <c r="I94" s="157">
        <v>63298</v>
      </c>
      <c r="J94" s="157">
        <v>108532</v>
      </c>
      <c r="K94" s="157">
        <v>126936</v>
      </c>
      <c r="L94" s="163">
        <f t="shared" ref="L94:Q94" si="44">L31/(L54-EOMONTH(L54,-12))*L56</f>
        <v>206931.55068493151</v>
      </c>
      <c r="M94" s="163">
        <f t="shared" si="44"/>
        <v>163970.54794520547</v>
      </c>
      <c r="N94" s="163">
        <f t="shared" si="44"/>
        <v>178906.22420287496</v>
      </c>
      <c r="O94" s="163">
        <f t="shared" si="44"/>
        <v>186189.23534491926</v>
      </c>
      <c r="P94" s="163">
        <f t="shared" si="44"/>
        <v>167346.36838970776</v>
      </c>
      <c r="Q94" s="163">
        <f t="shared" si="44"/>
        <v>132741.40522223737</v>
      </c>
      <c r="R94" s="202"/>
    </row>
    <row r="95" spans="2:21" ht="16">
      <c r="C95" s="7" t="s">
        <v>18</v>
      </c>
      <c r="D95" s="1"/>
      <c r="E95" s="34" t="s">
        <v>96</v>
      </c>
      <c r="H95" s="157">
        <v>0</v>
      </c>
      <c r="I95" s="157">
        <v>0</v>
      </c>
      <c r="J95" s="157">
        <v>19302</v>
      </c>
      <c r="K95" s="157">
        <v>19799</v>
      </c>
      <c r="L95" s="134">
        <f>K95+58500</f>
        <v>78299</v>
      </c>
      <c r="M95" s="134">
        <f t="shared" ref="M95:Q95" si="45">L95*(1+0.03)</f>
        <v>80647.97</v>
      </c>
      <c r="N95" s="134">
        <f t="shared" si="45"/>
        <v>83067.409100000004</v>
      </c>
      <c r="O95" s="134">
        <f t="shared" si="45"/>
        <v>85559.431373000014</v>
      </c>
      <c r="P95" s="134">
        <f t="shared" si="45"/>
        <v>88126.214314190016</v>
      </c>
      <c r="Q95" s="134">
        <f t="shared" si="45"/>
        <v>90770.000743615718</v>
      </c>
      <c r="R95" s="202"/>
    </row>
    <row r="96" spans="2:21" ht="16">
      <c r="C96" s="8" t="s">
        <v>19</v>
      </c>
      <c r="D96" s="1"/>
      <c r="E96" s="34" t="s">
        <v>96</v>
      </c>
      <c r="H96" s="178">
        <v>7809</v>
      </c>
      <c r="I96" s="178">
        <v>18872</v>
      </c>
      <c r="J96" s="178">
        <v>7990</v>
      </c>
      <c r="K96" s="178">
        <v>10204</v>
      </c>
      <c r="L96" s="179">
        <f t="shared" ref="L96:Q96" si="46">L32*L58</f>
        <v>10479.789720000001</v>
      </c>
      <c r="M96" s="179">
        <f t="shared" si="46"/>
        <v>9216.7844999999998</v>
      </c>
      <c r="N96" s="179">
        <f t="shared" si="46"/>
        <v>7836.0926200859212</v>
      </c>
      <c r="O96" s="179">
        <f t="shared" si="46"/>
        <v>6133.0734122616377</v>
      </c>
      <c r="P96" s="179">
        <f t="shared" si="46"/>
        <v>4886.5139569794665</v>
      </c>
      <c r="Q96" s="179">
        <f t="shared" si="46"/>
        <v>2907.0367743669985</v>
      </c>
      <c r="R96" s="202"/>
    </row>
    <row r="97" spans="3:18" ht="16">
      <c r="C97" s="4" t="s">
        <v>20</v>
      </c>
      <c r="D97" s="4"/>
      <c r="E97" s="35" t="s">
        <v>96</v>
      </c>
      <c r="H97" s="10">
        <f t="shared" ref="H97:Q97" si="47">SUM(H91:H96)</f>
        <v>1276807</v>
      </c>
      <c r="I97" s="10">
        <f t="shared" si="47"/>
        <v>1299572</v>
      </c>
      <c r="J97" s="10">
        <f t="shared" si="47"/>
        <v>1144527</v>
      </c>
      <c r="K97" s="10">
        <f t="shared" si="47"/>
        <v>1050353</v>
      </c>
      <c r="L97" s="10">
        <f t="shared" si="47"/>
        <v>984659.8981645531</v>
      </c>
      <c r="M97" s="10">
        <f t="shared" si="47"/>
        <v>1004244.1869581845</v>
      </c>
      <c r="N97" s="10">
        <f t="shared" si="47"/>
        <v>1125069.8883251026</v>
      </c>
      <c r="O97" s="10">
        <f t="shared" si="47"/>
        <v>1310104.3361209854</v>
      </c>
      <c r="P97" s="10">
        <f t="shared" si="47"/>
        <v>1536943.5890436554</v>
      </c>
      <c r="Q97" s="10">
        <f t="shared" si="47"/>
        <v>2131701.5004372136</v>
      </c>
      <c r="R97" s="202"/>
    </row>
    <row r="98" spans="3:18" ht="16">
      <c r="H98" s="3"/>
      <c r="I98" s="3"/>
      <c r="J98" s="3"/>
      <c r="K98" s="3"/>
      <c r="R98" s="202"/>
    </row>
    <row r="99" spans="3:18" ht="16">
      <c r="C99" s="7" t="s">
        <v>21</v>
      </c>
      <c r="D99" s="1"/>
      <c r="E99" s="34" t="s">
        <v>96</v>
      </c>
      <c r="H99" s="157">
        <v>610612</v>
      </c>
      <c r="I99" s="157">
        <v>935743</v>
      </c>
      <c r="J99" s="157">
        <v>1158054</v>
      </c>
      <c r="K99" s="157">
        <v>1251496</v>
      </c>
      <c r="L99" s="3">
        <f>Drivers!L99</f>
        <v>1371087.0550641799</v>
      </c>
      <c r="M99" s="3">
        <f>Drivers!M99</f>
        <v>1405824.1796270288</v>
      </c>
      <c r="N99" s="3">
        <f>Drivers!N99</f>
        <v>1432062.5984785969</v>
      </c>
      <c r="O99" s="3">
        <f>Drivers!O99</f>
        <v>1469265.2640562824</v>
      </c>
      <c r="P99" s="3">
        <f>Drivers!P99</f>
        <v>1533761.8177800062</v>
      </c>
      <c r="Q99" s="3">
        <f>Drivers!Q99</f>
        <v>1617675.9297290526</v>
      </c>
      <c r="R99" s="202"/>
    </row>
    <row r="100" spans="3:18" ht="16">
      <c r="C100" s="7" t="s">
        <v>22</v>
      </c>
      <c r="D100" s="1"/>
      <c r="E100" s="34" t="s">
        <v>96</v>
      </c>
      <c r="H100" s="157">
        <v>0</v>
      </c>
      <c r="I100" s="157">
        <v>0</v>
      </c>
      <c r="J100" s="157">
        <v>10065</v>
      </c>
      <c r="K100" s="157">
        <v>8680</v>
      </c>
      <c r="L100" s="3">
        <f t="shared" ref="L100:Q100" si="48">L99*L34</f>
        <v>9509.4476034738273</v>
      </c>
      <c r="M100" s="3">
        <f t="shared" si="48"/>
        <v>9750.3738558993482</v>
      </c>
      <c r="N100" s="3">
        <f t="shared" si="48"/>
        <v>9932.355640604701</v>
      </c>
      <c r="O100" s="3">
        <f t="shared" si="48"/>
        <v>10190.382144256579</v>
      </c>
      <c r="P100" s="3">
        <f t="shared" si="48"/>
        <v>10637.710850318701</v>
      </c>
      <c r="Q100" s="3">
        <f t="shared" si="48"/>
        <v>11219.7139024401</v>
      </c>
      <c r="R100" s="202"/>
    </row>
    <row r="101" spans="3:18" ht="16">
      <c r="C101" s="7" t="s">
        <v>23</v>
      </c>
      <c r="D101" s="1"/>
      <c r="E101" s="34" t="s">
        <v>96</v>
      </c>
      <c r="H101" s="157">
        <v>0</v>
      </c>
      <c r="I101" s="157">
        <v>0</v>
      </c>
      <c r="J101" s="157">
        <v>8881</v>
      </c>
      <c r="K101" s="157">
        <v>7370</v>
      </c>
      <c r="L101" s="134">
        <v>7370</v>
      </c>
      <c r="M101" s="134">
        <v>7370</v>
      </c>
      <c r="N101" s="134">
        <v>7370</v>
      </c>
      <c r="O101" s="134">
        <v>7370</v>
      </c>
      <c r="P101" s="134">
        <v>7370</v>
      </c>
      <c r="Q101" s="134">
        <v>7370</v>
      </c>
      <c r="R101" s="202"/>
    </row>
    <row r="102" spans="3:18" ht="16">
      <c r="C102" s="8" t="s">
        <v>24</v>
      </c>
      <c r="D102" s="1"/>
      <c r="E102" s="34" t="s">
        <v>96</v>
      </c>
      <c r="H102" s="178">
        <v>2247</v>
      </c>
      <c r="I102" s="178">
        <v>2472</v>
      </c>
      <c r="J102" s="178">
        <v>14925</v>
      </c>
      <c r="K102" s="178">
        <v>15659</v>
      </c>
      <c r="L102" s="9">
        <f t="shared" ref="L102:Q102" si="49">L56*L35</f>
        <v>12588.336000000001</v>
      </c>
      <c r="M102" s="9">
        <f t="shared" si="49"/>
        <v>15959.800000000001</v>
      </c>
      <c r="N102" s="9">
        <f t="shared" si="49"/>
        <v>15672.185240171846</v>
      </c>
      <c r="O102" s="9">
        <f t="shared" si="49"/>
        <v>20443.578040872133</v>
      </c>
      <c r="P102" s="9">
        <f t="shared" si="49"/>
        <v>24432.569784897336</v>
      </c>
      <c r="Q102" s="9">
        <f t="shared" si="49"/>
        <v>29070.367743669984</v>
      </c>
      <c r="R102" s="202"/>
    </row>
    <row r="103" spans="3:18" ht="16">
      <c r="C103" s="4" t="s">
        <v>25</v>
      </c>
      <c r="D103" s="4"/>
      <c r="E103" s="35" t="s">
        <v>96</v>
      </c>
      <c r="H103" s="10">
        <f>SUM(H97:H102)</f>
        <v>1889666</v>
      </c>
      <c r="I103" s="10">
        <f>SUM(I97:I102)</f>
        <v>2237787</v>
      </c>
      <c r="J103" s="10">
        <f>SUM(J97:J102)</f>
        <v>2336452</v>
      </c>
      <c r="K103" s="10">
        <f>SUM(K97:K102)</f>
        <v>2333558</v>
      </c>
      <c r="L103" s="10">
        <f t="shared" ref="L103:Q103" si="50">SUM(L97:L102)</f>
        <v>2385214.7368322071</v>
      </c>
      <c r="M103" s="10">
        <f t="shared" si="50"/>
        <v>2443148.5404411126</v>
      </c>
      <c r="N103" s="10">
        <f t="shared" si="50"/>
        <v>2590107.0276844758</v>
      </c>
      <c r="O103" s="10">
        <f t="shared" si="50"/>
        <v>2817373.5603623963</v>
      </c>
      <c r="P103" s="10">
        <f t="shared" si="50"/>
        <v>3113145.6874588779</v>
      </c>
      <c r="Q103" s="10">
        <f t="shared" si="50"/>
        <v>3797037.5118123759</v>
      </c>
      <c r="R103" s="202"/>
    </row>
    <row r="104" spans="3:18" ht="16">
      <c r="C104" s="4"/>
      <c r="D104" s="4"/>
      <c r="H104" s="10"/>
      <c r="I104" s="10"/>
      <c r="J104" s="10"/>
      <c r="K104" s="10"/>
      <c r="R104" s="202"/>
    </row>
    <row r="105" spans="3:18">
      <c r="C105" s="33" t="s">
        <v>94</v>
      </c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202"/>
    </row>
    <row r="106" spans="3:18" ht="16">
      <c r="H106" s="3"/>
      <c r="I106" s="3"/>
      <c r="J106" s="3"/>
      <c r="K106" s="3"/>
      <c r="R106" s="202"/>
    </row>
    <row r="107" spans="3:18" ht="16">
      <c r="C107" s="7" t="s">
        <v>26</v>
      </c>
      <c r="D107" s="1"/>
      <c r="E107" s="34" t="s">
        <v>96</v>
      </c>
      <c r="H107" s="157">
        <v>39197</v>
      </c>
      <c r="I107" s="157">
        <v>93428</v>
      </c>
      <c r="J107" s="157">
        <v>27995</v>
      </c>
      <c r="K107" s="157">
        <v>23562</v>
      </c>
      <c r="L107" s="3">
        <f t="shared" ref="L107:Q107" si="51">L37/(L54-EOMONTH(L54,-12))*L56</f>
        <v>41033.91302042934</v>
      </c>
      <c r="M107" s="3">
        <f t="shared" si="51"/>
        <v>48098.027397260274</v>
      </c>
      <c r="N107" s="3">
        <f t="shared" si="51"/>
        <v>57249.991744919986</v>
      </c>
      <c r="O107" s="3">
        <f t="shared" si="51"/>
        <v>67028.124724170921</v>
      </c>
      <c r="P107" s="3">
        <f t="shared" si="51"/>
        <v>75863.687003334198</v>
      </c>
      <c r="Q107" s="3">
        <f t="shared" si="51"/>
        <v>84954.499342231924</v>
      </c>
      <c r="R107" s="202"/>
    </row>
    <row r="108" spans="3:18" ht="16">
      <c r="C108" s="8" t="s">
        <v>27</v>
      </c>
      <c r="D108" s="1"/>
      <c r="E108" s="34" t="s">
        <v>96</v>
      </c>
      <c r="H108" s="178">
        <v>0</v>
      </c>
      <c r="I108" s="178">
        <v>0</v>
      </c>
      <c r="J108" s="178">
        <v>73939</v>
      </c>
      <c r="K108" s="178">
        <v>64727</v>
      </c>
      <c r="L108" s="9">
        <f t="shared" ref="L108:Q108" si="52">-L63*L38</f>
        <v>61501.385670226213</v>
      </c>
      <c r="M108" s="9">
        <f t="shared" si="52"/>
        <v>63228.780443595562</v>
      </c>
      <c r="N108" s="9">
        <f t="shared" si="52"/>
        <v>53612.870129937277</v>
      </c>
      <c r="O108" s="9">
        <f t="shared" si="52"/>
        <v>56291.86353163929</v>
      </c>
      <c r="P108" s="9">
        <f t="shared" si="52"/>
        <v>53457.961859915078</v>
      </c>
      <c r="Q108" s="9">
        <f t="shared" si="52"/>
        <v>49049.124428927236</v>
      </c>
      <c r="R108" s="202"/>
    </row>
    <row r="109" spans="3:18" ht="16">
      <c r="C109" s="4" t="s">
        <v>28</v>
      </c>
      <c r="D109" s="4"/>
      <c r="E109" s="35" t="s">
        <v>96</v>
      </c>
      <c r="H109" s="10">
        <f t="shared" ref="H109:Q109" si="53">SUM(H107:H108)</f>
        <v>39197</v>
      </c>
      <c r="I109" s="10">
        <f t="shared" si="53"/>
        <v>93428</v>
      </c>
      <c r="J109" s="10">
        <f t="shared" si="53"/>
        <v>101934</v>
      </c>
      <c r="K109" s="10">
        <f t="shared" si="53"/>
        <v>88289</v>
      </c>
      <c r="L109" s="10">
        <f t="shared" si="53"/>
        <v>102535.29869065556</v>
      </c>
      <c r="M109" s="10">
        <f t="shared" si="53"/>
        <v>111326.80784085584</v>
      </c>
      <c r="N109" s="10">
        <f t="shared" si="53"/>
        <v>110862.86187485726</v>
      </c>
      <c r="O109" s="10">
        <f t="shared" si="53"/>
        <v>123319.98825581021</v>
      </c>
      <c r="P109" s="10">
        <f t="shared" si="53"/>
        <v>129321.64886324928</v>
      </c>
      <c r="Q109" s="10">
        <f t="shared" si="53"/>
        <v>134003.62377115915</v>
      </c>
      <c r="R109" s="202"/>
    </row>
    <row r="110" spans="3:18" ht="16">
      <c r="H110" s="3"/>
      <c r="I110" s="3"/>
      <c r="J110" s="3"/>
      <c r="K110" s="3"/>
      <c r="R110" s="202"/>
    </row>
    <row r="111" spans="3:18" ht="16">
      <c r="C111" s="7" t="s">
        <v>29</v>
      </c>
      <c r="D111" s="1"/>
      <c r="E111" s="34" t="s">
        <v>96</v>
      </c>
      <c r="H111" s="157">
        <v>691009</v>
      </c>
      <c r="I111" s="157">
        <v>678444</v>
      </c>
      <c r="J111" s="157">
        <v>681980</v>
      </c>
      <c r="K111" s="157">
        <v>908729</v>
      </c>
      <c r="L111" s="3">
        <f>Drivers!L76</f>
        <v>920895</v>
      </c>
      <c r="M111" s="3">
        <f>Drivers!M76</f>
        <v>920762</v>
      </c>
      <c r="N111" s="3">
        <f>Drivers!N76</f>
        <v>919716.5</v>
      </c>
      <c r="O111" s="3">
        <f>Drivers!O76</f>
        <v>917525.625</v>
      </c>
      <c r="P111" s="3">
        <f>Drivers!P76</f>
        <v>919724.78125</v>
      </c>
      <c r="Q111" s="3">
        <f>Drivers!Q76</f>
        <v>1248293.1270153981</v>
      </c>
      <c r="R111" s="202"/>
    </row>
    <row r="112" spans="3:18" ht="16">
      <c r="C112" s="7" t="s">
        <v>222</v>
      </c>
      <c r="D112" s="1"/>
      <c r="E112" s="34" t="s">
        <v>96</v>
      </c>
      <c r="H112" s="157">
        <v>0</v>
      </c>
      <c r="I112" s="157">
        <v>0</v>
      </c>
      <c r="J112" s="157">
        <v>0</v>
      </c>
      <c r="K112" s="157">
        <v>100000</v>
      </c>
      <c r="L112" s="3">
        <f t="shared" ref="L112:Q112" si="54">L56*L40</f>
        <v>110147.94</v>
      </c>
      <c r="M112" s="3">
        <f t="shared" si="54"/>
        <v>79799</v>
      </c>
      <c r="N112" s="3">
        <f t="shared" si="54"/>
        <v>78360.926200859249</v>
      </c>
      <c r="O112" s="3">
        <f t="shared" si="54"/>
        <v>68145.260136240438</v>
      </c>
      <c r="P112" s="3">
        <f t="shared" si="54"/>
        <v>65153.519426392893</v>
      </c>
      <c r="Q112" s="3">
        <f t="shared" si="54"/>
        <v>58140.735487339967</v>
      </c>
      <c r="R112" s="202"/>
    </row>
    <row r="113" spans="3:18" ht="16">
      <c r="C113" s="7" t="s">
        <v>30</v>
      </c>
      <c r="D113" s="1"/>
      <c r="E113" s="34" t="s">
        <v>96</v>
      </c>
      <c r="H113" s="157">
        <v>0</v>
      </c>
      <c r="I113" s="157">
        <v>0</v>
      </c>
      <c r="J113" s="157">
        <v>6829</v>
      </c>
      <c r="K113" s="157">
        <v>5798</v>
      </c>
      <c r="L113" s="3">
        <f t="shared" ref="L113:Q113" si="55">L99*L41</f>
        <v>7218.6479080412882</v>
      </c>
      <c r="M113" s="3">
        <f t="shared" si="55"/>
        <v>7401.5356908635395</v>
      </c>
      <c r="N113" s="3">
        <f t="shared" si="55"/>
        <v>7539.6785656384154</v>
      </c>
      <c r="O113" s="3">
        <f t="shared" si="55"/>
        <v>7735.5471963384171</v>
      </c>
      <c r="P113" s="3">
        <f t="shared" si="55"/>
        <v>8075.1156510867831</v>
      </c>
      <c r="Q113" s="3">
        <f t="shared" si="55"/>
        <v>8516.9157734340624</v>
      </c>
      <c r="R113" s="202"/>
    </row>
    <row r="114" spans="3:18" ht="16">
      <c r="C114" s="7" t="s">
        <v>31</v>
      </c>
      <c r="D114" s="1"/>
      <c r="E114" s="34" t="s">
        <v>96</v>
      </c>
      <c r="H114" s="157">
        <v>0</v>
      </c>
      <c r="I114" s="157">
        <v>0</v>
      </c>
      <c r="J114" s="157">
        <v>17433</v>
      </c>
      <c r="K114" s="157">
        <v>20087</v>
      </c>
      <c r="L114" s="39">
        <f>K114*(1+0.15)</f>
        <v>23100.05</v>
      </c>
      <c r="M114" s="39">
        <f t="shared" ref="M114:Q114" si="56">L114*(1+0.15)</f>
        <v>26565.057499999995</v>
      </c>
      <c r="N114" s="39">
        <f t="shared" si="56"/>
        <v>30549.816124999994</v>
      </c>
      <c r="O114" s="39">
        <f t="shared" si="56"/>
        <v>35132.288543749994</v>
      </c>
      <c r="P114" s="39">
        <f t="shared" si="56"/>
        <v>40402.131825312492</v>
      </c>
      <c r="Q114" s="39">
        <f t="shared" si="56"/>
        <v>46462.451599109365</v>
      </c>
      <c r="R114" s="202"/>
    </row>
    <row r="115" spans="3:18" ht="16">
      <c r="C115" s="7" t="s">
        <v>32</v>
      </c>
      <c r="D115" s="1"/>
      <c r="E115" s="34" t="s">
        <v>96</v>
      </c>
      <c r="H115" s="157">
        <v>104500</v>
      </c>
      <c r="I115" s="157">
        <v>122353</v>
      </c>
      <c r="J115" s="157">
        <v>130793</v>
      </c>
      <c r="K115" s="157">
        <v>110811</v>
      </c>
      <c r="L115" s="3">
        <f t="shared" ref="L115:Q115" si="57">L99*L42</f>
        <v>107689.06013928198</v>
      </c>
      <c r="M115" s="3">
        <f t="shared" si="57"/>
        <v>96359.170479586464</v>
      </c>
      <c r="N115" s="3">
        <f t="shared" si="57"/>
        <v>83837.000028481678</v>
      </c>
      <c r="O115" s="3">
        <f t="shared" si="57"/>
        <v>71322.296786506282</v>
      </c>
      <c r="P115" s="3">
        <f t="shared" si="57"/>
        <v>59115.523976744582</v>
      </c>
      <c r="Q115" s="3">
        <f t="shared" si="57"/>
        <v>46173.052193594398</v>
      </c>
      <c r="R115" s="202"/>
    </row>
    <row r="116" spans="3:18" ht="16">
      <c r="C116" s="8" t="s">
        <v>33</v>
      </c>
      <c r="D116" s="1"/>
      <c r="E116" s="34" t="s">
        <v>96</v>
      </c>
      <c r="H116" s="178">
        <v>46228</v>
      </c>
      <c r="I116" s="178">
        <v>30928</v>
      </c>
      <c r="J116" s="178">
        <v>31704</v>
      </c>
      <c r="K116" s="178">
        <v>44964</v>
      </c>
      <c r="L116" s="9">
        <f t="shared" ref="L116:Q116" si="58">L56*L43</f>
        <v>25176.672000000002</v>
      </c>
      <c r="M116" s="9">
        <f t="shared" si="58"/>
        <v>27929.65</v>
      </c>
      <c r="N116" s="9">
        <f t="shared" si="58"/>
        <v>31344.370480343696</v>
      </c>
      <c r="O116" s="9">
        <f t="shared" si="58"/>
        <v>34072.630068120219</v>
      </c>
      <c r="P116" s="9">
        <f t="shared" si="58"/>
        <v>32576.759713196447</v>
      </c>
      <c r="Q116" s="9">
        <f t="shared" si="58"/>
        <v>29070.367743669984</v>
      </c>
      <c r="R116" s="202"/>
    </row>
    <row r="117" spans="3:18" ht="16">
      <c r="C117" s="4" t="s">
        <v>34</v>
      </c>
      <c r="D117" s="4"/>
      <c r="E117" s="35" t="s">
        <v>96</v>
      </c>
      <c r="H117" s="10">
        <f t="shared" ref="H117:Q117" si="59">SUM(H109:H116)</f>
        <v>880934</v>
      </c>
      <c r="I117" s="10">
        <f t="shared" si="59"/>
        <v>925153</v>
      </c>
      <c r="J117" s="10">
        <f t="shared" si="59"/>
        <v>970673</v>
      </c>
      <c r="K117" s="10">
        <f t="shared" si="59"/>
        <v>1278678</v>
      </c>
      <c r="L117" s="10">
        <f t="shared" si="59"/>
        <v>1296762.6687379787</v>
      </c>
      <c r="M117" s="10">
        <f t="shared" si="59"/>
        <v>1270143.2215113058</v>
      </c>
      <c r="N117" s="10">
        <f t="shared" si="59"/>
        <v>1262211.1532751801</v>
      </c>
      <c r="O117" s="10">
        <f t="shared" si="59"/>
        <v>1257253.6359867656</v>
      </c>
      <c r="P117" s="10">
        <f t="shared" si="59"/>
        <v>1254369.4807059823</v>
      </c>
      <c r="Q117" s="10">
        <f t="shared" si="59"/>
        <v>1570660.2735837053</v>
      </c>
      <c r="R117" s="202"/>
    </row>
    <row r="118" spans="3:18" ht="16">
      <c r="C118" s="4"/>
      <c r="D118" s="4"/>
      <c r="H118" s="10"/>
      <c r="I118" s="10"/>
      <c r="J118" s="10"/>
      <c r="K118" s="10"/>
      <c r="R118" s="202"/>
    </row>
    <row r="119" spans="3:18">
      <c r="C119" s="33" t="s">
        <v>95</v>
      </c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202"/>
    </row>
    <row r="120" spans="3:18" ht="16">
      <c r="H120" s="3"/>
      <c r="I120" s="3"/>
      <c r="J120" s="3"/>
      <c r="K120" s="3"/>
      <c r="R120" s="202"/>
    </row>
    <row r="121" spans="3:18" ht="16">
      <c r="C121" s="7" t="s">
        <v>35</v>
      </c>
      <c r="D121" s="1"/>
      <c r="E121" s="34" t="s">
        <v>96</v>
      </c>
      <c r="H121" s="157">
        <v>18</v>
      </c>
      <c r="I121" s="157">
        <v>18</v>
      </c>
      <c r="J121" s="157">
        <v>17</v>
      </c>
      <c r="K121" s="157">
        <v>18</v>
      </c>
      <c r="L121" s="134">
        <v>18</v>
      </c>
      <c r="M121" s="134">
        <v>18</v>
      </c>
      <c r="N121" s="134">
        <v>18</v>
      </c>
      <c r="O121" s="134">
        <v>18</v>
      </c>
      <c r="P121" s="134">
        <v>18</v>
      </c>
      <c r="Q121" s="134">
        <v>18</v>
      </c>
      <c r="R121" s="202"/>
    </row>
    <row r="122" spans="3:18" ht="16">
      <c r="C122" s="7" t="s">
        <v>36</v>
      </c>
      <c r="D122" s="1"/>
      <c r="E122" s="34" t="s">
        <v>96</v>
      </c>
      <c r="H122" s="157">
        <v>936299</v>
      </c>
      <c r="I122" s="157">
        <v>951008</v>
      </c>
      <c r="J122" s="157">
        <v>979891</v>
      </c>
      <c r="K122" s="157">
        <v>961434</v>
      </c>
      <c r="L122" s="134">
        <v>961434</v>
      </c>
      <c r="M122" s="134">
        <v>961434</v>
      </c>
      <c r="N122" s="134">
        <v>961434</v>
      </c>
      <c r="O122" s="134">
        <v>961434</v>
      </c>
      <c r="P122" s="134">
        <v>961434</v>
      </c>
      <c r="Q122" s="134">
        <v>961434</v>
      </c>
      <c r="R122" s="202"/>
    </row>
    <row r="123" spans="3:18" ht="16">
      <c r="C123" s="7" t="s">
        <v>37</v>
      </c>
      <c r="D123" s="1"/>
      <c r="E123" s="34" t="s">
        <v>96</v>
      </c>
      <c r="H123" s="157">
        <v>72415</v>
      </c>
      <c r="I123" s="157">
        <v>361419</v>
      </c>
      <c r="J123" s="157">
        <v>385726</v>
      </c>
      <c r="K123" s="157">
        <v>320302</v>
      </c>
      <c r="L123" s="3">
        <f>K123+L135+SUM(L139:L144)+L163+L166+SUM(L168:L169)+L170</f>
        <v>353874.06809422822</v>
      </c>
      <c r="M123" s="3">
        <f t="shared" ref="M123:Q123" si="60">L123+M135+SUM(M139:M144)+M163+M166+SUM(M168:M169)+M170</f>
        <v>438427.31892980693</v>
      </c>
      <c r="N123" s="3">
        <f t="shared" si="60"/>
        <v>593317.87440929585</v>
      </c>
      <c r="O123" s="3">
        <f t="shared" si="60"/>
        <v>825541.9243756315</v>
      </c>
      <c r="P123" s="3">
        <f t="shared" si="60"/>
        <v>1124198.2067528956</v>
      </c>
      <c r="Q123" s="3">
        <f t="shared" si="60"/>
        <v>1491799.2382286713</v>
      </c>
      <c r="R123" s="202"/>
    </row>
    <row r="124" spans="3:18" ht="16">
      <c r="C124" s="7" t="s">
        <v>38</v>
      </c>
      <c r="D124" s="1"/>
      <c r="E124" s="34" t="s">
        <v>96</v>
      </c>
      <c r="H124" s="157">
        <v>0</v>
      </c>
      <c r="I124" s="157">
        <v>189</v>
      </c>
      <c r="J124" s="157">
        <v>145</v>
      </c>
      <c r="K124" s="157">
        <v>173</v>
      </c>
      <c r="L124" s="134">
        <v>173</v>
      </c>
      <c r="M124" s="134">
        <v>173</v>
      </c>
      <c r="N124" s="134">
        <v>173</v>
      </c>
      <c r="O124" s="134">
        <v>173</v>
      </c>
      <c r="P124" s="134">
        <v>173</v>
      </c>
      <c r="Q124" s="134">
        <v>173</v>
      </c>
      <c r="R124" s="202"/>
    </row>
    <row r="125" spans="3:18" ht="16">
      <c r="C125" s="8" t="s">
        <v>39</v>
      </c>
      <c r="D125" s="1"/>
      <c r="E125" s="34" t="s">
        <v>96</v>
      </c>
      <c r="H125" s="178">
        <v>0</v>
      </c>
      <c r="I125" s="178">
        <v>0</v>
      </c>
      <c r="J125" s="178">
        <v>0</v>
      </c>
      <c r="K125" s="178">
        <v>-227047</v>
      </c>
      <c r="L125" s="199">
        <v>-227047</v>
      </c>
      <c r="M125" s="199">
        <v>-227047</v>
      </c>
      <c r="N125" s="199">
        <v>-227047</v>
      </c>
      <c r="O125" s="199">
        <v>-227047</v>
      </c>
      <c r="P125" s="199">
        <v>-227047</v>
      </c>
      <c r="Q125" s="199">
        <v>-227047</v>
      </c>
      <c r="R125" s="202"/>
    </row>
    <row r="126" spans="3:18" ht="16">
      <c r="C126" s="4" t="s">
        <v>40</v>
      </c>
      <c r="D126" s="4"/>
      <c r="E126" s="35" t="s">
        <v>96</v>
      </c>
      <c r="H126" s="10">
        <f>SUM(H121:H125)</f>
        <v>1008732</v>
      </c>
      <c r="I126" s="10">
        <f t="shared" ref="I126:Q126" si="61">SUM(I121:I125)</f>
        <v>1312634</v>
      </c>
      <c r="J126" s="10">
        <f t="shared" si="61"/>
        <v>1365779</v>
      </c>
      <c r="K126" s="10">
        <f t="shared" si="61"/>
        <v>1054880</v>
      </c>
      <c r="L126" s="10">
        <f t="shared" si="61"/>
        <v>1088452.0680942282</v>
      </c>
      <c r="M126" s="10">
        <f t="shared" si="61"/>
        <v>1173005.3189298068</v>
      </c>
      <c r="N126" s="10">
        <f t="shared" si="61"/>
        <v>1327895.8744092959</v>
      </c>
      <c r="O126" s="10">
        <f t="shared" si="61"/>
        <v>1560119.9243756314</v>
      </c>
      <c r="P126" s="10">
        <f t="shared" si="61"/>
        <v>1858776.2067528956</v>
      </c>
      <c r="Q126" s="10">
        <f t="shared" si="61"/>
        <v>2226377.2382286713</v>
      </c>
    </row>
    <row r="127" spans="3:18" ht="16">
      <c r="H127" s="3"/>
      <c r="I127" s="3"/>
      <c r="J127" s="3"/>
      <c r="K127" s="3"/>
    </row>
    <row r="128" spans="3:18" ht="16">
      <c r="C128" s="4" t="s">
        <v>41</v>
      </c>
      <c r="D128" s="4"/>
      <c r="E128" s="35" t="s">
        <v>96</v>
      </c>
      <c r="H128" s="10">
        <f>SUM(H117,H126)</f>
        <v>1889666</v>
      </c>
      <c r="I128" s="10">
        <f t="shared" ref="I128:Q128" si="62">SUM(I117,I126)</f>
        <v>2237787</v>
      </c>
      <c r="J128" s="10">
        <f t="shared" si="62"/>
        <v>2336452</v>
      </c>
      <c r="K128" s="10">
        <f t="shared" si="62"/>
        <v>2333558</v>
      </c>
      <c r="L128" s="10">
        <f t="shared" si="62"/>
        <v>2385214.7368322071</v>
      </c>
      <c r="M128" s="10">
        <f t="shared" si="62"/>
        <v>2443148.5404411126</v>
      </c>
      <c r="N128" s="10">
        <f t="shared" si="62"/>
        <v>2590107.0276844762</v>
      </c>
      <c r="O128" s="10">
        <f t="shared" si="62"/>
        <v>2817373.5603623968</v>
      </c>
      <c r="P128" s="10">
        <f t="shared" si="62"/>
        <v>3113145.6874588779</v>
      </c>
      <c r="Q128" s="10">
        <f t="shared" si="62"/>
        <v>3797037.5118123768</v>
      </c>
    </row>
    <row r="129" spans="2:21" ht="16">
      <c r="H129" s="3"/>
      <c r="I129" s="3"/>
      <c r="J129" s="3"/>
      <c r="K129" s="3"/>
    </row>
    <row r="130" spans="2:21" ht="16">
      <c r="C130" s="31" t="s">
        <v>92</v>
      </c>
      <c r="E130" s="35" t="s">
        <v>97</v>
      </c>
      <c r="H130" s="196">
        <f>H103-H128</f>
        <v>0</v>
      </c>
      <c r="I130" s="196">
        <f>I103-I128</f>
        <v>0</v>
      </c>
      <c r="J130" s="196">
        <f>J103-J128</f>
        <v>0</v>
      </c>
      <c r="K130" s="196">
        <f>K103-K128</f>
        <v>0</v>
      </c>
      <c r="L130" s="196">
        <f t="shared" ref="L130:Q130" si="63">L103-L128</f>
        <v>0</v>
      </c>
      <c r="M130" s="196">
        <f t="shared" si="63"/>
        <v>0</v>
      </c>
      <c r="N130" s="196">
        <f t="shared" si="63"/>
        <v>0</v>
      </c>
      <c r="O130" s="196">
        <f t="shared" si="63"/>
        <v>0</v>
      </c>
      <c r="P130" s="196">
        <f t="shared" si="63"/>
        <v>0</v>
      </c>
      <c r="Q130" s="196">
        <f t="shared" si="63"/>
        <v>0</v>
      </c>
    </row>
    <row r="131" spans="2:21" ht="16">
      <c r="H131" s="3"/>
      <c r="I131" s="3"/>
      <c r="J131" s="3"/>
      <c r="K131" s="3"/>
    </row>
    <row r="132" spans="2:21" ht="16">
      <c r="B132" s="12"/>
      <c r="C132" s="12"/>
      <c r="D132" s="12"/>
      <c r="E132" s="12"/>
      <c r="F132" s="12"/>
      <c r="G132" s="12"/>
      <c r="H132" s="13"/>
      <c r="I132" s="13"/>
      <c r="J132" s="14" t="s">
        <v>67</v>
      </c>
      <c r="K132" s="13"/>
      <c r="L132" s="15"/>
      <c r="M132" s="13"/>
      <c r="N132" s="14" t="s">
        <v>68</v>
      </c>
      <c r="O132" s="13"/>
      <c r="P132" s="13"/>
      <c r="Q132" s="13"/>
      <c r="R132" s="49"/>
      <c r="S132" s="1"/>
      <c r="T132" s="1"/>
      <c r="U132" s="1"/>
    </row>
    <row r="133" spans="2:21" ht="16">
      <c r="B133" s="16" t="str">
        <f>"Cash Flow Statement - "&amp;Company_Name</f>
        <v>Cash Flow Statement - MP Materials Corp.</v>
      </c>
      <c r="C133" s="12"/>
      <c r="D133" s="12"/>
      <c r="E133" s="17" t="s">
        <v>69</v>
      </c>
      <c r="F133" s="18"/>
      <c r="G133" s="18"/>
      <c r="H133" s="19">
        <f t="shared" ref="H133:Q133" si="64">H3</f>
        <v>44561</v>
      </c>
      <c r="I133" s="19">
        <f t="shared" si="64"/>
        <v>44926</v>
      </c>
      <c r="J133" s="19">
        <f t="shared" si="64"/>
        <v>45291</v>
      </c>
      <c r="K133" s="19">
        <f t="shared" si="64"/>
        <v>45657</v>
      </c>
      <c r="L133" s="20">
        <f t="shared" si="64"/>
        <v>46022</v>
      </c>
      <c r="M133" s="19">
        <f t="shared" si="64"/>
        <v>46387</v>
      </c>
      <c r="N133" s="19">
        <f t="shared" si="64"/>
        <v>46752</v>
      </c>
      <c r="O133" s="19">
        <f t="shared" si="64"/>
        <v>47118</v>
      </c>
      <c r="P133" s="19">
        <f t="shared" si="64"/>
        <v>47483</v>
      </c>
      <c r="Q133" s="19">
        <f t="shared" si="64"/>
        <v>47848</v>
      </c>
      <c r="R133" s="27"/>
      <c r="S133" s="27"/>
      <c r="T133" s="27"/>
      <c r="U133" s="27"/>
    </row>
    <row r="135" spans="2:21" ht="16">
      <c r="C135" s="11" t="s">
        <v>11</v>
      </c>
      <c r="D135" s="1"/>
      <c r="E135" s="35" t="s">
        <v>96</v>
      </c>
      <c r="H135" s="157">
        <v>135037</v>
      </c>
      <c r="I135" s="157">
        <v>289004</v>
      </c>
      <c r="J135" s="157">
        <v>24307</v>
      </c>
      <c r="K135" s="157">
        <v>-65424</v>
      </c>
      <c r="L135" s="3">
        <f>L76</f>
        <v>40074.94822546636</v>
      </c>
      <c r="M135" s="3">
        <f t="shared" ref="M135:Q135" si="65">M76</f>
        <v>84909.194821936864</v>
      </c>
      <c r="N135" s="3">
        <f t="shared" si="65"/>
        <v>155294.01782727215</v>
      </c>
      <c r="O135" s="3">
        <f t="shared" si="65"/>
        <v>230807.82804736606</v>
      </c>
      <c r="P135" s="3">
        <f t="shared" si="65"/>
        <v>299394.18941606767</v>
      </c>
      <c r="Q135" s="3">
        <f t="shared" si="65"/>
        <v>372870.83084048954</v>
      </c>
    </row>
    <row r="136" spans="2:21" ht="16">
      <c r="C136" s="11"/>
      <c r="D136" s="1"/>
      <c r="H136" s="157"/>
      <c r="I136" s="157"/>
      <c r="J136" s="157"/>
      <c r="K136" s="157"/>
      <c r="L136" s="1"/>
      <c r="M136" s="1"/>
      <c r="N136" s="1"/>
      <c r="O136" s="1"/>
      <c r="P136" s="1"/>
      <c r="Q136" s="1"/>
    </row>
    <row r="137" spans="2:21" ht="16">
      <c r="C137" s="7" t="s">
        <v>2</v>
      </c>
      <c r="D137" s="1"/>
      <c r="E137" s="34" t="s">
        <v>96</v>
      </c>
      <c r="H137" s="157">
        <v>24382</v>
      </c>
      <c r="I137" s="157">
        <v>18356</v>
      </c>
      <c r="J137" s="157">
        <v>55709</v>
      </c>
      <c r="K137" s="157">
        <v>78057</v>
      </c>
      <c r="L137" s="3">
        <f>Drivers!L111</f>
        <v>55408.944935819978</v>
      </c>
      <c r="M137" s="3">
        <f>Drivers!M111</f>
        <v>65262.87543715108</v>
      </c>
      <c r="N137" s="3">
        <f>Drivers!N111</f>
        <v>71698.079607821739</v>
      </c>
      <c r="O137" s="3">
        <f>Drivers!O111</f>
        <v>78658.982150313459</v>
      </c>
      <c r="P137" s="3">
        <f>Drivers!P111</f>
        <v>78771.975038817836</v>
      </c>
      <c r="Q137" s="3">
        <f>Drivers!Q111</f>
        <v>79864.387533805057</v>
      </c>
    </row>
    <row r="138" spans="2:21" ht="16">
      <c r="C138" s="7"/>
      <c r="D138" s="1"/>
      <c r="E138" s="34"/>
      <c r="H138" s="157"/>
      <c r="I138" s="157"/>
      <c r="J138" s="157"/>
      <c r="K138" s="157"/>
      <c r="L138" s="3"/>
      <c r="M138" s="3"/>
      <c r="N138" s="3"/>
      <c r="O138" s="3"/>
      <c r="P138" s="3"/>
      <c r="Q138" s="3"/>
    </row>
    <row r="139" spans="2:21" ht="16">
      <c r="C139" s="7" t="s">
        <v>42</v>
      </c>
      <c r="D139" s="1"/>
      <c r="E139" s="34" t="s">
        <v>96</v>
      </c>
      <c r="H139" s="157"/>
      <c r="I139" s="157">
        <v>-9958</v>
      </c>
      <c r="J139" s="157">
        <v>-26316</v>
      </c>
      <c r="K139" s="157">
        <v>-30255</v>
      </c>
      <c r="L139" s="3">
        <f t="shared" ref="L139:Q139" si="66">-L92*L47</f>
        <v>-19362.396039623723</v>
      </c>
      <c r="M139" s="3">
        <f t="shared" si="66"/>
        <v>-13271.576127047481</v>
      </c>
      <c r="N139" s="3">
        <f t="shared" si="66"/>
        <v>-13333.553768583293</v>
      </c>
      <c r="O139" s="3">
        <f t="shared" si="66"/>
        <v>-13971.122012125401</v>
      </c>
      <c r="P139" s="3">
        <f t="shared" si="66"/>
        <v>-15407.208207503663</v>
      </c>
      <c r="Q139" s="3">
        <f t="shared" si="66"/>
        <v>-17052.144095788495</v>
      </c>
    </row>
    <row r="140" spans="2:21" ht="16">
      <c r="C140" s="7" t="s">
        <v>7</v>
      </c>
      <c r="D140" s="1"/>
      <c r="E140" s="34" t="s">
        <v>96</v>
      </c>
      <c r="H140" s="157">
        <v>0</v>
      </c>
      <c r="I140" s="157">
        <v>0</v>
      </c>
      <c r="J140" s="157">
        <v>0</v>
      </c>
      <c r="K140" s="157">
        <v>-52911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</row>
    <row r="141" spans="2:21" ht="16">
      <c r="C141" s="7" t="s">
        <v>43</v>
      </c>
      <c r="D141" s="1"/>
      <c r="E141" s="34" t="s">
        <v>96</v>
      </c>
      <c r="H141" s="157">
        <v>22931</v>
      </c>
      <c r="I141" s="157">
        <v>31780</v>
      </c>
      <c r="J141" s="157">
        <v>25236</v>
      </c>
      <c r="K141" s="157">
        <v>23183</v>
      </c>
      <c r="L141" s="3">
        <f t="shared" ref="L141:Q141" si="67">L59*L48</f>
        <v>20456.046000000002</v>
      </c>
      <c r="M141" s="3">
        <f t="shared" si="67"/>
        <v>22024.524000000005</v>
      </c>
      <c r="N141" s="3">
        <f t="shared" si="67"/>
        <v>24135.16526986465</v>
      </c>
      <c r="O141" s="3">
        <f t="shared" si="67"/>
        <v>25895.198851771376</v>
      </c>
      <c r="P141" s="3">
        <f t="shared" si="67"/>
        <v>24921.221180595294</v>
      </c>
      <c r="Q141" s="3">
        <f t="shared" si="67"/>
        <v>23256.294194936007</v>
      </c>
    </row>
    <row r="142" spans="2:21" ht="16">
      <c r="C142" s="7" t="s">
        <v>44</v>
      </c>
      <c r="D142" s="1"/>
      <c r="E142" s="34" t="s">
        <v>96</v>
      </c>
      <c r="H142" s="157">
        <v>7384</v>
      </c>
      <c r="I142" s="157">
        <v>4034</v>
      </c>
      <c r="J142" s="157">
        <v>3536</v>
      </c>
      <c r="K142" s="157">
        <v>3901</v>
      </c>
      <c r="L142" s="3">
        <f>Drivers!L81</f>
        <v>3441.3333333333335</v>
      </c>
      <c r="M142" s="3">
        <f>Drivers!M81</f>
        <v>3441.3333333333335</v>
      </c>
      <c r="N142" s="3">
        <f>Drivers!N81</f>
        <v>3441.3333333333335</v>
      </c>
      <c r="O142" s="3">
        <f>Drivers!O81</f>
        <v>3441.3333333333335</v>
      </c>
      <c r="P142" s="3">
        <f>Drivers!P81</f>
        <v>3441.3333333333335</v>
      </c>
      <c r="Q142" s="3">
        <f>Drivers!Q81</f>
        <v>3441.3333333333335</v>
      </c>
    </row>
    <row r="143" spans="2:21" ht="16">
      <c r="C143" s="7" t="s">
        <v>45</v>
      </c>
      <c r="D143" s="1"/>
      <c r="E143" s="34" t="s">
        <v>96</v>
      </c>
      <c r="H143" s="157">
        <v>1809</v>
      </c>
      <c r="I143" s="157">
        <v>0</v>
      </c>
      <c r="J143" s="157">
        <v>2285</v>
      </c>
      <c r="K143" s="157">
        <v>21527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</row>
    <row r="144" spans="2:21" ht="16">
      <c r="C144" s="7" t="s">
        <v>46</v>
      </c>
      <c r="D144" s="1"/>
      <c r="E144" s="34" t="s">
        <v>96</v>
      </c>
      <c r="H144" s="157">
        <v>-54828</v>
      </c>
      <c r="I144" s="157">
        <v>-13566</v>
      </c>
      <c r="J144" s="157">
        <v>0</v>
      </c>
      <c r="K144" s="157">
        <v>0</v>
      </c>
      <c r="L144" s="190">
        <v>0</v>
      </c>
      <c r="M144" s="190">
        <v>0</v>
      </c>
      <c r="N144" s="190">
        <v>0</v>
      </c>
      <c r="O144" s="190">
        <v>0</v>
      </c>
      <c r="P144" s="190">
        <v>0</v>
      </c>
      <c r="Q144" s="190">
        <v>0</v>
      </c>
    </row>
    <row r="145" spans="3:17" ht="16">
      <c r="C145" s="7" t="s">
        <v>47</v>
      </c>
      <c r="D145" s="1"/>
      <c r="E145" s="34" t="s">
        <v>96</v>
      </c>
      <c r="H145" s="157">
        <v>0</v>
      </c>
      <c r="I145" s="157">
        <v>0</v>
      </c>
      <c r="J145" s="157">
        <v>1716</v>
      </c>
      <c r="K145" s="157">
        <v>4837</v>
      </c>
      <c r="L145" s="3">
        <f>(K100-L100)+(L113-K113)</f>
        <v>591.20030456746099</v>
      </c>
      <c r="M145" s="3">
        <f t="shared" ref="M145:Q145" si="68">(L100-M100)+(M113-L113)</f>
        <v>-58.038469603269732</v>
      </c>
      <c r="N145" s="3">
        <f t="shared" si="68"/>
        <v>-43.838909930476802</v>
      </c>
      <c r="O145" s="3">
        <f t="shared" si="68"/>
        <v>-62.157872951876016</v>
      </c>
      <c r="P145" s="3">
        <f t="shared" si="68"/>
        <v>-107.76025131375627</v>
      </c>
      <c r="Q145" s="3">
        <f t="shared" si="68"/>
        <v>-140.20292977412009</v>
      </c>
    </row>
    <row r="146" spans="3:17" ht="16">
      <c r="C146" s="7"/>
      <c r="D146" s="1"/>
      <c r="E146" s="34"/>
      <c r="H146" s="157"/>
      <c r="I146" s="157"/>
      <c r="J146" s="157"/>
      <c r="K146" s="157"/>
      <c r="L146" s="3"/>
      <c r="M146" s="3"/>
      <c r="N146" s="3"/>
      <c r="O146" s="3"/>
      <c r="P146" s="3"/>
      <c r="Q146" s="3"/>
    </row>
    <row r="147" spans="3:17" ht="16">
      <c r="C147" s="7" t="s">
        <v>48</v>
      </c>
      <c r="D147" s="1"/>
      <c r="E147" s="34" t="s">
        <v>96</v>
      </c>
      <c r="H147" s="157">
        <v>-47420</v>
      </c>
      <c r="I147" s="157">
        <v>15952</v>
      </c>
      <c r="J147" s="157">
        <v>24198</v>
      </c>
      <c r="K147" s="157">
        <v>-31687</v>
      </c>
      <c r="L147" s="3">
        <f t="shared" ref="L147:Q149" si="69">K93-L93</f>
        <v>-17809.035616438356</v>
      </c>
      <c r="M147" s="3">
        <f t="shared" si="69"/>
        <v>-5233.1835616438329</v>
      </c>
      <c r="N147" s="3">
        <f t="shared" si="69"/>
        <v>-5974.2705030677898</v>
      </c>
      <c r="O147" s="3">
        <f t="shared" si="69"/>
        <v>-8670.9830209977517</v>
      </c>
      <c r="P147" s="3">
        <f t="shared" si="69"/>
        <v>-23678.834482969352</v>
      </c>
      <c r="Q147" s="3">
        <f t="shared" si="69"/>
        <v>-43447.552925420066</v>
      </c>
    </row>
    <row r="148" spans="3:17" ht="16">
      <c r="C148" s="7" t="s">
        <v>49</v>
      </c>
      <c r="D148" s="1"/>
      <c r="E148" s="34" t="s">
        <v>96</v>
      </c>
      <c r="H148" s="157">
        <v>-8229</v>
      </c>
      <c r="I148" s="157">
        <v>-24314</v>
      </c>
      <c r="J148" s="157">
        <v>-47099</v>
      </c>
      <c r="K148" s="157">
        <v>-41537</v>
      </c>
      <c r="L148" s="3">
        <f t="shared" si="69"/>
        <v>-79995.550684931513</v>
      </c>
      <c r="M148" s="3">
        <f t="shared" si="69"/>
        <v>42961.002739726042</v>
      </c>
      <c r="N148" s="3">
        <f t="shared" si="69"/>
        <v>-14935.676257669489</v>
      </c>
      <c r="O148" s="3">
        <f t="shared" si="69"/>
        <v>-7283.011142044299</v>
      </c>
      <c r="P148" s="3">
        <f t="shared" si="69"/>
        <v>18842.866955211502</v>
      </c>
      <c r="Q148" s="3">
        <f t="shared" si="69"/>
        <v>34604.963167470385</v>
      </c>
    </row>
    <row r="149" spans="3:17" ht="16">
      <c r="C149" s="7" t="s">
        <v>50</v>
      </c>
      <c r="D149" s="1"/>
      <c r="E149" s="34" t="s">
        <v>96</v>
      </c>
      <c r="H149" s="157">
        <v>0</v>
      </c>
      <c r="I149" s="157">
        <v>0</v>
      </c>
      <c r="J149" s="157">
        <v>-19302</v>
      </c>
      <c r="K149" s="157">
        <v>-497</v>
      </c>
      <c r="L149" s="3">
        <f t="shared" si="69"/>
        <v>-58500</v>
      </c>
      <c r="M149" s="3">
        <f t="shared" si="69"/>
        <v>-2348.9700000000012</v>
      </c>
      <c r="N149" s="3">
        <f t="shared" si="69"/>
        <v>-2419.4391000000032</v>
      </c>
      <c r="O149" s="3">
        <f t="shared" si="69"/>
        <v>-2492.0222730000096</v>
      </c>
      <c r="P149" s="3">
        <f t="shared" si="69"/>
        <v>-2566.782941190002</v>
      </c>
      <c r="Q149" s="3">
        <f t="shared" si="69"/>
        <v>-2643.7864294257015</v>
      </c>
    </row>
    <row r="150" spans="3:17" ht="16">
      <c r="C150" s="7" t="s">
        <v>51</v>
      </c>
      <c r="D150" s="1"/>
      <c r="E150" s="34" t="s">
        <v>96</v>
      </c>
      <c r="H150" s="157">
        <v>-4154</v>
      </c>
      <c r="I150" s="157">
        <v>-6022</v>
      </c>
      <c r="J150" s="157">
        <v>1006</v>
      </c>
      <c r="K150" s="157">
        <v>-1301</v>
      </c>
      <c r="L150" s="3">
        <f>K96-L96</f>
        <v>-275.78972000000067</v>
      </c>
      <c r="M150" s="3">
        <f t="shared" ref="M150:Q150" si="70">L96-M96</f>
        <v>1263.0052200000009</v>
      </c>
      <c r="N150" s="3">
        <f t="shared" si="70"/>
        <v>1380.6918799140785</v>
      </c>
      <c r="O150" s="3">
        <f t="shared" si="70"/>
        <v>1703.0192078242835</v>
      </c>
      <c r="P150" s="3">
        <f t="shared" si="70"/>
        <v>1246.5594552821713</v>
      </c>
      <c r="Q150" s="3">
        <f t="shared" si="70"/>
        <v>1979.4771826124679</v>
      </c>
    </row>
    <row r="151" spans="3:17" ht="16">
      <c r="C151" s="7" t="s">
        <v>24</v>
      </c>
      <c r="D151" s="1"/>
      <c r="E151" s="34" t="s">
        <v>96</v>
      </c>
      <c r="H151" s="157"/>
      <c r="I151" s="157"/>
      <c r="J151" s="157"/>
      <c r="K151" s="157"/>
      <c r="L151" s="3">
        <f>K102-L102</f>
        <v>3070.6639999999989</v>
      </c>
      <c r="M151" s="3">
        <f t="shared" ref="M151:Q151" si="71">L102-M102</f>
        <v>-3371.4639999999999</v>
      </c>
      <c r="N151" s="3">
        <f t="shared" si="71"/>
        <v>287.614759828155</v>
      </c>
      <c r="O151" s="3">
        <f t="shared" si="71"/>
        <v>-4771.3928007002869</v>
      </c>
      <c r="P151" s="3">
        <f t="shared" si="71"/>
        <v>-3988.9917440252029</v>
      </c>
      <c r="Q151" s="3">
        <f t="shared" si="71"/>
        <v>-4637.7979587726477</v>
      </c>
    </row>
    <row r="152" spans="3:17" ht="16">
      <c r="L152" s="3"/>
      <c r="M152" s="3"/>
      <c r="N152" s="3"/>
      <c r="O152" s="3"/>
      <c r="P152" s="3"/>
      <c r="Q152" s="3"/>
    </row>
    <row r="153" spans="3:17" ht="16">
      <c r="C153" s="7" t="s">
        <v>223</v>
      </c>
      <c r="D153" s="1"/>
      <c r="E153" s="34" t="s">
        <v>96</v>
      </c>
      <c r="H153" s="157">
        <v>8993</v>
      </c>
      <c r="I153" s="157">
        <v>19662</v>
      </c>
      <c r="J153" s="157">
        <v>-9858</v>
      </c>
      <c r="K153" s="157">
        <v>1332</v>
      </c>
      <c r="L153" s="3">
        <f t="shared" ref="L153:Q154" si="72">L107-K107</f>
        <v>17471.91302042934</v>
      </c>
      <c r="M153" s="3">
        <f t="shared" si="72"/>
        <v>7064.1143768309339</v>
      </c>
      <c r="N153" s="3">
        <f t="shared" si="72"/>
        <v>9151.9643476597121</v>
      </c>
      <c r="O153" s="3">
        <f t="shared" si="72"/>
        <v>9778.132979250935</v>
      </c>
      <c r="P153" s="3">
        <f t="shared" si="72"/>
        <v>8835.5622791632777</v>
      </c>
      <c r="Q153" s="3">
        <f t="shared" si="72"/>
        <v>9090.8123388977256</v>
      </c>
    </row>
    <row r="154" spans="3:17" ht="16">
      <c r="C154" s="7" t="s">
        <v>224</v>
      </c>
      <c r="L154" s="3">
        <f t="shared" si="72"/>
        <v>-3225.6143297737872</v>
      </c>
      <c r="M154" s="3">
        <f t="shared" si="72"/>
        <v>1727.3947733693494</v>
      </c>
      <c r="N154" s="3">
        <f t="shared" si="72"/>
        <v>-9615.9103136582853</v>
      </c>
      <c r="O154" s="3">
        <f t="shared" si="72"/>
        <v>2678.9934017020132</v>
      </c>
      <c r="P154" s="3">
        <f t="shared" si="72"/>
        <v>-2833.9016717242121</v>
      </c>
      <c r="Q154" s="3">
        <f t="shared" si="72"/>
        <v>-4408.8374309878418</v>
      </c>
    </row>
    <row r="155" spans="3:17" ht="16">
      <c r="C155" s="7" t="s">
        <v>52</v>
      </c>
      <c r="D155" s="1"/>
      <c r="E155" s="34" t="s">
        <v>96</v>
      </c>
      <c r="H155" s="157">
        <v>0</v>
      </c>
      <c r="I155" s="157">
        <v>0</v>
      </c>
      <c r="J155" s="157">
        <v>0</v>
      </c>
      <c r="K155" s="157">
        <v>100000</v>
      </c>
      <c r="L155" s="3">
        <f t="shared" ref="L155:Q155" si="73">L112-K112</f>
        <v>10147.940000000002</v>
      </c>
      <c r="M155" s="3">
        <f t="shared" si="73"/>
        <v>-30348.940000000002</v>
      </c>
      <c r="N155" s="3">
        <f t="shared" si="73"/>
        <v>-1438.0737991407514</v>
      </c>
      <c r="O155" s="3">
        <f t="shared" si="73"/>
        <v>-10215.66606461881</v>
      </c>
      <c r="P155" s="3">
        <f t="shared" si="73"/>
        <v>-2991.7407098475451</v>
      </c>
      <c r="Q155" s="3">
        <f t="shared" si="73"/>
        <v>-7012.7839390529261</v>
      </c>
    </row>
    <row r="156" spans="3:17" ht="16">
      <c r="C156" s="7" t="s">
        <v>53</v>
      </c>
      <c r="D156" s="1"/>
      <c r="E156" s="34" t="s">
        <v>96</v>
      </c>
      <c r="H156" s="157">
        <v>0</v>
      </c>
      <c r="I156" s="157">
        <v>0</v>
      </c>
      <c r="J156" s="157">
        <v>19120</v>
      </c>
      <c r="K156" s="157">
        <v>4911</v>
      </c>
      <c r="L156" s="3">
        <f t="shared" ref="L156:Q158" si="74">L114-K114</f>
        <v>3013.0499999999993</v>
      </c>
      <c r="M156" s="3">
        <f t="shared" si="74"/>
        <v>3465.0074999999961</v>
      </c>
      <c r="N156" s="3">
        <f t="shared" si="74"/>
        <v>3984.7586249999986</v>
      </c>
      <c r="O156" s="3">
        <f t="shared" si="74"/>
        <v>4582.4724187499996</v>
      </c>
      <c r="P156" s="3">
        <f t="shared" si="74"/>
        <v>5269.8432815624983</v>
      </c>
      <c r="Q156" s="3">
        <f t="shared" si="74"/>
        <v>6060.3197737968731</v>
      </c>
    </row>
    <row r="157" spans="3:17" ht="16">
      <c r="C157" s="7" t="s">
        <v>32</v>
      </c>
      <c r="D157" s="1"/>
      <c r="E157" s="34" t="s">
        <v>96</v>
      </c>
      <c r="H157" s="157">
        <v>17425</v>
      </c>
      <c r="I157" s="157">
        <v>17789</v>
      </c>
      <c r="J157" s="157">
        <v>8455</v>
      </c>
      <c r="K157" s="157">
        <v>-27775</v>
      </c>
      <c r="L157" s="3">
        <f t="shared" si="74"/>
        <v>-3121.9398607180192</v>
      </c>
      <c r="M157" s="3">
        <f t="shared" si="74"/>
        <v>-11329.889659695516</v>
      </c>
      <c r="N157" s="3">
        <f t="shared" si="74"/>
        <v>-12522.170451104786</v>
      </c>
      <c r="O157" s="3">
        <f t="shared" si="74"/>
        <v>-12514.703241975396</v>
      </c>
      <c r="P157" s="3">
        <f t="shared" si="74"/>
        <v>-12206.7728097617</v>
      </c>
      <c r="Q157" s="3">
        <f t="shared" si="74"/>
        <v>-12942.471783150184</v>
      </c>
    </row>
    <row r="158" spans="3:17" ht="16">
      <c r="C158" s="8" t="s">
        <v>54</v>
      </c>
      <c r="D158" s="1"/>
      <c r="E158" s="34" t="s">
        <v>96</v>
      </c>
      <c r="H158" s="178">
        <v>-1359</v>
      </c>
      <c r="I158" s="178">
        <v>797</v>
      </c>
      <c r="J158" s="178">
        <v>-294</v>
      </c>
      <c r="K158" s="178">
        <v>26988</v>
      </c>
      <c r="L158" s="9">
        <f t="shared" si="74"/>
        <v>-19787.327999999998</v>
      </c>
      <c r="M158" s="9">
        <f t="shared" si="74"/>
        <v>2752.9779999999992</v>
      </c>
      <c r="N158" s="9">
        <f t="shared" si="74"/>
        <v>3414.7204803436944</v>
      </c>
      <c r="O158" s="9">
        <f t="shared" si="74"/>
        <v>2728.2595877765234</v>
      </c>
      <c r="P158" s="9">
        <f t="shared" si="74"/>
        <v>-1495.8703549237725</v>
      </c>
      <c r="Q158" s="9">
        <f t="shared" si="74"/>
        <v>-3506.3919695264631</v>
      </c>
    </row>
    <row r="159" spans="3:17" ht="16">
      <c r="C159" s="4" t="s">
        <v>55</v>
      </c>
      <c r="D159" s="4"/>
      <c r="E159" s="35" t="s">
        <v>96</v>
      </c>
      <c r="H159" s="10">
        <f t="shared" ref="H159:Q159" si="75">SUM(H135:H158)</f>
        <v>101971</v>
      </c>
      <c r="I159" s="10">
        <f t="shared" si="75"/>
        <v>343514</v>
      </c>
      <c r="J159" s="10">
        <f t="shared" si="75"/>
        <v>62699</v>
      </c>
      <c r="K159" s="10">
        <f t="shared" si="75"/>
        <v>13349</v>
      </c>
      <c r="L159" s="10">
        <f t="shared" si="75"/>
        <v>-48401.614431868926</v>
      </c>
      <c r="M159" s="10">
        <f t="shared" si="75"/>
        <v>168909.36838435754</v>
      </c>
      <c r="N159" s="10">
        <f t="shared" si="75"/>
        <v>212505.41302788266</v>
      </c>
      <c r="O159" s="10">
        <f t="shared" si="75"/>
        <v>300293.16154967406</v>
      </c>
      <c r="P159" s="10">
        <f t="shared" si="75"/>
        <v>375445.68776677438</v>
      </c>
      <c r="Q159" s="10">
        <f t="shared" si="75"/>
        <v>435376.448903443</v>
      </c>
    </row>
    <row r="161" spans="3:18" ht="16">
      <c r="C161" s="7" t="s">
        <v>225</v>
      </c>
      <c r="D161" s="1"/>
      <c r="E161" s="34" t="s">
        <v>96</v>
      </c>
      <c r="H161" s="157">
        <v>-123870</v>
      </c>
      <c r="I161" s="157">
        <v>-326595</v>
      </c>
      <c r="J161" s="157">
        <v>-261897</v>
      </c>
      <c r="K161" s="157">
        <v>-186418</v>
      </c>
      <c r="L161" s="3">
        <f>-Drivers!L96</f>
        <v>-175000</v>
      </c>
      <c r="M161" s="3">
        <f>-Drivers!M96</f>
        <v>-100000</v>
      </c>
      <c r="N161" s="3">
        <f>-Drivers!N96</f>
        <v>-97936.498459389841</v>
      </c>
      <c r="O161" s="3">
        <f>-Drivers!O96</f>
        <v>-115861.64772799898</v>
      </c>
      <c r="P161" s="3">
        <f>-Drivers!P96</f>
        <v>-143268.52876254162</v>
      </c>
      <c r="Q161" s="3">
        <f>-Drivers!Q96</f>
        <v>-163778.4994828515</v>
      </c>
      <c r="R161" s="6"/>
    </row>
    <row r="162" spans="3:18" ht="16">
      <c r="C162" s="7" t="s">
        <v>230</v>
      </c>
      <c r="D162" s="1"/>
      <c r="E162" s="34"/>
      <c r="H162" s="157"/>
      <c r="I162" s="157">
        <v>-1035506</v>
      </c>
      <c r="J162" s="157">
        <v>337449</v>
      </c>
      <c r="K162" s="157">
        <v>196379</v>
      </c>
      <c r="L162" s="3">
        <f>K92-L92</f>
        <v>-20828.823074619751</v>
      </c>
      <c r="M162" s="3">
        <f t="shared" ref="M162:Q162" si="76">L92-M92</f>
        <v>185361.61550563102</v>
      </c>
      <c r="N162" s="3">
        <f t="shared" si="76"/>
        <v>-1886.1624420361477</v>
      </c>
      <c r="O162" s="3">
        <f t="shared" si="76"/>
        <v>-19403.082231020264</v>
      </c>
      <c r="P162" s="3">
        <f t="shared" si="76"/>
        <v>-43704.338824895094</v>
      </c>
      <c r="Q162" s="3">
        <f t="shared" si="76"/>
        <v>-50060.251005960105</v>
      </c>
    </row>
    <row r="163" spans="3:18" ht="16">
      <c r="C163" s="8" t="s">
        <v>194</v>
      </c>
      <c r="D163" s="1"/>
      <c r="E163" s="34" t="s">
        <v>96</v>
      </c>
      <c r="H163" s="178">
        <v>4507</v>
      </c>
      <c r="I163" s="178">
        <v>5130</v>
      </c>
      <c r="J163" s="178">
        <v>-6855</v>
      </c>
      <c r="K163" s="178">
        <v>96</v>
      </c>
      <c r="L163" s="140">
        <f>AVERAGE(H163:K163)</f>
        <v>719.5</v>
      </c>
      <c r="M163" s="140">
        <f t="shared" ref="M163:Q163" si="77">AVERAGE(I163:L163)</f>
        <v>-227.375</v>
      </c>
      <c r="N163" s="140">
        <f t="shared" si="77"/>
        <v>-1566.71875</v>
      </c>
      <c r="O163" s="140">
        <f t="shared" si="77"/>
        <v>-244.6484375</v>
      </c>
      <c r="P163" s="140">
        <f t="shared" si="77"/>
        <v>-329.810546875</v>
      </c>
      <c r="Q163" s="140">
        <f t="shared" si="77"/>
        <v>-592.13818359375</v>
      </c>
    </row>
    <row r="164" spans="3:18" ht="16">
      <c r="C164" s="4" t="s">
        <v>56</v>
      </c>
      <c r="D164" s="4"/>
      <c r="E164" s="35" t="s">
        <v>96</v>
      </c>
      <c r="H164" s="10">
        <f t="shared" ref="H164:Q164" si="78">SUM(H161:H163)</f>
        <v>-119363</v>
      </c>
      <c r="I164" s="10">
        <f t="shared" si="78"/>
        <v>-1356971</v>
      </c>
      <c r="J164" s="10">
        <f t="shared" si="78"/>
        <v>68697</v>
      </c>
      <c r="K164" s="10">
        <f t="shared" si="78"/>
        <v>10057</v>
      </c>
      <c r="L164" s="10">
        <f t="shared" si="78"/>
        <v>-195109.32307461975</v>
      </c>
      <c r="M164" s="10">
        <f t="shared" si="78"/>
        <v>85134.240505631024</v>
      </c>
      <c r="N164" s="10">
        <f t="shared" si="78"/>
        <v>-101389.37965142599</v>
      </c>
      <c r="O164" s="10">
        <f t="shared" si="78"/>
        <v>-135509.37839651923</v>
      </c>
      <c r="P164" s="10">
        <f t="shared" si="78"/>
        <v>-187302.67813431172</v>
      </c>
      <c r="Q164" s="10">
        <f t="shared" si="78"/>
        <v>-214430.88867240536</v>
      </c>
    </row>
    <row r="165" spans="3:18" ht="16">
      <c r="C165" s="1"/>
      <c r="D165" s="1"/>
      <c r="H165" s="3"/>
      <c r="I165" s="3"/>
      <c r="J165" s="3"/>
      <c r="K165" s="3"/>
    </row>
    <row r="166" spans="3:18" ht="16">
      <c r="C166" s="7" t="s">
        <v>58</v>
      </c>
      <c r="D166" s="1"/>
      <c r="E166" s="34" t="s">
        <v>96</v>
      </c>
      <c r="H166" s="157">
        <v>0</v>
      </c>
      <c r="I166" s="157">
        <v>0</v>
      </c>
      <c r="J166" s="157">
        <v>0</v>
      </c>
      <c r="K166" s="157">
        <v>-225068</v>
      </c>
      <c r="L166" s="190">
        <f t="shared" ref="L166:Q166" si="79">K125-L125</f>
        <v>0</v>
      </c>
      <c r="M166" s="190">
        <f t="shared" si="79"/>
        <v>0</v>
      </c>
      <c r="N166" s="190">
        <f t="shared" si="79"/>
        <v>0</v>
      </c>
      <c r="O166" s="190">
        <f t="shared" si="79"/>
        <v>0</v>
      </c>
      <c r="P166" s="190">
        <f t="shared" si="79"/>
        <v>0</v>
      </c>
      <c r="Q166" s="190">
        <f t="shared" si="79"/>
        <v>0</v>
      </c>
    </row>
    <row r="167" spans="3:18" ht="16">
      <c r="C167" s="7" t="s">
        <v>231</v>
      </c>
      <c r="D167" s="1"/>
      <c r="E167" s="34"/>
      <c r="H167" s="157">
        <v>672251</v>
      </c>
      <c r="I167" s="157">
        <v>0</v>
      </c>
      <c r="J167" s="157">
        <v>0</v>
      </c>
      <c r="K167" s="157">
        <v>232921</v>
      </c>
      <c r="L167" s="3">
        <f>L111-K111</f>
        <v>12166</v>
      </c>
      <c r="M167" s="3">
        <f t="shared" ref="M167:Q167" si="80">M111-L111</f>
        <v>-133</v>
      </c>
      <c r="N167" s="3">
        <f t="shared" si="80"/>
        <v>-1045.5</v>
      </c>
      <c r="O167" s="3">
        <f t="shared" si="80"/>
        <v>-2190.875</v>
      </c>
      <c r="P167" s="3">
        <f t="shared" si="80"/>
        <v>2199.15625</v>
      </c>
      <c r="Q167" s="3">
        <f t="shared" si="80"/>
        <v>328568.34576539812</v>
      </c>
    </row>
    <row r="168" spans="3:18" ht="16">
      <c r="C168" s="7" t="s">
        <v>59</v>
      </c>
      <c r="D168" s="1"/>
      <c r="E168" s="34" t="s">
        <v>96</v>
      </c>
      <c r="H168" s="157">
        <v>-2435</v>
      </c>
      <c r="I168" s="157">
        <v>-5834</v>
      </c>
      <c r="J168" s="157">
        <v>-2732</v>
      </c>
      <c r="K168" s="157">
        <v>-2532</v>
      </c>
      <c r="L168" s="3">
        <f>Drivers!L78</f>
        <v>-4374.0619822236158</v>
      </c>
      <c r="M168" s="3">
        <f>Drivers!M78</f>
        <v>-4373.4302595585605</v>
      </c>
      <c r="N168" s="3">
        <f>Drivers!N78</f>
        <v>-4368.4643494358916</v>
      </c>
      <c r="O168" s="3">
        <f>Drivers!O78</f>
        <v>-4358.058143467455</v>
      </c>
      <c r="P168" s="3">
        <f>Drivers!P78</f>
        <v>-4368.5036836713807</v>
      </c>
      <c r="Q168" s="3">
        <f>Drivers!Q78</f>
        <v>-5929.1357967510821</v>
      </c>
    </row>
    <row r="169" spans="3:18" ht="16">
      <c r="C169" s="7" t="s">
        <v>60</v>
      </c>
      <c r="D169" s="1"/>
      <c r="E169" s="34" t="s">
        <v>96</v>
      </c>
      <c r="H169" s="157">
        <v>-3330</v>
      </c>
      <c r="I169" s="157">
        <v>-18357</v>
      </c>
      <c r="J169" s="157">
        <v>-7185</v>
      </c>
      <c r="K169" s="157">
        <v>-10112</v>
      </c>
      <c r="L169" s="3">
        <f t="shared" ref="L169:Q169" si="81">-L50*L141</f>
        <v>-7383.3014427241624</v>
      </c>
      <c r="M169" s="3">
        <f t="shared" si="81"/>
        <v>-7949.4199330854535</v>
      </c>
      <c r="N169" s="3">
        <f t="shared" si="81"/>
        <v>-8711.2240829619641</v>
      </c>
      <c r="O169" s="3">
        <f t="shared" si="81"/>
        <v>-9346.4816730424172</v>
      </c>
      <c r="P169" s="3">
        <f t="shared" si="81"/>
        <v>-8994.9391146821417</v>
      </c>
      <c r="Q169" s="3">
        <f t="shared" si="81"/>
        <v>-8394.0088168499697</v>
      </c>
    </row>
    <row r="170" spans="3:18" ht="16">
      <c r="C170" s="8" t="s">
        <v>66</v>
      </c>
      <c r="D170" s="1"/>
      <c r="E170" s="34" t="s">
        <v>96</v>
      </c>
      <c r="H170" s="178">
        <v>-377</v>
      </c>
      <c r="I170" s="178">
        <v>0</v>
      </c>
      <c r="J170" s="178">
        <v>0</v>
      </c>
      <c r="K170" s="178">
        <v>0</v>
      </c>
      <c r="L170" s="189">
        <v>0</v>
      </c>
      <c r="M170" s="189">
        <v>0</v>
      </c>
      <c r="N170" s="189">
        <v>0</v>
      </c>
      <c r="O170" s="189">
        <v>0</v>
      </c>
      <c r="P170" s="189">
        <v>0</v>
      </c>
      <c r="Q170" s="189">
        <v>0</v>
      </c>
    </row>
    <row r="171" spans="3:18" ht="16">
      <c r="C171" s="4" t="s">
        <v>61</v>
      </c>
      <c r="D171" s="4"/>
      <c r="E171" s="35" t="s">
        <v>96</v>
      </c>
      <c r="H171" s="10">
        <f>SUM(H166:H170)</f>
        <v>666109</v>
      </c>
      <c r="I171" s="10">
        <f>SUM(I166:I170)</f>
        <v>-24191</v>
      </c>
      <c r="J171" s="10">
        <f t="shared" ref="J171:Q171" si="82">SUM(J166:J169)</f>
        <v>-9917</v>
      </c>
      <c r="K171" s="10">
        <f t="shared" si="82"/>
        <v>-4791</v>
      </c>
      <c r="L171" s="10">
        <f t="shared" si="82"/>
        <v>408.63657505222181</v>
      </c>
      <c r="M171" s="10">
        <f t="shared" si="82"/>
        <v>-12455.850192644015</v>
      </c>
      <c r="N171" s="10">
        <f t="shared" si="82"/>
        <v>-14125.188432397856</v>
      </c>
      <c r="O171" s="10">
        <f t="shared" si="82"/>
        <v>-15895.414816509872</v>
      </c>
      <c r="P171" s="10">
        <f t="shared" si="82"/>
        <v>-11164.286548353522</v>
      </c>
      <c r="Q171" s="10">
        <f t="shared" si="82"/>
        <v>314245.20115179708</v>
      </c>
    </row>
    <row r="172" spans="3:18" ht="16">
      <c r="C172" s="1"/>
      <c r="D172" s="1"/>
      <c r="H172" s="3"/>
      <c r="I172" s="3"/>
      <c r="J172" s="3"/>
      <c r="K172" s="3"/>
    </row>
    <row r="173" spans="3:18" ht="16">
      <c r="C173" s="7" t="s">
        <v>62</v>
      </c>
      <c r="D173" s="7"/>
      <c r="E173" s="34" t="s">
        <v>96</v>
      </c>
      <c r="H173" s="3">
        <f t="shared" ref="H173:Q173" si="83">SUM(H159,H164,H171)</f>
        <v>648717</v>
      </c>
      <c r="I173" s="3">
        <f t="shared" si="83"/>
        <v>-1037648</v>
      </c>
      <c r="J173" s="3">
        <f t="shared" si="83"/>
        <v>121479</v>
      </c>
      <c r="K173" s="3">
        <f t="shared" si="83"/>
        <v>18615</v>
      </c>
      <c r="L173" s="3">
        <f t="shared" si="83"/>
        <v>-243102.30093143645</v>
      </c>
      <c r="M173" s="3">
        <f t="shared" si="83"/>
        <v>241587.75869734454</v>
      </c>
      <c r="N173" s="3">
        <f t="shared" si="83"/>
        <v>96990.844944058816</v>
      </c>
      <c r="O173" s="3">
        <f t="shared" si="83"/>
        <v>148888.36833664495</v>
      </c>
      <c r="P173" s="3">
        <f t="shared" si="83"/>
        <v>176978.72308410914</v>
      </c>
      <c r="Q173" s="3">
        <f t="shared" si="83"/>
        <v>535190.76138283475</v>
      </c>
    </row>
    <row r="174" spans="3:18" ht="16">
      <c r="C174" s="8" t="s">
        <v>63</v>
      </c>
      <c r="D174" s="7"/>
      <c r="E174" s="34" t="s">
        <v>96</v>
      </c>
      <c r="H174" s="178">
        <v>532440</v>
      </c>
      <c r="I174" s="179">
        <f>H175</f>
        <v>1181157</v>
      </c>
      <c r="J174" s="179">
        <f t="shared" ref="J174:K174" si="84">I175</f>
        <v>143509</v>
      </c>
      <c r="K174" s="179">
        <f t="shared" si="84"/>
        <v>264988</v>
      </c>
      <c r="L174" s="201">
        <f>K175</f>
        <v>282442</v>
      </c>
      <c r="M174" s="201">
        <f t="shared" ref="M174:Q174" si="85">L175</f>
        <v>39339.699068563554</v>
      </c>
      <c r="N174" s="201">
        <f t="shared" si="85"/>
        <v>280927.4577659081</v>
      </c>
      <c r="O174" s="201">
        <f t="shared" si="85"/>
        <v>377918.3027099669</v>
      </c>
      <c r="P174" s="201">
        <f t="shared" si="85"/>
        <v>526806.67104661185</v>
      </c>
      <c r="Q174" s="201">
        <f t="shared" si="85"/>
        <v>703785.39413072099</v>
      </c>
    </row>
    <row r="175" spans="3:18" ht="16">
      <c r="C175" s="4" t="s">
        <v>64</v>
      </c>
      <c r="D175" s="4"/>
      <c r="E175" s="35" t="s">
        <v>96</v>
      </c>
      <c r="H175" s="10">
        <f>SUM(H173:H174)</f>
        <v>1181157</v>
      </c>
      <c r="I175" s="10">
        <f t="shared" ref="I175:L175" si="86">SUM(I173:I174)</f>
        <v>143509</v>
      </c>
      <c r="J175" s="10">
        <f t="shared" si="86"/>
        <v>264988</v>
      </c>
      <c r="K175" s="176">
        <v>282442</v>
      </c>
      <c r="L175" s="10">
        <f t="shared" si="86"/>
        <v>39339.699068563554</v>
      </c>
      <c r="M175" s="10">
        <f t="shared" ref="M175:Q175" si="87">SUM(M173:M174)</f>
        <v>280927.4577659081</v>
      </c>
      <c r="N175" s="10">
        <f t="shared" si="87"/>
        <v>377918.3027099669</v>
      </c>
      <c r="O175" s="10">
        <f t="shared" si="87"/>
        <v>526806.67104661185</v>
      </c>
      <c r="P175" s="10">
        <f t="shared" si="87"/>
        <v>703785.39413072099</v>
      </c>
      <c r="Q175" s="10">
        <f t="shared" si="87"/>
        <v>1238976.1555135557</v>
      </c>
    </row>
    <row r="176" spans="3:18" ht="16">
      <c r="E176" s="3"/>
      <c r="F176" s="3"/>
      <c r="G176" s="3"/>
      <c r="H176" s="3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2DE05-6E6C-4ED9-84FE-DF17E2B6E31B}">
  <dimension ref="B2:V126"/>
  <sheetViews>
    <sheetView showGridLines="0" zoomScale="53" workbookViewId="0">
      <selection activeCell="B3" sqref="B2:P3"/>
    </sheetView>
  </sheetViews>
  <sheetFormatPr defaultRowHeight="14.5"/>
  <cols>
    <col min="2" max="2" width="4.08984375" customWidth="1"/>
    <col min="3" max="3" width="34.453125" customWidth="1"/>
    <col min="6" max="6" width="9.81640625" bestFit="1" customWidth="1"/>
    <col min="7" max="7" width="12.453125" bestFit="1" customWidth="1"/>
    <col min="8" max="8" width="12.6328125" bestFit="1" customWidth="1"/>
    <col min="9" max="10" width="12.453125" bestFit="1" customWidth="1"/>
    <col min="11" max="16" width="12.6328125" bestFit="1" customWidth="1"/>
    <col min="17" max="17" width="13.08984375" bestFit="1" customWidth="1"/>
  </cols>
  <sheetData>
    <row r="2" spans="2:17" ht="16">
      <c r="B2" s="12"/>
      <c r="C2" s="12"/>
      <c r="D2" s="12"/>
      <c r="E2" s="12"/>
      <c r="F2" s="12"/>
      <c r="G2" s="12"/>
      <c r="H2" s="13"/>
      <c r="I2" s="13"/>
      <c r="J2" s="14" t="s">
        <v>67</v>
      </c>
      <c r="K2" s="13"/>
      <c r="L2" s="15"/>
      <c r="M2" s="13"/>
      <c r="N2" s="14" t="s">
        <v>68</v>
      </c>
      <c r="O2" s="13"/>
      <c r="P2" s="13"/>
      <c r="Q2" s="13"/>
    </row>
    <row r="3" spans="2:17" ht="16">
      <c r="B3" s="16" t="str">
        <f>"Revenue Drivers - "&amp;Company_Name</f>
        <v>Revenue Drivers - MP Materials Corp.</v>
      </c>
      <c r="C3" s="12"/>
      <c r="D3" s="12"/>
      <c r="E3" s="17" t="s">
        <v>69</v>
      </c>
      <c r="F3" s="18"/>
      <c r="G3" s="18"/>
      <c r="H3" s="19">
        <f>Model!H3</f>
        <v>44561</v>
      </c>
      <c r="I3" s="19">
        <f>Model!I3</f>
        <v>44926</v>
      </c>
      <c r="J3" s="19">
        <f>Model!J3</f>
        <v>45291</v>
      </c>
      <c r="K3" s="19">
        <f>Model!K3</f>
        <v>45657</v>
      </c>
      <c r="L3" s="20">
        <f>Model!L3</f>
        <v>46022</v>
      </c>
      <c r="M3" s="19">
        <f>Model!M3</f>
        <v>46387</v>
      </c>
      <c r="N3" s="19">
        <f>Model!N3</f>
        <v>46752</v>
      </c>
      <c r="O3" s="19">
        <f>Model!O3</f>
        <v>47118</v>
      </c>
      <c r="P3" s="19">
        <f>Model!P3</f>
        <v>47483</v>
      </c>
      <c r="Q3" s="19">
        <f>Model!Q3</f>
        <v>47848</v>
      </c>
    </row>
    <row r="4" spans="2:17" ht="16">
      <c r="B4" s="1"/>
      <c r="C4" s="1"/>
      <c r="D4" s="1"/>
      <c r="E4" s="1"/>
      <c r="F4" s="1"/>
      <c r="G4" s="26"/>
      <c r="H4" s="1"/>
      <c r="I4" s="1"/>
      <c r="J4" s="22"/>
      <c r="K4" s="23"/>
      <c r="L4" s="23"/>
      <c r="M4" s="23"/>
      <c r="N4" s="30"/>
      <c r="O4" s="1"/>
      <c r="P4" s="1"/>
      <c r="Q4" s="1"/>
    </row>
    <row r="5" spans="2:17" ht="16">
      <c r="B5" s="1"/>
      <c r="C5" s="4" t="s">
        <v>109</v>
      </c>
      <c r="D5" s="1"/>
      <c r="E5" s="36" t="s">
        <v>99</v>
      </c>
      <c r="F5" s="1"/>
      <c r="G5" s="26"/>
      <c r="H5" s="5">
        <v>290000</v>
      </c>
      <c r="I5" s="5">
        <v>300000</v>
      </c>
      <c r="J5" s="5">
        <v>376000</v>
      </c>
      <c r="K5" s="5">
        <v>390000</v>
      </c>
      <c r="L5" s="50">
        <f>K5*(1+L6)</f>
        <v>405600</v>
      </c>
      <c r="M5" s="50">
        <f t="shared" ref="M5:Q5" si="0">L5*(1+M6)</f>
        <v>413712</v>
      </c>
      <c r="N5" s="50">
        <f t="shared" si="0"/>
        <v>421986.24</v>
      </c>
      <c r="O5" s="50">
        <f t="shared" si="0"/>
        <v>443085.55200000003</v>
      </c>
      <c r="P5" s="50">
        <f t="shared" si="0"/>
        <v>474101.54064000008</v>
      </c>
      <c r="Q5" s="50">
        <f t="shared" si="0"/>
        <v>520563.49162272015</v>
      </c>
    </row>
    <row r="6" spans="2:17" ht="16">
      <c r="B6" s="1"/>
      <c r="C6" s="38" t="s">
        <v>108</v>
      </c>
      <c r="D6" s="1"/>
      <c r="E6" s="36" t="s">
        <v>82</v>
      </c>
      <c r="F6" s="1"/>
      <c r="G6" s="26"/>
      <c r="H6" s="5"/>
      <c r="I6" s="43">
        <f>I5/H5-1</f>
        <v>3.4482758620689724E-2</v>
      </c>
      <c r="J6" s="43">
        <f t="shared" ref="J6:K6" si="1">J5/I5-1</f>
        <v>0.25333333333333341</v>
      </c>
      <c r="K6" s="43">
        <f t="shared" si="1"/>
        <v>3.7234042553191404E-2</v>
      </c>
      <c r="L6" s="51">
        <v>0.04</v>
      </c>
      <c r="M6" s="51">
        <v>0.02</v>
      </c>
      <c r="N6" s="51">
        <v>0.02</v>
      </c>
      <c r="O6" s="51">
        <v>0.05</v>
      </c>
      <c r="P6" s="51">
        <v>7.0000000000000007E-2</v>
      </c>
      <c r="Q6" s="51">
        <v>9.8000000000000004E-2</v>
      </c>
    </row>
    <row r="7" spans="2:17" ht="16">
      <c r="B7" s="1"/>
      <c r="C7" s="7" t="s">
        <v>110</v>
      </c>
      <c r="D7" s="1"/>
      <c r="E7" s="36"/>
      <c r="F7" s="1"/>
      <c r="H7" s="3"/>
      <c r="I7" s="3"/>
      <c r="J7" s="3"/>
      <c r="L7" s="23"/>
      <c r="M7" s="23"/>
      <c r="N7" s="30"/>
      <c r="O7" s="1"/>
      <c r="P7" s="1"/>
      <c r="Q7" s="1"/>
    </row>
    <row r="8" spans="2:17" ht="16">
      <c r="B8" s="1"/>
      <c r="C8" s="41" t="s">
        <v>113</v>
      </c>
      <c r="D8" s="1"/>
      <c r="E8" s="36" t="s">
        <v>99</v>
      </c>
      <c r="F8" s="1"/>
      <c r="H8" s="3">
        <v>168000</v>
      </c>
      <c r="I8" s="3">
        <v>210000</v>
      </c>
      <c r="J8" s="3">
        <v>255000</v>
      </c>
      <c r="K8" s="3">
        <v>270000</v>
      </c>
      <c r="L8" s="39">
        <f>L5*L9</f>
        <v>283920</v>
      </c>
      <c r="M8" s="39">
        <f t="shared" ref="M8:Q8" si="2">M5*M9</f>
        <v>277187.04000000004</v>
      </c>
      <c r="N8" s="39">
        <f t="shared" si="2"/>
        <v>282730.78080000001</v>
      </c>
      <c r="O8" s="39">
        <f t="shared" si="2"/>
        <v>296867.31984000001</v>
      </c>
      <c r="P8" s="39">
        <f t="shared" si="2"/>
        <v>317648.03222880006</v>
      </c>
      <c r="Q8" s="39">
        <f t="shared" si="2"/>
        <v>348777.5393872225</v>
      </c>
    </row>
    <row r="9" spans="2:17" ht="16">
      <c r="B9" s="1"/>
      <c r="C9" s="41" t="s">
        <v>112</v>
      </c>
      <c r="E9" s="36" t="s">
        <v>82</v>
      </c>
      <c r="H9" s="44">
        <f t="shared" ref="H9:I9" si="3">H8/H5</f>
        <v>0.57931034482758625</v>
      </c>
      <c r="I9" s="44">
        <f t="shared" si="3"/>
        <v>0.7</v>
      </c>
      <c r="J9" s="44">
        <f>J8/J5</f>
        <v>0.67819148936170215</v>
      </c>
      <c r="K9" s="44">
        <f>K8/K5</f>
        <v>0.69230769230769229</v>
      </c>
      <c r="L9" s="141">
        <v>0.7</v>
      </c>
      <c r="M9" s="141">
        <v>0.67</v>
      </c>
      <c r="N9" s="141">
        <v>0.67</v>
      </c>
      <c r="O9" s="141">
        <v>0.67</v>
      </c>
      <c r="P9" s="141">
        <v>0.67</v>
      </c>
      <c r="Q9" s="141">
        <v>0.67</v>
      </c>
    </row>
    <row r="10" spans="2:17" ht="16">
      <c r="B10" s="1"/>
      <c r="C10" s="41" t="s">
        <v>114</v>
      </c>
      <c r="E10" s="36" t="s">
        <v>99</v>
      </c>
      <c r="K10" s="3">
        <f>K5*K11</f>
        <v>331500</v>
      </c>
      <c r="L10" s="23"/>
      <c r="M10" s="23"/>
      <c r="N10" s="30"/>
      <c r="O10" s="1"/>
      <c r="P10" s="1"/>
      <c r="Q10" s="1"/>
    </row>
    <row r="11" spans="2:17" ht="16">
      <c r="B11" s="1"/>
      <c r="C11" s="41" t="s">
        <v>111</v>
      </c>
      <c r="D11" s="1"/>
      <c r="E11" s="36" t="s">
        <v>82</v>
      </c>
      <c r="F11" s="1"/>
      <c r="H11" s="3"/>
      <c r="I11" s="3"/>
      <c r="J11" s="3"/>
      <c r="K11" s="44">
        <v>0.85</v>
      </c>
      <c r="L11" s="23"/>
      <c r="M11" s="23"/>
      <c r="N11" s="30"/>
      <c r="O11" s="1"/>
      <c r="P11" s="1"/>
      <c r="Q11" s="1"/>
    </row>
    <row r="12" spans="2:17" ht="16">
      <c r="B12" s="1"/>
      <c r="C12" s="41"/>
      <c r="D12" s="1"/>
      <c r="E12" s="36"/>
      <c r="F12" s="1"/>
      <c r="H12" s="3"/>
      <c r="I12" s="3"/>
      <c r="J12" s="3"/>
      <c r="K12" s="40"/>
      <c r="L12" s="23"/>
      <c r="M12" s="23"/>
      <c r="N12" s="30"/>
      <c r="O12" s="1"/>
      <c r="P12" s="1"/>
      <c r="Q12" s="1"/>
    </row>
    <row r="13" spans="2:17" ht="16">
      <c r="B13" s="1"/>
      <c r="C13" s="1" t="s">
        <v>115</v>
      </c>
      <c r="D13" s="1"/>
      <c r="E13" s="36"/>
      <c r="F13" s="1"/>
      <c r="H13" s="3"/>
      <c r="I13" s="3"/>
      <c r="J13" s="3"/>
      <c r="K13" s="40"/>
      <c r="L13" s="46"/>
      <c r="M13" s="23"/>
      <c r="N13" s="30"/>
      <c r="O13" s="1"/>
      <c r="P13" s="1"/>
      <c r="Q13" s="1"/>
    </row>
    <row r="14" spans="2:17" ht="16">
      <c r="B14" s="1"/>
      <c r="C14" s="7" t="s">
        <v>116</v>
      </c>
      <c r="D14" s="1"/>
      <c r="E14" s="36" t="s">
        <v>99</v>
      </c>
      <c r="F14" s="1"/>
      <c r="H14" s="3">
        <v>7690</v>
      </c>
      <c r="I14" s="3">
        <v>10700</v>
      </c>
      <c r="J14" s="3">
        <v>8920</v>
      </c>
      <c r="K14" s="3">
        <v>8000</v>
      </c>
      <c r="L14" s="39">
        <v>9000</v>
      </c>
      <c r="M14" s="39">
        <v>9000</v>
      </c>
      <c r="N14" s="39">
        <v>9000</v>
      </c>
      <c r="O14" s="39">
        <v>9000</v>
      </c>
      <c r="P14" s="39">
        <v>9000</v>
      </c>
      <c r="Q14" s="39">
        <v>9000</v>
      </c>
    </row>
    <row r="15" spans="2:17" ht="16">
      <c r="B15" s="1"/>
      <c r="C15" s="42" t="s">
        <v>121</v>
      </c>
      <c r="D15" s="1"/>
      <c r="E15" s="36" t="s">
        <v>82</v>
      </c>
      <c r="F15" s="1"/>
      <c r="H15" s="3"/>
      <c r="I15" s="48"/>
      <c r="J15" s="48"/>
      <c r="K15" s="48"/>
      <c r="L15" s="40">
        <v>1</v>
      </c>
      <c r="M15" s="40">
        <v>1</v>
      </c>
      <c r="N15" s="40">
        <v>1</v>
      </c>
      <c r="O15" s="40">
        <v>1</v>
      </c>
      <c r="P15" s="40">
        <v>1</v>
      </c>
      <c r="Q15" s="40">
        <v>1</v>
      </c>
    </row>
    <row r="16" spans="2:17" ht="16">
      <c r="B16" s="1"/>
      <c r="C16" s="42"/>
      <c r="D16" s="1"/>
      <c r="E16" s="36"/>
      <c r="F16" s="1"/>
      <c r="H16" s="3"/>
      <c r="I16" s="48"/>
      <c r="J16" s="48"/>
      <c r="K16" s="48"/>
      <c r="L16" s="40"/>
      <c r="M16" s="40"/>
      <c r="N16" s="40"/>
      <c r="O16" s="40"/>
      <c r="P16" s="1"/>
      <c r="Q16" s="1"/>
    </row>
    <row r="17" spans="2:17" ht="16">
      <c r="B17" s="1"/>
      <c r="C17" s="7" t="s">
        <v>122</v>
      </c>
      <c r="D17" s="1"/>
      <c r="E17" s="36" t="s">
        <v>82</v>
      </c>
      <c r="F17" s="1"/>
      <c r="H17" s="3"/>
      <c r="I17" s="48"/>
      <c r="J17" s="48"/>
      <c r="K17" s="48"/>
      <c r="L17" s="151">
        <v>0.1</v>
      </c>
      <c r="M17" s="151">
        <v>0.3</v>
      </c>
      <c r="N17" s="151">
        <v>0.5</v>
      </c>
      <c r="O17" s="151">
        <v>0.5</v>
      </c>
      <c r="P17" s="151">
        <v>0.5</v>
      </c>
      <c r="Q17" s="151">
        <v>0.5</v>
      </c>
    </row>
    <row r="18" spans="2:17" ht="16">
      <c r="B18" s="1"/>
      <c r="C18" s="41" t="s">
        <v>123</v>
      </c>
      <c r="D18" s="1"/>
      <c r="E18" s="36" t="s">
        <v>99</v>
      </c>
      <c r="F18" s="1"/>
      <c r="H18" s="3"/>
      <c r="I18" s="48"/>
      <c r="J18" s="48"/>
      <c r="K18" s="48"/>
      <c r="L18" s="39">
        <f>L14*L17</f>
        <v>900</v>
      </c>
      <c r="M18" s="39">
        <f t="shared" ref="M18:O18" si="4">M14*M17</f>
        <v>2700</v>
      </c>
      <c r="N18" s="39">
        <f t="shared" si="4"/>
        <v>4500</v>
      </c>
      <c r="O18" s="39">
        <f t="shared" si="4"/>
        <v>4500</v>
      </c>
      <c r="P18" s="39">
        <f t="shared" ref="P18" si="5">P14*P17</f>
        <v>4500</v>
      </c>
      <c r="Q18" s="39">
        <f t="shared" ref="Q18" si="6">Q14*Q17</f>
        <v>4500</v>
      </c>
    </row>
    <row r="19" spans="2:17" ht="16">
      <c r="B19" s="1"/>
      <c r="C19" s="42"/>
      <c r="D19" s="1"/>
      <c r="F19" s="1"/>
      <c r="H19" s="3"/>
      <c r="I19" s="48"/>
      <c r="J19" s="48"/>
      <c r="K19" s="48"/>
      <c r="L19" s="23"/>
      <c r="M19" s="23"/>
      <c r="N19" s="30"/>
      <c r="O19" s="1"/>
      <c r="P19" s="1"/>
      <c r="Q19" s="1"/>
    </row>
    <row r="20" spans="2:17" ht="16">
      <c r="B20" s="1"/>
      <c r="C20" s="42"/>
      <c r="D20" s="1"/>
      <c r="E20" s="36"/>
      <c r="F20" s="1"/>
      <c r="H20" s="3"/>
      <c r="I20" s="48"/>
      <c r="J20" s="48"/>
      <c r="K20" s="48"/>
      <c r="L20" s="23"/>
      <c r="M20" s="23"/>
      <c r="N20" s="30"/>
    </row>
    <row r="21" spans="2:17" ht="16">
      <c r="B21" s="1"/>
      <c r="D21" s="1"/>
      <c r="E21" s="36"/>
      <c r="F21" s="1"/>
      <c r="H21" s="3"/>
      <c r="I21" s="43"/>
      <c r="J21" s="43"/>
      <c r="K21" s="43"/>
      <c r="L21" s="23"/>
      <c r="M21" s="23"/>
      <c r="N21" s="30"/>
    </row>
    <row r="22" spans="2:17" ht="16">
      <c r="B22" s="1"/>
      <c r="C22" s="47" t="s">
        <v>91</v>
      </c>
      <c r="D22" s="1"/>
      <c r="E22" s="36"/>
      <c r="F22" s="1"/>
      <c r="H22" s="3"/>
      <c r="I22" s="3"/>
      <c r="J22" s="3"/>
      <c r="K22" s="40"/>
      <c r="L22" s="23"/>
      <c r="M22" s="23"/>
      <c r="N22" s="30"/>
    </row>
    <row r="23" spans="2:17" ht="16">
      <c r="B23" s="1"/>
      <c r="C23" s="7" t="s">
        <v>107</v>
      </c>
      <c r="D23" s="1"/>
      <c r="E23" s="36" t="s">
        <v>99</v>
      </c>
      <c r="F23" s="1"/>
      <c r="H23" s="3">
        <v>42413</v>
      </c>
      <c r="I23" s="3">
        <v>42499</v>
      </c>
      <c r="J23" s="3">
        <v>41557</v>
      </c>
      <c r="K23" s="3">
        <v>45455</v>
      </c>
      <c r="L23" s="39">
        <v>48000</v>
      </c>
      <c r="M23" s="39">
        <v>51000</v>
      </c>
      <c r="N23" s="39">
        <v>60000</v>
      </c>
      <c r="O23" s="39">
        <v>60000</v>
      </c>
      <c r="P23" s="39">
        <v>60000</v>
      </c>
      <c r="Q23" s="39">
        <v>60000</v>
      </c>
    </row>
    <row r="24" spans="2:17" ht="16">
      <c r="B24" s="1"/>
      <c r="C24" s="42" t="s">
        <v>169</v>
      </c>
      <c r="D24" s="1"/>
      <c r="E24" s="36" t="s">
        <v>82</v>
      </c>
      <c r="F24" s="1"/>
      <c r="H24" s="43">
        <f>H23/H5</f>
        <v>0.14625172413793103</v>
      </c>
      <c r="I24" s="43">
        <f t="shared" ref="I24:Q24" si="7">I23/I5</f>
        <v>0.14166333333333334</v>
      </c>
      <c r="J24" s="43">
        <f t="shared" si="7"/>
        <v>0.11052393617021276</v>
      </c>
      <c r="K24" s="43">
        <f t="shared" si="7"/>
        <v>0.11655128205128205</v>
      </c>
      <c r="L24" s="43">
        <f t="shared" si="7"/>
        <v>0.11834319526627218</v>
      </c>
      <c r="M24" s="43">
        <f t="shared" si="7"/>
        <v>0.1232741617357002</v>
      </c>
      <c r="N24" s="43">
        <f t="shared" si="7"/>
        <v>0.1421847309523647</v>
      </c>
      <c r="O24" s="43">
        <f t="shared" si="7"/>
        <v>0.13541402947844255</v>
      </c>
      <c r="P24" s="43">
        <f t="shared" si="7"/>
        <v>0.12655516773686221</v>
      </c>
      <c r="Q24" s="43">
        <f t="shared" si="7"/>
        <v>0.11525971560734261</v>
      </c>
    </row>
    <row r="25" spans="2:17" ht="16">
      <c r="B25" s="1"/>
      <c r="C25" s="42"/>
      <c r="D25" s="1"/>
      <c r="E25" s="36"/>
      <c r="F25" s="1"/>
      <c r="H25" s="45"/>
      <c r="I25" s="43"/>
      <c r="J25" s="43"/>
      <c r="K25" s="43"/>
      <c r="L25" s="43"/>
      <c r="M25" s="43"/>
      <c r="N25" s="30"/>
    </row>
    <row r="26" spans="2:17" ht="16">
      <c r="B26" s="1"/>
      <c r="C26" s="7" t="s">
        <v>106</v>
      </c>
      <c r="D26" s="1"/>
      <c r="E26" s="36" t="s">
        <v>99</v>
      </c>
      <c r="F26" s="1"/>
      <c r="H26" s="45"/>
      <c r="I26" s="43"/>
      <c r="J26" s="43"/>
      <c r="K26" s="43"/>
      <c r="L26" s="39">
        <f>INDEX($L$27:$Q$29,MATCH(Scenario,$C$27:$C$29,0),1)</f>
        <v>27000</v>
      </c>
      <c r="M26" s="39">
        <f>INDEX($L$27:$Q$29,MATCH(Scenario,$C$27:$C$29,0),2)</f>
        <v>15000</v>
      </c>
      <c r="N26" s="39">
        <f>INDEX($L$27:$Q$29,MATCH(Scenario,$C$27:$C$29,0),3)</f>
        <v>20000</v>
      </c>
      <c r="O26" s="39">
        <f>INDEX($L$27:$Q$29,MATCH(Scenario,$C$27:$C$29,0),4)</f>
        <v>25000</v>
      </c>
      <c r="P26" s="39">
        <f>INDEX($L$27:$Q$29,MATCH(Scenario,$C$27:$C$29,0),5)</f>
        <v>30000</v>
      </c>
      <c r="Q26" s="39">
        <f>INDEX($L$27:$Q$29,MATCH(Scenario,$C$27:$C$29,0),6)</f>
        <v>35000</v>
      </c>
    </row>
    <row r="27" spans="2:17" ht="16">
      <c r="B27" s="1"/>
      <c r="C27" s="42" t="s">
        <v>126</v>
      </c>
      <c r="D27" s="1"/>
      <c r="E27" s="36" t="s">
        <v>99</v>
      </c>
      <c r="F27" s="1"/>
      <c r="H27" s="45"/>
      <c r="I27" s="43"/>
      <c r="J27" s="43"/>
      <c r="K27" s="43"/>
      <c r="L27" s="39">
        <v>30000</v>
      </c>
      <c r="M27" s="39">
        <v>22000</v>
      </c>
      <c r="N27" s="39">
        <v>25000</v>
      </c>
      <c r="O27" s="39">
        <f>N27+5000</f>
        <v>30000</v>
      </c>
      <c r="P27" s="39">
        <f t="shared" ref="P27:Q27" si="8">O27+5000</f>
        <v>35000</v>
      </c>
      <c r="Q27" s="39">
        <f t="shared" si="8"/>
        <v>40000</v>
      </c>
    </row>
    <row r="28" spans="2:17" ht="16">
      <c r="B28" s="1"/>
      <c r="C28" s="42" t="s">
        <v>124</v>
      </c>
      <c r="D28" s="1"/>
      <c r="E28" s="36" t="s">
        <v>99</v>
      </c>
      <c r="F28" s="1"/>
      <c r="H28" s="3">
        <v>42158</v>
      </c>
      <c r="I28" s="3">
        <v>43198</v>
      </c>
      <c r="J28" s="3">
        <v>36837</v>
      </c>
      <c r="K28" s="3">
        <v>32703</v>
      </c>
      <c r="L28" s="39">
        <v>27000</v>
      </c>
      <c r="M28" s="39">
        <v>15000</v>
      </c>
      <c r="N28" s="39">
        <v>20000</v>
      </c>
      <c r="O28" s="39">
        <f t="shared" ref="O28:Q29" si="9">N28+5000</f>
        <v>25000</v>
      </c>
      <c r="P28" s="39">
        <f t="shared" si="9"/>
        <v>30000</v>
      </c>
      <c r="Q28" s="39">
        <f t="shared" si="9"/>
        <v>35000</v>
      </c>
    </row>
    <row r="29" spans="2:17" ht="16">
      <c r="B29" s="1"/>
      <c r="C29" s="42" t="s">
        <v>125</v>
      </c>
      <c r="D29" s="1"/>
      <c r="E29" s="36" t="s">
        <v>99</v>
      </c>
      <c r="F29" s="1"/>
      <c r="H29" s="3"/>
      <c r="I29" s="43"/>
      <c r="J29" s="43"/>
      <c r="K29" s="43"/>
      <c r="L29" s="39">
        <v>15000</v>
      </c>
      <c r="M29" s="39">
        <v>10000</v>
      </c>
      <c r="N29" s="39">
        <v>15000</v>
      </c>
      <c r="O29" s="39">
        <f t="shared" si="9"/>
        <v>20000</v>
      </c>
      <c r="P29" s="39">
        <f t="shared" si="9"/>
        <v>25000</v>
      </c>
      <c r="Q29" s="39">
        <f t="shared" si="9"/>
        <v>30000</v>
      </c>
    </row>
    <row r="30" spans="2:17" ht="16">
      <c r="B30" s="1"/>
      <c r="C30" s="42"/>
      <c r="D30" s="1"/>
      <c r="E30" s="36"/>
      <c r="F30" s="1"/>
      <c r="H30" s="3"/>
      <c r="I30" s="43"/>
      <c r="J30" s="43"/>
      <c r="K30" s="43"/>
      <c r="L30" s="43"/>
      <c r="M30" s="43"/>
      <c r="N30" s="30"/>
    </row>
    <row r="31" spans="2:17" ht="16">
      <c r="B31" s="1"/>
      <c r="C31" s="42"/>
      <c r="D31" s="1"/>
      <c r="E31" s="36"/>
      <c r="F31" s="1"/>
      <c r="H31" s="3"/>
      <c r="I31" s="43"/>
      <c r="J31" s="43"/>
      <c r="K31" s="43"/>
      <c r="L31" s="43"/>
      <c r="M31" s="43"/>
      <c r="N31" s="30"/>
    </row>
    <row r="32" spans="2:17" ht="16">
      <c r="B32" s="1"/>
      <c r="C32" s="7" t="s">
        <v>105</v>
      </c>
      <c r="D32" s="1"/>
      <c r="E32" s="36" t="s">
        <v>100</v>
      </c>
      <c r="F32" s="1"/>
      <c r="H32" s="3">
        <v>7745</v>
      </c>
      <c r="I32" s="3">
        <v>11974</v>
      </c>
      <c r="J32" s="3">
        <v>6854</v>
      </c>
      <c r="K32" s="3">
        <v>4414</v>
      </c>
      <c r="L32" s="39">
        <v>4989.2</v>
      </c>
      <c r="M32" s="39">
        <v>5387</v>
      </c>
      <c r="N32" s="39">
        <f>M32*(1+N33)</f>
        <v>5952.7558390119029</v>
      </c>
      <c r="O32" s="39">
        <f t="shared" ref="O32:Q32" si="10">N32*(1+O33)</f>
        <v>6577.9287319269179</v>
      </c>
      <c r="P32" s="39">
        <f t="shared" si="10"/>
        <v>7268.7588022242662</v>
      </c>
      <c r="Q32" s="39">
        <f t="shared" si="10"/>
        <v>8032.1415263244235</v>
      </c>
    </row>
    <row r="33" spans="2:22" ht="16">
      <c r="B33" s="1"/>
      <c r="C33" s="42" t="s">
        <v>108</v>
      </c>
      <c r="E33" s="36" t="s">
        <v>82</v>
      </c>
      <c r="I33" s="43">
        <f>I32/H32-1</f>
        <v>0.5460296965784377</v>
      </c>
      <c r="J33" s="43">
        <f t="shared" ref="J33:M33" si="11">J32/I32-1</f>
        <v>-0.42759311842325043</v>
      </c>
      <c r="K33" s="43">
        <f t="shared" si="11"/>
        <v>-0.35599649839509773</v>
      </c>
      <c r="L33" s="43">
        <f t="shared" si="11"/>
        <v>0.13031264159492517</v>
      </c>
      <c r="M33" s="43">
        <f t="shared" si="11"/>
        <v>7.9732221598653119E-2</v>
      </c>
      <c r="N33" s="51">
        <f>AVERAGE(L33:M33)</f>
        <v>0.10502243159678915</v>
      </c>
      <c r="O33" s="51">
        <v>0.10502243159678915</v>
      </c>
      <c r="P33" s="51">
        <v>0.10502243159678915</v>
      </c>
      <c r="Q33" s="51">
        <v>0.10502243159678915</v>
      </c>
    </row>
    <row r="34" spans="2:22" ht="16">
      <c r="B34" s="1"/>
      <c r="I34" s="37"/>
      <c r="J34" s="37"/>
      <c r="K34" s="37"/>
      <c r="M34" s="23"/>
      <c r="N34" s="30"/>
      <c r="O34" s="1"/>
      <c r="P34" s="1"/>
      <c r="Q34" s="1"/>
    </row>
    <row r="35" spans="2:22" ht="16">
      <c r="B35" s="1"/>
      <c r="C35" s="1" t="s">
        <v>104</v>
      </c>
      <c r="D35" s="1"/>
      <c r="E35" s="36" t="s">
        <v>99</v>
      </c>
      <c r="F35" s="1"/>
      <c r="H35" s="3">
        <v>0</v>
      </c>
      <c r="I35" s="3">
        <v>0</v>
      </c>
      <c r="J35" s="3">
        <v>200</v>
      </c>
      <c r="K35" s="3">
        <v>1294</v>
      </c>
      <c r="L35" s="39">
        <v>3500</v>
      </c>
      <c r="M35" s="39">
        <v>6000</v>
      </c>
      <c r="N35" s="39">
        <v>6075</v>
      </c>
      <c r="O35" s="39">
        <v>6075</v>
      </c>
      <c r="P35" s="39">
        <v>6075</v>
      </c>
      <c r="Q35" s="39">
        <v>6075</v>
      </c>
    </row>
    <row r="36" spans="2:22" ht="16">
      <c r="B36" s="1"/>
      <c r="C36" s="38" t="s">
        <v>117</v>
      </c>
      <c r="D36" s="1"/>
      <c r="E36" s="36" t="s">
        <v>82</v>
      </c>
      <c r="F36" s="1"/>
      <c r="H36" s="3"/>
      <c r="I36" s="3"/>
      <c r="J36" s="43">
        <f>J35/J23</f>
        <v>4.8126669393844601E-3</v>
      </c>
      <c r="K36" s="43">
        <f>K35/K23</f>
        <v>2.8467715322846771E-2</v>
      </c>
      <c r="L36" s="43">
        <f>L35/L23</f>
        <v>7.2916666666666671E-2</v>
      </c>
      <c r="M36" s="43">
        <f>M35/M23</f>
        <v>0.11764705882352941</v>
      </c>
      <c r="N36" s="30"/>
      <c r="O36" s="1"/>
      <c r="P36" s="1"/>
      <c r="Q36" s="1"/>
    </row>
    <row r="37" spans="2:22" ht="16">
      <c r="B37" s="1"/>
      <c r="C37" s="38"/>
      <c r="D37" s="1"/>
      <c r="E37" s="36"/>
      <c r="F37" s="1"/>
      <c r="H37" s="3"/>
      <c r="I37" s="3"/>
      <c r="J37" s="43"/>
      <c r="K37" s="43"/>
      <c r="L37" s="43"/>
      <c r="M37" s="43"/>
      <c r="N37" s="30"/>
      <c r="O37" s="1"/>
      <c r="P37" s="1"/>
      <c r="Q37" s="1"/>
    </row>
    <row r="38" spans="2:22" ht="16">
      <c r="B38" s="1"/>
      <c r="C38" s="1" t="s">
        <v>103</v>
      </c>
      <c r="D38" s="1"/>
      <c r="E38" s="36" t="s">
        <v>99</v>
      </c>
      <c r="F38" s="1"/>
      <c r="H38" s="3"/>
      <c r="I38" s="3"/>
      <c r="J38" s="43"/>
      <c r="K38" s="43"/>
      <c r="L38" s="50">
        <f>INDEX($L$39:$Q$41,MATCH(Scenario,$C$39:$C$41,0),1)</f>
        <v>3000</v>
      </c>
      <c r="M38" s="50">
        <f>INDEX($L$39:$Q$41,MATCH(Scenario,$C$39:$C$41,0),2)</f>
        <v>4700</v>
      </c>
      <c r="N38" s="50">
        <f>INDEX($L$39:$Q$41,MATCH(Scenario,$C$39:$C$41,0),3)</f>
        <v>5170</v>
      </c>
      <c r="O38" s="50">
        <f>INDEX($L$39:$Q$41,MATCH(Scenario,$C$39:$C$41,0),4)</f>
        <v>5745</v>
      </c>
      <c r="P38" s="50">
        <f>INDEX($L$39:$Q$41,MATCH(Scenario,$C$39:$C$41,0),5)</f>
        <v>5745</v>
      </c>
      <c r="Q38" s="50">
        <f>INDEX($L$39:$Q$41,MATCH(Scenario,$C$39:$C$41,0),6)</f>
        <v>5745</v>
      </c>
    </row>
    <row r="39" spans="2:22" ht="16">
      <c r="B39" s="1"/>
      <c r="C39" s="42" t="s">
        <v>126</v>
      </c>
      <c r="D39" s="1"/>
      <c r="E39" s="36" t="s">
        <v>99</v>
      </c>
      <c r="F39" s="1"/>
      <c r="H39" s="3"/>
      <c r="I39" s="3"/>
      <c r="J39" s="43"/>
      <c r="K39" s="43"/>
      <c r="L39" s="39">
        <v>3500</v>
      </c>
      <c r="M39" s="39">
        <v>5200</v>
      </c>
      <c r="N39" s="39">
        <v>5745</v>
      </c>
      <c r="O39" s="39">
        <v>5745</v>
      </c>
      <c r="P39" s="39">
        <v>5745</v>
      </c>
      <c r="Q39" s="39">
        <v>5745</v>
      </c>
      <c r="R39" s="6"/>
      <c r="S39" s="6"/>
      <c r="T39" s="6"/>
      <c r="U39" s="6"/>
      <c r="V39" s="6"/>
    </row>
    <row r="40" spans="2:22" ht="16">
      <c r="B40" s="1"/>
      <c r="C40" s="42" t="s">
        <v>124</v>
      </c>
      <c r="E40" s="36" t="s">
        <v>99</v>
      </c>
      <c r="F40" s="1"/>
      <c r="H40" s="3">
        <v>0</v>
      </c>
      <c r="I40" s="3">
        <v>0</v>
      </c>
      <c r="J40" s="3">
        <v>10</v>
      </c>
      <c r="K40" s="3">
        <v>1142</v>
      </c>
      <c r="L40" s="39">
        <v>3000</v>
      </c>
      <c r="M40" s="39">
        <v>4700</v>
      </c>
      <c r="N40" s="39">
        <v>5170</v>
      </c>
      <c r="O40" s="39">
        <v>5745</v>
      </c>
      <c r="P40" s="39">
        <v>5745</v>
      </c>
      <c r="Q40" s="39">
        <v>5745</v>
      </c>
      <c r="R40" s="6"/>
      <c r="S40" s="6"/>
      <c r="T40" s="6"/>
      <c r="U40" s="6"/>
      <c r="V40" s="6"/>
    </row>
    <row r="41" spans="2:22" ht="16">
      <c r="B41" s="1"/>
      <c r="C41" s="42" t="s">
        <v>125</v>
      </c>
      <c r="D41" s="1"/>
      <c r="E41" s="36" t="s">
        <v>99</v>
      </c>
      <c r="F41" s="1"/>
      <c r="H41" s="3"/>
      <c r="I41" s="3"/>
      <c r="J41" s="3"/>
      <c r="K41" s="3"/>
      <c r="L41" s="39">
        <v>2400</v>
      </c>
      <c r="M41" s="39">
        <v>2700</v>
      </c>
      <c r="N41" s="39">
        <v>3670</v>
      </c>
      <c r="O41" s="39">
        <v>4670</v>
      </c>
      <c r="P41" s="39">
        <v>4670</v>
      </c>
      <c r="Q41" s="39">
        <v>5745</v>
      </c>
      <c r="R41" s="6"/>
      <c r="S41" s="6"/>
      <c r="T41" s="6"/>
      <c r="U41" s="6"/>
      <c r="V41" s="6"/>
    </row>
    <row r="42" spans="2:22" ht="16">
      <c r="B42" s="1"/>
      <c r="C42" s="1"/>
      <c r="D42" s="1"/>
      <c r="E42" s="36"/>
      <c r="F42" s="1"/>
      <c r="H42" s="3"/>
      <c r="I42" s="3"/>
      <c r="J42" s="3"/>
      <c r="K42" s="3"/>
      <c r="L42" s="3"/>
      <c r="M42" s="3"/>
      <c r="N42" s="30"/>
      <c r="O42" s="1"/>
      <c r="P42" s="1"/>
      <c r="Q42" s="1"/>
    </row>
    <row r="43" spans="2:22" ht="16">
      <c r="B43" s="1"/>
      <c r="C43" s="1" t="s">
        <v>102</v>
      </c>
      <c r="D43" s="1"/>
      <c r="E43" s="36" t="s">
        <v>101</v>
      </c>
      <c r="F43" s="1"/>
      <c r="H43" s="3">
        <v>0</v>
      </c>
      <c r="I43" s="3">
        <v>0</v>
      </c>
      <c r="J43" s="3">
        <v>70</v>
      </c>
      <c r="K43" s="3">
        <v>51</v>
      </c>
      <c r="L43" s="39">
        <v>60</v>
      </c>
      <c r="M43" s="39">
        <v>67.7</v>
      </c>
      <c r="N43" s="39">
        <f>M43*(1+N44)</f>
        <v>78.017612745098035</v>
      </c>
      <c r="O43" s="39">
        <f t="shared" ref="O43:Q43" si="12">N43*(1+O44)</f>
        <v>89.992059715270926</v>
      </c>
      <c r="P43" s="39">
        <f t="shared" si="12"/>
        <v>103.80439142962284</v>
      </c>
      <c r="Q43" s="39">
        <f t="shared" si="12"/>
        <v>119.73669359460017</v>
      </c>
    </row>
    <row r="44" spans="2:22" ht="16">
      <c r="B44" s="1"/>
      <c r="C44" s="38" t="s">
        <v>108</v>
      </c>
      <c r="D44" s="1"/>
      <c r="E44" s="36" t="s">
        <v>82</v>
      </c>
      <c r="F44" s="1"/>
      <c r="H44" s="3"/>
      <c r="I44" s="3"/>
      <c r="J44" s="3"/>
      <c r="K44" s="43">
        <f t="shared" ref="K44:M44" si="13">K43/J43-1</f>
        <v>-0.27142857142857146</v>
      </c>
      <c r="L44" s="43">
        <f t="shared" si="13"/>
        <v>0.17647058823529416</v>
      </c>
      <c r="M44" s="43">
        <f t="shared" si="13"/>
        <v>0.12833333333333341</v>
      </c>
      <c r="N44" s="141">
        <f>AVERAGE(L44:M44)</f>
        <v>0.15240196078431378</v>
      </c>
      <c r="O44" s="141">
        <v>0.15348389355742309</v>
      </c>
      <c r="P44" s="141">
        <v>0.15348389355742309</v>
      </c>
      <c r="Q44" s="141">
        <v>0.15348389355742309</v>
      </c>
    </row>
    <row r="45" spans="2:22" ht="16">
      <c r="B45" s="1"/>
      <c r="C45" s="38"/>
      <c r="D45" s="1"/>
      <c r="E45" s="36"/>
      <c r="F45" s="1"/>
      <c r="H45" s="3"/>
      <c r="I45" s="3"/>
      <c r="J45" s="3"/>
      <c r="K45" s="517"/>
      <c r="L45" s="517"/>
      <c r="M45" s="517"/>
      <c r="N45" s="518"/>
      <c r="O45" s="518"/>
      <c r="P45" s="518"/>
      <c r="Q45" s="518"/>
    </row>
    <row r="46" spans="2:22" ht="16">
      <c r="B46" s="1"/>
      <c r="C46" s="7" t="s">
        <v>425</v>
      </c>
      <c r="D46" s="1"/>
      <c r="E46" s="36" t="s">
        <v>99</v>
      </c>
      <c r="F46" s="1"/>
      <c r="H46" s="3"/>
      <c r="I46" s="3"/>
      <c r="J46" s="3"/>
      <c r="K46" s="43"/>
      <c r="L46" s="39">
        <v>150</v>
      </c>
      <c r="M46" s="39">
        <v>1000</v>
      </c>
      <c r="N46" s="39">
        <v>1000</v>
      </c>
      <c r="O46" s="39">
        <v>1000</v>
      </c>
      <c r="P46" s="39">
        <v>1000</v>
      </c>
      <c r="Q46" s="39">
        <v>1000</v>
      </c>
    </row>
    <row r="47" spans="2:22" ht="16">
      <c r="B47" s="1"/>
      <c r="C47" s="7" t="s">
        <v>426</v>
      </c>
      <c r="D47" s="1"/>
      <c r="E47" s="36" t="s">
        <v>99</v>
      </c>
      <c r="F47" s="1"/>
      <c r="H47" s="3"/>
      <c r="I47" s="3"/>
      <c r="J47" s="3"/>
      <c r="K47" s="43"/>
      <c r="L47" s="39">
        <v>150</v>
      </c>
      <c r="M47" s="39">
        <v>1000</v>
      </c>
      <c r="N47" s="39">
        <v>1000</v>
      </c>
      <c r="O47" s="39">
        <v>1000</v>
      </c>
      <c r="P47" s="39">
        <v>1000</v>
      </c>
      <c r="Q47" s="39">
        <v>1000</v>
      </c>
    </row>
    <row r="48" spans="2:22" ht="16">
      <c r="B48" s="1"/>
      <c r="C48" s="38"/>
      <c r="D48" s="1"/>
      <c r="E48" s="36"/>
      <c r="F48" s="1"/>
      <c r="H48" s="3"/>
      <c r="I48" s="3"/>
      <c r="J48" s="3"/>
      <c r="K48" s="517"/>
      <c r="L48" s="517"/>
      <c r="M48" s="517"/>
      <c r="N48" s="518"/>
      <c r="O48" s="518"/>
      <c r="P48" s="518"/>
      <c r="Q48" s="518"/>
    </row>
    <row r="49" spans="2:18" ht="16">
      <c r="B49" s="1"/>
      <c r="C49" s="7" t="s">
        <v>427</v>
      </c>
      <c r="D49" s="1"/>
      <c r="E49" s="36" t="s">
        <v>100</v>
      </c>
      <c r="F49" s="1"/>
      <c r="H49" s="3"/>
      <c r="I49" s="3"/>
      <c r="J49" s="3"/>
      <c r="K49" s="43"/>
      <c r="L49" s="39">
        <f>INDEX($L$50:$Q$52,MATCH(Scenario,$C$50:$C$52,0),1)</f>
        <v>46.5</v>
      </c>
      <c r="M49" s="39">
        <f>INDEX($L$50:$Q$52,MATCH(Scenario,$C$50:$C$52,0),2)</f>
        <v>46.5</v>
      </c>
      <c r="N49" s="39">
        <f>INDEX($L$50:$Q$52,MATCH(Scenario,$C$50:$C$52,0),3)</f>
        <v>46.5</v>
      </c>
      <c r="O49" s="39">
        <f>INDEX($L$50:$Q$52,MATCH(Scenario,$C$50:$C$52,0),4)</f>
        <v>46.5</v>
      </c>
      <c r="P49" s="39">
        <f>INDEX($L$50:$Q$52,MATCH(Scenario,$C$50:$C$52,0),5)</f>
        <v>46.5</v>
      </c>
      <c r="Q49" s="39">
        <f>INDEX($L$50:$Q$52,MATCH(Scenario,$C$50:$C$52,0),6)</f>
        <v>46.5</v>
      </c>
    </row>
    <row r="50" spans="2:18" ht="16">
      <c r="B50" s="1"/>
      <c r="C50" s="42" t="s">
        <v>126</v>
      </c>
      <c r="D50" s="1"/>
      <c r="E50" s="36" t="s">
        <v>100</v>
      </c>
      <c r="F50" s="1"/>
      <c r="H50" s="3"/>
      <c r="I50" s="3"/>
      <c r="J50" s="3"/>
      <c r="K50" s="43"/>
      <c r="L50" s="39">
        <v>55</v>
      </c>
      <c r="M50" s="39">
        <v>55</v>
      </c>
      <c r="N50" s="39">
        <v>55</v>
      </c>
      <c r="O50" s="39">
        <v>55</v>
      </c>
      <c r="P50" s="39">
        <v>55</v>
      </c>
      <c r="Q50" s="39">
        <v>55</v>
      </c>
    </row>
    <row r="51" spans="2:18" ht="16">
      <c r="B51" s="1"/>
      <c r="C51" s="42" t="s">
        <v>124</v>
      </c>
      <c r="D51" s="1"/>
      <c r="E51" s="36" t="s">
        <v>100</v>
      </c>
      <c r="F51" s="1"/>
      <c r="H51" s="3"/>
      <c r="I51" s="3"/>
      <c r="J51" s="3"/>
      <c r="K51" s="43"/>
      <c r="L51" s="39">
        <v>46.5</v>
      </c>
      <c r="M51" s="39">
        <v>46.5</v>
      </c>
      <c r="N51" s="39">
        <v>46.5</v>
      </c>
      <c r="O51" s="39">
        <v>46.5</v>
      </c>
      <c r="P51" s="39">
        <v>46.5</v>
      </c>
      <c r="Q51" s="39">
        <v>46.5</v>
      </c>
    </row>
    <row r="52" spans="2:18" ht="16">
      <c r="B52" s="1"/>
      <c r="C52" s="42" t="s">
        <v>125</v>
      </c>
      <c r="D52" s="1"/>
      <c r="E52" s="36" t="s">
        <v>100</v>
      </c>
      <c r="F52" s="1"/>
      <c r="H52" s="3"/>
      <c r="I52" s="3"/>
      <c r="J52" s="3"/>
      <c r="K52" s="43"/>
      <c r="L52" s="39">
        <v>38</v>
      </c>
      <c r="M52" s="39">
        <v>38</v>
      </c>
      <c r="N52" s="39">
        <v>38</v>
      </c>
      <c r="O52" s="39">
        <v>38</v>
      </c>
      <c r="P52" s="39">
        <v>38</v>
      </c>
      <c r="Q52" s="39">
        <v>38</v>
      </c>
    </row>
    <row r="53" spans="2:18" ht="16">
      <c r="B53" s="1"/>
      <c r="C53" s="1"/>
      <c r="D53" s="1"/>
      <c r="E53" s="36"/>
      <c r="F53" s="1"/>
      <c r="H53" s="3"/>
      <c r="I53" s="3"/>
      <c r="J53" s="3"/>
      <c r="K53" s="3"/>
      <c r="M53" s="23"/>
      <c r="N53" s="30"/>
      <c r="O53" s="1"/>
      <c r="P53" s="1"/>
      <c r="Q53" s="1"/>
    </row>
    <row r="54" spans="2:18" ht="16">
      <c r="B54" s="1"/>
      <c r="C54" s="7" t="s">
        <v>118</v>
      </c>
      <c r="D54" s="1"/>
      <c r="E54" s="36"/>
      <c r="F54" s="1"/>
      <c r="H54" s="3">
        <f t="shared" ref="H54:M54" si="14">H32*H28/Units</f>
        <v>326513.71000000002</v>
      </c>
      <c r="I54" s="3">
        <f t="shared" si="14"/>
        <v>517252.85200000001</v>
      </c>
      <c r="J54" s="3">
        <f t="shared" si="14"/>
        <v>252480.79800000001</v>
      </c>
      <c r="K54" s="3">
        <f t="shared" si="14"/>
        <v>144351.04199999999</v>
      </c>
      <c r="L54" s="39">
        <f t="shared" si="14"/>
        <v>134708.4</v>
      </c>
      <c r="M54" s="39">
        <f t="shared" si="14"/>
        <v>80805</v>
      </c>
      <c r="N54" s="39">
        <f>N26*N32/Units</f>
        <v>119055.11678023807</v>
      </c>
      <c r="O54" s="39">
        <f>O26*O32/Units</f>
        <v>164448.21829817296</v>
      </c>
      <c r="P54" s="39">
        <f>P26*P32/Units</f>
        <v>218062.76406672801</v>
      </c>
      <c r="Q54" s="39">
        <f>Q26*Q32/Units</f>
        <v>281124.95342135482</v>
      </c>
    </row>
    <row r="55" spans="2:18" ht="16">
      <c r="B55" s="1"/>
      <c r="C55" s="7" t="s">
        <v>119</v>
      </c>
      <c r="D55" s="1"/>
      <c r="E55" s="36"/>
      <c r="F55" s="1"/>
      <c r="H55" s="3"/>
      <c r="I55" s="3"/>
      <c r="J55" s="3">
        <f>J43*J40</f>
        <v>700</v>
      </c>
      <c r="K55" s="3">
        <f>K43*K40</f>
        <v>58242</v>
      </c>
      <c r="L55" s="39">
        <f>L43*L40</f>
        <v>180000</v>
      </c>
      <c r="M55" s="39">
        <f>M43*M40</f>
        <v>318190</v>
      </c>
      <c r="N55" s="39">
        <f>N38*N43</f>
        <v>403351.05789215682</v>
      </c>
      <c r="O55" s="39">
        <f>O38*O43</f>
        <v>517004.38306423149</v>
      </c>
      <c r="P55" s="39">
        <f>P38*P43</f>
        <v>596356.22876318323</v>
      </c>
      <c r="Q55" s="39">
        <f>Q38*Q43</f>
        <v>687887.30470097798</v>
      </c>
    </row>
    <row r="56" spans="2:18" ht="16">
      <c r="B56" s="1"/>
      <c r="C56" s="8" t="s">
        <v>428</v>
      </c>
      <c r="D56" s="1"/>
      <c r="E56" s="36"/>
      <c r="F56" s="1"/>
      <c r="H56" s="9"/>
      <c r="I56" s="9"/>
      <c r="J56" s="9"/>
      <c r="K56" s="9"/>
      <c r="L56" s="140">
        <f>L47*L49</f>
        <v>6975</v>
      </c>
      <c r="M56" s="140">
        <f t="shared" ref="M56:Q56" si="15">M47*M49</f>
        <v>46500</v>
      </c>
      <c r="N56" s="140">
        <f t="shared" si="15"/>
        <v>46500</v>
      </c>
      <c r="O56" s="140">
        <f t="shared" si="15"/>
        <v>46500</v>
      </c>
      <c r="P56" s="140">
        <f t="shared" si="15"/>
        <v>46500</v>
      </c>
      <c r="Q56" s="140">
        <f t="shared" si="15"/>
        <v>46500</v>
      </c>
    </row>
    <row r="57" spans="2:18" ht="16">
      <c r="B57" s="1"/>
      <c r="C57" s="4" t="s">
        <v>120</v>
      </c>
      <c r="H57" s="10">
        <f t="shared" ref="H57:Q57" si="16">SUM(H54:H55)</f>
        <v>326513.71000000002</v>
      </c>
      <c r="I57" s="10">
        <f t="shared" si="16"/>
        <v>517252.85200000001</v>
      </c>
      <c r="J57" s="10">
        <f t="shared" si="16"/>
        <v>253180.79800000001</v>
      </c>
      <c r="K57" s="10">
        <f t="shared" si="16"/>
        <v>202593.04199999999</v>
      </c>
      <c r="L57" s="10">
        <f t="shared" si="16"/>
        <v>314708.40000000002</v>
      </c>
      <c r="M57" s="10">
        <f t="shared" si="16"/>
        <v>398995</v>
      </c>
      <c r="N57" s="10">
        <f t="shared" si="16"/>
        <v>522406.17467239487</v>
      </c>
      <c r="O57" s="10">
        <f t="shared" si="16"/>
        <v>681452.60136240441</v>
      </c>
      <c r="P57" s="10">
        <f t="shared" si="16"/>
        <v>814418.99282991118</v>
      </c>
      <c r="Q57" s="10">
        <f t="shared" si="16"/>
        <v>969012.25812233286</v>
      </c>
    </row>
    <row r="58" spans="2:18" ht="16">
      <c r="B58" s="1"/>
      <c r="M58" s="23"/>
      <c r="N58" s="30"/>
      <c r="O58" s="1"/>
      <c r="P58" s="1"/>
      <c r="Q58" s="1"/>
    </row>
    <row r="59" spans="2:18" ht="16">
      <c r="B59" s="12"/>
      <c r="C59" s="12"/>
      <c r="D59" s="12"/>
      <c r="E59" s="12"/>
      <c r="F59" s="12"/>
      <c r="G59" s="12"/>
      <c r="H59" s="13"/>
      <c r="I59" s="13"/>
      <c r="J59" s="14" t="s">
        <v>67</v>
      </c>
      <c r="K59" s="13"/>
      <c r="L59" s="15"/>
      <c r="M59" s="13"/>
      <c r="N59" s="14" t="s">
        <v>68</v>
      </c>
      <c r="O59" s="13"/>
      <c r="P59" s="13"/>
      <c r="Q59" s="13"/>
    </row>
    <row r="60" spans="2:18" ht="16">
      <c r="B60" s="16" t="str">
        <f>"Debt Schedule - "&amp;Company_Name</f>
        <v>Debt Schedule - MP Materials Corp.</v>
      </c>
      <c r="C60" s="12"/>
      <c r="D60" s="16"/>
      <c r="E60" s="16" t="s">
        <v>69</v>
      </c>
      <c r="F60" s="19"/>
      <c r="G60" s="19"/>
      <c r="H60" s="19">
        <f t="shared" ref="H60:Q60" si="17">H3</f>
        <v>44561</v>
      </c>
      <c r="I60" s="19">
        <f t="shared" si="17"/>
        <v>44926</v>
      </c>
      <c r="J60" s="19">
        <f t="shared" si="17"/>
        <v>45291</v>
      </c>
      <c r="K60" s="19">
        <f t="shared" si="17"/>
        <v>45657</v>
      </c>
      <c r="L60" s="20">
        <f t="shared" si="17"/>
        <v>46022</v>
      </c>
      <c r="M60" s="19">
        <f t="shared" si="17"/>
        <v>46387</v>
      </c>
      <c r="N60" s="19">
        <f t="shared" si="17"/>
        <v>46752</v>
      </c>
      <c r="O60" s="19">
        <f t="shared" si="17"/>
        <v>47118</v>
      </c>
      <c r="P60" s="19">
        <f t="shared" si="17"/>
        <v>47483</v>
      </c>
      <c r="Q60" s="19">
        <f t="shared" si="17"/>
        <v>47848</v>
      </c>
      <c r="R60" s="27"/>
    </row>
    <row r="61" spans="2:18" ht="16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2:18" ht="16">
      <c r="C62" s="7" t="s">
        <v>193</v>
      </c>
      <c r="E62" s="36"/>
      <c r="F62" s="181">
        <v>55</v>
      </c>
      <c r="G62" s="182">
        <v>0</v>
      </c>
      <c r="H62" s="152"/>
      <c r="I62" s="1"/>
      <c r="J62" s="1"/>
      <c r="K62" s="153"/>
      <c r="L62" s="153"/>
      <c r="M62" s="1"/>
      <c r="N62" s="1"/>
      <c r="O62" s="1"/>
      <c r="P62" s="1"/>
      <c r="Q62" s="1"/>
    </row>
    <row r="63" spans="2:18" ht="16">
      <c r="C63" s="7" t="s">
        <v>174</v>
      </c>
      <c r="E63" s="36"/>
      <c r="F63" s="181">
        <v>50</v>
      </c>
      <c r="G63" s="153"/>
      <c r="H63" s="157"/>
      <c r="I63" s="157"/>
      <c r="J63" s="157"/>
      <c r="K63" s="157"/>
      <c r="L63" s="153"/>
      <c r="M63" s="1"/>
      <c r="N63" s="1"/>
      <c r="O63" s="1"/>
      <c r="P63" s="1"/>
      <c r="Q63" s="1"/>
    </row>
    <row r="64" spans="2:18" ht="16">
      <c r="C64" s="7"/>
      <c r="E64" s="36"/>
      <c r="F64" s="153"/>
      <c r="G64" s="153"/>
      <c r="H64" s="153"/>
      <c r="I64" s="153"/>
      <c r="J64" s="153"/>
      <c r="K64" s="153"/>
      <c r="L64" s="153"/>
      <c r="M64" s="1"/>
      <c r="N64" s="1"/>
      <c r="O64" s="1"/>
      <c r="P64" s="1"/>
      <c r="Q64" s="1"/>
    </row>
    <row r="65" spans="3:18" ht="16">
      <c r="C65" s="7" t="s">
        <v>175</v>
      </c>
      <c r="E65" s="36" t="s">
        <v>82</v>
      </c>
      <c r="F65" s="154"/>
      <c r="G65" s="154"/>
      <c r="H65" s="154">
        <v>3.0000000000000001E-3</v>
      </c>
      <c r="I65" s="154">
        <v>3.0000000000000001E-3</v>
      </c>
      <c r="J65" s="154">
        <v>0.05</v>
      </c>
      <c r="K65" s="154">
        <v>0.05</v>
      </c>
      <c r="L65" s="180">
        <v>4.4999999999999998E-2</v>
      </c>
      <c r="M65" s="180">
        <v>3.5000000000000003E-2</v>
      </c>
      <c r="N65" s="180">
        <v>0.03</v>
      </c>
      <c r="O65" s="180">
        <v>0.03</v>
      </c>
      <c r="P65" s="180">
        <v>0.03</v>
      </c>
      <c r="Q65" s="180">
        <v>0.03</v>
      </c>
    </row>
    <row r="66" spans="3:18" ht="16">
      <c r="C66" s="7"/>
      <c r="E66" s="36"/>
      <c r="F66" s="174"/>
      <c r="G66" s="155"/>
      <c r="H66" s="155"/>
      <c r="I66" s="155"/>
      <c r="J66" s="155"/>
      <c r="K66" s="155"/>
      <c r="L66" s="1"/>
      <c r="M66" s="1"/>
      <c r="N66" s="1"/>
      <c r="O66" s="1"/>
      <c r="P66" s="1"/>
      <c r="Q66" s="1"/>
    </row>
    <row r="67" spans="3:18" ht="16">
      <c r="C67" s="1" t="s">
        <v>199</v>
      </c>
      <c r="E67" s="36" t="s">
        <v>96</v>
      </c>
      <c r="F67" s="155"/>
      <c r="H67" s="157">
        <v>0</v>
      </c>
      <c r="I67" s="157">
        <v>690000</v>
      </c>
      <c r="J67" s="157">
        <v>690000</v>
      </c>
      <c r="K67" s="157">
        <v>690000</v>
      </c>
      <c r="L67" s="186">
        <f>K71</f>
        <v>936500</v>
      </c>
      <c r="M67" s="186">
        <f t="shared" ref="M67:Q67" si="18">L71</f>
        <v>936500</v>
      </c>
      <c r="N67" s="186">
        <f t="shared" si="18"/>
        <v>936500</v>
      </c>
      <c r="O67" s="186">
        <f t="shared" si="18"/>
        <v>936500</v>
      </c>
      <c r="P67" s="186">
        <f t="shared" si="18"/>
        <v>936500</v>
      </c>
      <c r="Q67" s="186">
        <f t="shared" si="18"/>
        <v>936500</v>
      </c>
      <c r="R67" s="193"/>
    </row>
    <row r="68" spans="3:18" ht="16">
      <c r="C68" s="7" t="s">
        <v>195</v>
      </c>
      <c r="E68" s="36" t="s">
        <v>96</v>
      </c>
      <c r="F68" s="156"/>
      <c r="H68" s="157">
        <v>690000</v>
      </c>
      <c r="I68" s="157">
        <v>0</v>
      </c>
      <c r="J68" s="157">
        <v>0</v>
      </c>
      <c r="K68" s="157">
        <v>858100</v>
      </c>
      <c r="L68" s="187">
        <v>0</v>
      </c>
      <c r="M68" s="187">
        <v>0</v>
      </c>
      <c r="N68" s="187">
        <v>0</v>
      </c>
      <c r="O68" s="187">
        <v>0</v>
      </c>
      <c r="P68" s="187">
        <v>0</v>
      </c>
      <c r="Q68" s="186">
        <v>1271061.2318840579</v>
      </c>
    </row>
    <row r="69" spans="3:18" ht="16">
      <c r="C69" s="7" t="s">
        <v>202</v>
      </c>
      <c r="E69" s="36" t="s">
        <v>96</v>
      </c>
      <c r="F69" s="155"/>
      <c r="H69" s="157">
        <v>0</v>
      </c>
      <c r="I69" s="157">
        <v>0</v>
      </c>
      <c r="J69" s="157">
        <v>0</v>
      </c>
      <c r="K69" s="157">
        <v>-480000</v>
      </c>
      <c r="L69" s="188">
        <v>0</v>
      </c>
      <c r="M69" s="188">
        <v>0</v>
      </c>
      <c r="N69" s="188">
        <v>0</v>
      </c>
      <c r="O69" s="188">
        <v>0</v>
      </c>
      <c r="P69" s="188">
        <v>0</v>
      </c>
      <c r="Q69" s="186">
        <v>-936500</v>
      </c>
    </row>
    <row r="70" spans="3:18" ht="16">
      <c r="C70" s="8" t="s">
        <v>203</v>
      </c>
      <c r="E70" s="36" t="s">
        <v>96</v>
      </c>
      <c r="F70" s="155"/>
      <c r="H70" s="178">
        <v>0</v>
      </c>
      <c r="I70" s="178">
        <v>0</v>
      </c>
      <c r="J70" s="178">
        <v>0</v>
      </c>
      <c r="K70" s="178">
        <v>-131600</v>
      </c>
      <c r="L70" s="185">
        <v>0</v>
      </c>
      <c r="M70" s="185">
        <v>0</v>
      </c>
      <c r="N70" s="185">
        <v>0</v>
      </c>
      <c r="O70" s="185">
        <v>0</v>
      </c>
      <c r="P70" s="185">
        <v>0</v>
      </c>
      <c r="Q70" s="185">
        <v>0</v>
      </c>
    </row>
    <row r="71" spans="3:18" ht="16">
      <c r="C71" s="1" t="s">
        <v>200</v>
      </c>
      <c r="E71" s="36" t="s">
        <v>96</v>
      </c>
      <c r="F71" s="1"/>
      <c r="H71" s="3">
        <f t="shared" ref="H71:Q71" si="19">SUM(H67:H70)</f>
        <v>690000</v>
      </c>
      <c r="I71" s="3">
        <f t="shared" si="19"/>
        <v>690000</v>
      </c>
      <c r="J71" s="3">
        <f t="shared" si="19"/>
        <v>690000</v>
      </c>
      <c r="K71" s="3">
        <f t="shared" si="19"/>
        <v>936500</v>
      </c>
      <c r="L71" s="39">
        <f t="shared" si="19"/>
        <v>936500</v>
      </c>
      <c r="M71" s="39">
        <f t="shared" si="19"/>
        <v>936500</v>
      </c>
      <c r="N71" s="39">
        <f t="shared" si="19"/>
        <v>936500</v>
      </c>
      <c r="O71" s="39">
        <f t="shared" si="19"/>
        <v>936500</v>
      </c>
      <c r="P71" s="39">
        <f t="shared" si="19"/>
        <v>936500</v>
      </c>
      <c r="Q71" s="39">
        <f t="shared" si="19"/>
        <v>1271061.2318840576</v>
      </c>
    </row>
    <row r="72" spans="3:18" ht="16">
      <c r="N72" s="1"/>
      <c r="O72" s="3"/>
      <c r="P72" s="1"/>
      <c r="Q72" s="1"/>
    </row>
    <row r="73" spans="3:18" ht="16">
      <c r="C73" s="3"/>
      <c r="E73" s="36"/>
      <c r="F73" s="3"/>
      <c r="H73" s="3"/>
      <c r="I73" s="3"/>
      <c r="J73" s="3"/>
      <c r="K73" s="3"/>
      <c r="N73" s="3"/>
      <c r="O73" s="3"/>
      <c r="P73" s="3"/>
      <c r="Q73" s="3"/>
    </row>
    <row r="74" spans="3:18" ht="16">
      <c r="C74" s="99" t="s">
        <v>196</v>
      </c>
      <c r="E74" s="36" t="s">
        <v>96</v>
      </c>
      <c r="F74" s="99"/>
      <c r="H74" s="157">
        <v>-8000</v>
      </c>
      <c r="I74" s="157">
        <v>-6500</v>
      </c>
      <c r="J74" s="157">
        <v>-5000</v>
      </c>
      <c r="K74" s="157">
        <v>-12500</v>
      </c>
      <c r="L74" s="184">
        <f>AVERAGE(H74:K74)</f>
        <v>-8000</v>
      </c>
      <c r="M74" s="184">
        <f t="shared" ref="M74:P74" si="20">AVERAGE(I74:L74)</f>
        <v>-8000</v>
      </c>
      <c r="N74" s="184">
        <f t="shared" si="20"/>
        <v>-8375</v>
      </c>
      <c r="O74" s="184">
        <f t="shared" si="20"/>
        <v>-9218.75</v>
      </c>
      <c r="P74" s="184">
        <f t="shared" si="20"/>
        <v>-8398.4375</v>
      </c>
      <c r="Q74" s="184">
        <f>(P74/P71)*Q71</f>
        <v>-11398.74886775362</v>
      </c>
    </row>
    <row r="75" spans="3:18" ht="16">
      <c r="C75" s="9" t="s">
        <v>197</v>
      </c>
      <c r="E75" s="36" t="s">
        <v>96</v>
      </c>
      <c r="F75" s="10"/>
      <c r="H75" s="178">
        <v>-7073</v>
      </c>
      <c r="I75" s="178">
        <v>-5056</v>
      </c>
      <c r="J75" s="178">
        <v>-3020</v>
      </c>
      <c r="K75" s="178">
        <v>-15271</v>
      </c>
      <c r="L75" s="185">
        <f>AVERAGE(H75:K75)</f>
        <v>-7605</v>
      </c>
      <c r="M75" s="185">
        <f t="shared" ref="M75:P75" si="21">AVERAGE(I75:L75)</f>
        <v>-7738</v>
      </c>
      <c r="N75" s="185">
        <f t="shared" si="21"/>
        <v>-8408.5</v>
      </c>
      <c r="O75" s="185">
        <f t="shared" si="21"/>
        <v>-9755.625</v>
      </c>
      <c r="P75" s="185">
        <f t="shared" si="21"/>
        <v>-8376.78125</v>
      </c>
      <c r="Q75" s="195">
        <f>(P75/P71)*Q71</f>
        <v>-11369.356000905795</v>
      </c>
    </row>
    <row r="76" spans="3:18" ht="16">
      <c r="C76" s="10" t="s">
        <v>198</v>
      </c>
      <c r="E76" s="100" t="s">
        <v>96</v>
      </c>
      <c r="F76" s="10"/>
      <c r="H76" s="10">
        <f>SUM(H71:H75)</f>
        <v>674927</v>
      </c>
      <c r="I76" s="10">
        <f t="shared" ref="I76:K76" si="22">SUM(I71:I75)</f>
        <v>678444</v>
      </c>
      <c r="J76" s="10">
        <f t="shared" si="22"/>
        <v>681980</v>
      </c>
      <c r="K76" s="10">
        <f t="shared" si="22"/>
        <v>908729</v>
      </c>
      <c r="L76" s="194">
        <f t="shared" ref="L76" si="23">SUM(L71:L75)</f>
        <v>920895</v>
      </c>
      <c r="M76" s="194">
        <f t="shared" ref="M76" si="24">SUM(M71:M75)</f>
        <v>920762</v>
      </c>
      <c r="N76" s="194">
        <f t="shared" ref="N76" si="25">SUM(N71:N75)</f>
        <v>919716.5</v>
      </c>
      <c r="O76" s="194">
        <f t="shared" ref="O76" si="26">SUM(O71:O75)</f>
        <v>917525.625</v>
      </c>
      <c r="P76" s="194">
        <f t="shared" ref="P76" si="27">SUM(P71:P75)</f>
        <v>919724.78125</v>
      </c>
      <c r="Q76" s="194">
        <f t="shared" ref="Q76" si="28">SUM(Q71:Q75)</f>
        <v>1248293.1270153981</v>
      </c>
    </row>
    <row r="77" spans="3:18" ht="16">
      <c r="C77" s="10"/>
      <c r="E77" s="36"/>
      <c r="F77" s="10"/>
      <c r="H77" s="10"/>
      <c r="I77" s="10"/>
      <c r="J77" s="10"/>
      <c r="K77" s="10"/>
      <c r="L77" s="10"/>
      <c r="M77" s="10"/>
      <c r="N77" s="10"/>
      <c r="O77" s="10"/>
      <c r="P77" s="10"/>
      <c r="Q77" s="10"/>
    </row>
    <row r="78" spans="3:18" ht="16">
      <c r="C78" s="7" t="s">
        <v>176</v>
      </c>
      <c r="E78" s="36" t="s">
        <v>96</v>
      </c>
      <c r="F78" s="155"/>
      <c r="G78" s="155"/>
      <c r="H78" s="157">
        <v>-2435</v>
      </c>
      <c r="I78" s="157">
        <v>-5834</v>
      </c>
      <c r="J78" s="157">
        <v>-2732</v>
      </c>
      <c r="K78" s="157">
        <v>-2532</v>
      </c>
      <c r="L78" s="187">
        <f t="shared" ref="L78:Q78" si="29">-L79*L76</f>
        <v>-4374.0619822236158</v>
      </c>
      <c r="M78" s="187">
        <f t="shared" si="29"/>
        <v>-4373.4302595585605</v>
      </c>
      <c r="N78" s="187">
        <f t="shared" si="29"/>
        <v>-4368.4643494358916</v>
      </c>
      <c r="O78" s="187">
        <f t="shared" si="29"/>
        <v>-4358.058143467455</v>
      </c>
      <c r="P78" s="187">
        <f t="shared" si="29"/>
        <v>-4368.5036836713807</v>
      </c>
      <c r="Q78" s="187">
        <f t="shared" si="29"/>
        <v>-5929.1357967510821</v>
      </c>
    </row>
    <row r="79" spans="3:18" ht="16">
      <c r="C79" s="7" t="s">
        <v>177</v>
      </c>
      <c r="E79" s="158" t="s">
        <v>82</v>
      </c>
      <c r="F79" s="175"/>
      <c r="G79" s="175"/>
      <c r="H79" s="159">
        <f>H78/-H76</f>
        <v>3.6077975840350142E-3</v>
      </c>
      <c r="I79" s="159">
        <f>I78/-I76</f>
        <v>8.5990885025145781E-3</v>
      </c>
      <c r="J79" s="159">
        <f>J78/-J76</f>
        <v>4.0059825801343147E-3</v>
      </c>
      <c r="K79" s="159">
        <f>K78/-K76</f>
        <v>2.7863092297043452E-3</v>
      </c>
      <c r="L79" s="192">
        <f>AVERAGE(F79:K79)</f>
        <v>4.7497944740970636E-3</v>
      </c>
      <c r="M79" s="192">
        <v>4.7497944740970636E-3</v>
      </c>
      <c r="N79" s="192">
        <v>4.7497944740970636E-3</v>
      </c>
      <c r="O79" s="192">
        <v>4.7497944740970636E-3</v>
      </c>
      <c r="P79" s="192">
        <v>4.7497944740970636E-3</v>
      </c>
      <c r="Q79" s="192">
        <v>4.7497944740970636E-3</v>
      </c>
    </row>
    <row r="80" spans="3:18" ht="16">
      <c r="C80" s="7"/>
      <c r="E80" s="158"/>
      <c r="F80" s="175"/>
      <c r="G80" s="175"/>
      <c r="H80" s="159"/>
      <c r="I80" s="159"/>
      <c r="J80" s="159"/>
      <c r="K80" s="159"/>
      <c r="L80" s="159"/>
      <c r="M80" s="159"/>
      <c r="N80" s="159"/>
      <c r="O80" s="159"/>
      <c r="P80" s="159"/>
      <c r="Q80" s="159"/>
    </row>
    <row r="81" spans="2:19" ht="16">
      <c r="C81" s="7" t="s">
        <v>44</v>
      </c>
      <c r="E81" s="36" t="s">
        <v>96</v>
      </c>
      <c r="F81" s="175"/>
      <c r="G81" s="175"/>
      <c r="H81" s="157">
        <v>7384</v>
      </c>
      <c r="I81" s="157">
        <v>4034</v>
      </c>
      <c r="J81" s="157">
        <v>3536</v>
      </c>
      <c r="K81" s="157">
        <v>3901</v>
      </c>
      <c r="L81" s="186">
        <f>-$K$83/6</f>
        <v>3441.3333333333335</v>
      </c>
      <c r="M81" s="186">
        <f t="shared" ref="M81:Q81" si="30">-$K$83/6</f>
        <v>3441.3333333333335</v>
      </c>
      <c r="N81" s="186">
        <f t="shared" si="30"/>
        <v>3441.3333333333335</v>
      </c>
      <c r="O81" s="186">
        <f t="shared" si="30"/>
        <v>3441.3333333333335</v>
      </c>
      <c r="P81" s="186">
        <f t="shared" si="30"/>
        <v>3441.3333333333335</v>
      </c>
      <c r="Q81" s="186">
        <f t="shared" si="30"/>
        <v>3441.3333333333335</v>
      </c>
    </row>
    <row r="82" spans="2:19" ht="16">
      <c r="C82" s="7"/>
      <c r="E82" s="158"/>
      <c r="F82" s="175"/>
      <c r="G82" s="175"/>
      <c r="H82" s="159"/>
      <c r="I82" s="159"/>
      <c r="J82" s="159"/>
      <c r="K82" s="159"/>
      <c r="L82" s="159"/>
      <c r="M82" s="159"/>
      <c r="N82" s="159"/>
      <c r="O82" s="159"/>
      <c r="P82" s="159"/>
      <c r="Q82" s="159"/>
    </row>
    <row r="83" spans="2:19" ht="16">
      <c r="C83" s="7" t="s">
        <v>57</v>
      </c>
      <c r="D83" s="1"/>
      <c r="E83" s="34" t="s">
        <v>96</v>
      </c>
      <c r="H83" s="157">
        <v>-17749</v>
      </c>
      <c r="I83" s="157">
        <v>0</v>
      </c>
      <c r="J83" s="157">
        <v>0</v>
      </c>
      <c r="K83" s="157">
        <v>-20648</v>
      </c>
      <c r="L83" s="187">
        <v>0</v>
      </c>
      <c r="M83" s="187">
        <v>0</v>
      </c>
      <c r="N83" s="187">
        <v>0</v>
      </c>
      <c r="O83" s="187">
        <v>0</v>
      </c>
      <c r="P83" s="187">
        <v>0</v>
      </c>
      <c r="Q83" s="187">
        <f>-Q68*Q84</f>
        <v>-30360.085365731989</v>
      </c>
    </row>
    <row r="84" spans="2:19" ht="16">
      <c r="C84" s="7"/>
      <c r="D84" s="1"/>
      <c r="E84" s="34"/>
      <c r="H84" s="159">
        <f t="shared" ref="H84:P84" si="31">-H83/H71</f>
        <v>2.5723188405797102E-2</v>
      </c>
      <c r="I84" s="159">
        <f t="shared" si="31"/>
        <v>0</v>
      </c>
      <c r="J84" s="159">
        <f t="shared" si="31"/>
        <v>0</v>
      </c>
      <c r="K84" s="159">
        <f t="shared" si="31"/>
        <v>2.2048051254671651E-2</v>
      </c>
      <c r="L84" s="192">
        <f t="shared" si="31"/>
        <v>0</v>
      </c>
      <c r="M84" s="192">
        <f t="shared" si="31"/>
        <v>0</v>
      </c>
      <c r="N84" s="192">
        <f t="shared" si="31"/>
        <v>0</v>
      </c>
      <c r="O84" s="192">
        <f t="shared" si="31"/>
        <v>0</v>
      </c>
      <c r="P84" s="192">
        <f t="shared" si="31"/>
        <v>0</v>
      </c>
      <c r="Q84" s="192">
        <f>AVERAGE(H84,K84)</f>
        <v>2.3885619830234378E-2</v>
      </c>
    </row>
    <row r="85" spans="2:19" ht="16">
      <c r="C85" s="7"/>
      <c r="E85" s="158"/>
      <c r="F85" s="175"/>
      <c r="G85" s="175"/>
      <c r="H85" s="159"/>
      <c r="I85" s="159"/>
      <c r="J85" s="159"/>
      <c r="K85" s="159"/>
      <c r="L85" s="159"/>
      <c r="M85" s="159"/>
      <c r="N85" s="159"/>
      <c r="O85" s="159"/>
      <c r="P85" s="159"/>
      <c r="Q85" s="159"/>
    </row>
    <row r="86" spans="2:19" ht="16">
      <c r="C86" s="7" t="s">
        <v>201</v>
      </c>
      <c r="E86" s="36" t="s">
        <v>96</v>
      </c>
      <c r="F86" s="157"/>
      <c r="G86" s="157"/>
      <c r="H86" s="157">
        <v>-8904</v>
      </c>
      <c r="I86" s="157">
        <v>-5786</v>
      </c>
      <c r="J86" s="157">
        <v>-5254</v>
      </c>
      <c r="K86" s="157">
        <v>-23010</v>
      </c>
      <c r="L86" s="134">
        <f t="shared" ref="L86:Q86" si="32">-L71*L87</f>
        <v>-23010</v>
      </c>
      <c r="M86" s="134">
        <f t="shared" si="32"/>
        <v>-23010</v>
      </c>
      <c r="N86" s="134">
        <f t="shared" si="32"/>
        <v>-23010</v>
      </c>
      <c r="O86" s="134">
        <f t="shared" si="32"/>
        <v>-23010</v>
      </c>
      <c r="P86" s="134">
        <f t="shared" si="32"/>
        <v>-23010</v>
      </c>
      <c r="Q86" s="134">
        <f t="shared" si="32"/>
        <v>-31230.239130434777</v>
      </c>
    </row>
    <row r="87" spans="2:19" ht="16">
      <c r="C87" s="42" t="s">
        <v>178</v>
      </c>
      <c r="E87" s="158" t="s">
        <v>82</v>
      </c>
      <c r="F87" s="153"/>
      <c r="G87" s="153"/>
      <c r="H87" s="153">
        <f>-H86/H71</f>
        <v>1.2904347826086956E-2</v>
      </c>
      <c r="I87" s="153">
        <f>-I86/I71</f>
        <v>8.3855072463768117E-3</v>
      </c>
      <c r="J87" s="153">
        <f>-J86/J71</f>
        <v>7.6144927536231886E-3</v>
      </c>
      <c r="K87" s="153">
        <f>-K86/K71</f>
        <v>2.4570208222103578E-2</v>
      </c>
      <c r="L87" s="191">
        <v>2.4570208222103578E-2</v>
      </c>
      <c r="M87" s="191">
        <v>2.4570208222103578E-2</v>
      </c>
      <c r="N87" s="191">
        <v>2.4570208222103578E-2</v>
      </c>
      <c r="O87" s="191">
        <v>2.4570208222103578E-2</v>
      </c>
      <c r="P87" s="191">
        <v>2.4570208222103578E-2</v>
      </c>
      <c r="Q87" s="191">
        <v>2.4570208222103578E-2</v>
      </c>
    </row>
    <row r="88" spans="2:19" ht="16">
      <c r="C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2:19" ht="16">
      <c r="C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2:19" ht="16">
      <c r="C90" s="7"/>
      <c r="E90" s="36"/>
      <c r="F90" s="153"/>
      <c r="G90" s="153"/>
      <c r="H90" s="153"/>
      <c r="I90" s="153"/>
      <c r="J90" s="153"/>
      <c r="K90" s="1"/>
      <c r="L90" s="1"/>
      <c r="M90" s="1"/>
      <c r="N90" s="1"/>
      <c r="O90" s="1"/>
      <c r="P90" s="1"/>
      <c r="Q90" s="1"/>
    </row>
    <row r="91" spans="2:19" ht="16">
      <c r="C91" s="1" t="s">
        <v>179</v>
      </c>
      <c r="E91" s="36" t="s">
        <v>82</v>
      </c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</row>
    <row r="92" spans="2:19" ht="16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2:19" ht="16">
      <c r="B93" s="12"/>
      <c r="C93" s="12"/>
      <c r="D93" s="12"/>
      <c r="E93" s="12"/>
      <c r="F93" s="12"/>
      <c r="G93" s="12"/>
      <c r="H93" s="13"/>
      <c r="I93" s="13"/>
      <c r="J93" s="14" t="s">
        <v>67</v>
      </c>
      <c r="K93" s="13"/>
      <c r="L93" s="15"/>
      <c r="M93" s="13"/>
      <c r="N93" s="14" t="s">
        <v>68</v>
      </c>
      <c r="O93" s="13"/>
      <c r="P93" s="13"/>
      <c r="Q93" s="13"/>
    </row>
    <row r="94" spans="2:19" ht="16">
      <c r="B94" s="16" t="str">
        <f>"CapEx &amp; Depreciation - "&amp;Company_Name</f>
        <v>CapEx &amp; Depreciation - MP Materials Corp.</v>
      </c>
      <c r="C94" s="12"/>
      <c r="D94" s="16"/>
      <c r="E94" s="16" t="s">
        <v>69</v>
      </c>
      <c r="F94" s="19"/>
      <c r="G94" s="19"/>
      <c r="H94" s="19">
        <f t="shared" ref="H94:Q94" si="33">H3</f>
        <v>44561</v>
      </c>
      <c r="I94" s="19">
        <f t="shared" si="33"/>
        <v>44926</v>
      </c>
      <c r="J94" s="19">
        <f t="shared" si="33"/>
        <v>45291</v>
      </c>
      <c r="K94" s="19">
        <f t="shared" si="33"/>
        <v>45657</v>
      </c>
      <c r="L94" s="20">
        <f t="shared" si="33"/>
        <v>46022</v>
      </c>
      <c r="M94" s="19">
        <f t="shared" si="33"/>
        <v>46387</v>
      </c>
      <c r="N94" s="19">
        <f t="shared" si="33"/>
        <v>46752</v>
      </c>
      <c r="O94" s="19">
        <f t="shared" si="33"/>
        <v>47118</v>
      </c>
      <c r="P94" s="19">
        <f t="shared" si="33"/>
        <v>47483</v>
      </c>
      <c r="Q94" s="19">
        <f t="shared" si="33"/>
        <v>47848</v>
      </c>
    </row>
    <row r="95" spans="2:19" ht="16">
      <c r="B95" s="1"/>
      <c r="C95" s="1"/>
      <c r="D95" s="1"/>
      <c r="E95" s="1"/>
      <c r="F95" s="1"/>
      <c r="G95" s="1"/>
      <c r="H95" s="1"/>
      <c r="I95" s="1"/>
      <c r="J95" s="1"/>
      <c r="K95" s="3"/>
      <c r="L95" s="1"/>
      <c r="M95" s="1"/>
      <c r="N95" s="1"/>
      <c r="O95" s="1"/>
      <c r="P95" s="1"/>
    </row>
    <row r="96" spans="2:19" ht="16">
      <c r="C96" s="41" t="s">
        <v>180</v>
      </c>
      <c r="D96" s="1"/>
      <c r="E96" s="36" t="s">
        <v>96</v>
      </c>
      <c r="H96" s="157">
        <f>-Model!H161</f>
        <v>123870</v>
      </c>
      <c r="I96" s="157">
        <f>-Model!I161</f>
        <v>326595</v>
      </c>
      <c r="J96" s="157">
        <f>-Model!J161</f>
        <v>261897</v>
      </c>
      <c r="K96" s="157">
        <f>-Model!K161</f>
        <v>186418</v>
      </c>
      <c r="L96" s="39">
        <v>175000</v>
      </c>
      <c r="M96" s="39">
        <v>100000</v>
      </c>
      <c r="N96" s="39">
        <f>N97*-(Model!M63-Model!M60)</f>
        <v>97936.498459389841</v>
      </c>
      <c r="O96" s="39">
        <f>O97*-(Model!N63-Model!N60)</f>
        <v>115861.64772799898</v>
      </c>
      <c r="P96" s="39">
        <f>P97*-(Model!O63-Model!O60)</f>
        <v>143268.52876254162</v>
      </c>
      <c r="Q96" s="39">
        <f>Q97*-(Model!P63-Model!P60)</f>
        <v>163778.4994828515</v>
      </c>
      <c r="R96" s="164"/>
      <c r="S96" s="164"/>
    </row>
    <row r="97" spans="3:19" ht="16">
      <c r="C97" s="41" t="s">
        <v>192</v>
      </c>
      <c r="D97" s="1"/>
      <c r="E97" s="36" t="s">
        <v>82</v>
      </c>
      <c r="H97" s="161">
        <f>H96/-Model!H63</f>
        <v>0.74348616804816126</v>
      </c>
      <c r="I97" s="161">
        <f>I96/-Model!I63</f>
        <v>1.632167077296738</v>
      </c>
      <c r="J97" s="161">
        <f>J96/-Model!J63</f>
        <v>0.96582510952781342</v>
      </c>
      <c r="K97" s="161">
        <f>K96/-Model!K63</f>
        <v>0.49940393430150476</v>
      </c>
      <c r="L97" s="173">
        <f>L96/-(Model!L63-Model!L60)</f>
        <v>0.5284536246372723</v>
      </c>
      <c r="M97" s="173">
        <f>M96/-(Model!M63-Model!M60)</f>
        <v>0.26547814562495425</v>
      </c>
      <c r="N97" s="173">
        <v>0.26</v>
      </c>
      <c r="O97" s="130">
        <f>N97+1%</f>
        <v>0.27</v>
      </c>
      <c r="P97" s="130">
        <f t="shared" ref="P97:Q97" si="34">O97+1%</f>
        <v>0.28000000000000003</v>
      </c>
      <c r="Q97" s="130">
        <f t="shared" si="34"/>
        <v>0.29000000000000004</v>
      </c>
      <c r="R97" s="162"/>
      <c r="S97" s="162"/>
    </row>
    <row r="98" spans="3:19" ht="16">
      <c r="C98" s="103"/>
      <c r="D98" s="1"/>
      <c r="E98" s="36"/>
      <c r="H98" s="161"/>
      <c r="I98" s="161"/>
      <c r="J98" s="161"/>
      <c r="K98" s="161"/>
      <c r="L98" s="161"/>
      <c r="M98" s="162"/>
      <c r="N98" s="162"/>
      <c r="O98" s="162"/>
      <c r="P98" s="162"/>
      <c r="Q98" s="162"/>
      <c r="R98" s="162"/>
      <c r="S98" s="1"/>
    </row>
    <row r="99" spans="3:19" ht="16">
      <c r="C99" s="103" t="s">
        <v>181</v>
      </c>
      <c r="D99" s="2"/>
      <c r="E99" s="36" t="s">
        <v>96</v>
      </c>
      <c r="H99" s="165">
        <v>610612</v>
      </c>
      <c r="I99" s="165">
        <v>935743</v>
      </c>
      <c r="J99" s="165">
        <v>1158054</v>
      </c>
      <c r="K99" s="165">
        <v>1251496</v>
      </c>
      <c r="L99" s="39">
        <f t="shared" ref="L99:Q99" si="35">K99+L96-L111</f>
        <v>1371087.0550641799</v>
      </c>
      <c r="M99" s="39">
        <f t="shared" si="35"/>
        <v>1405824.1796270288</v>
      </c>
      <c r="N99" s="39">
        <f t="shared" si="35"/>
        <v>1432062.5984785969</v>
      </c>
      <c r="O99" s="39">
        <f t="shared" si="35"/>
        <v>1469265.2640562824</v>
      </c>
      <c r="P99" s="39">
        <f t="shared" si="35"/>
        <v>1533761.8177800062</v>
      </c>
      <c r="Q99" s="39">
        <f t="shared" si="35"/>
        <v>1617675.9297290526</v>
      </c>
      <c r="R99" s="164"/>
      <c r="S99" s="164"/>
    </row>
    <row r="100" spans="3:19" ht="16">
      <c r="C100" s="166"/>
      <c r="D100" s="1"/>
      <c r="E100" s="36"/>
      <c r="H100" s="163"/>
      <c r="I100" s="163"/>
      <c r="J100" s="163"/>
      <c r="K100" s="163"/>
      <c r="L100" s="163"/>
      <c r="M100" s="61"/>
      <c r="N100" s="61"/>
      <c r="O100" s="61"/>
      <c r="P100" s="61"/>
      <c r="Q100" s="61"/>
      <c r="R100" s="61"/>
      <c r="S100" s="1"/>
    </row>
    <row r="101" spans="3:19" ht="16">
      <c r="C101" s="7" t="s">
        <v>182</v>
      </c>
      <c r="D101" s="1"/>
      <c r="E101" s="36" t="s">
        <v>82</v>
      </c>
      <c r="H101" s="167">
        <f>H104/H99</f>
        <v>3.9930430453381197E-2</v>
      </c>
      <c r="I101" s="167">
        <f>I104/I99</f>
        <v>1.9616497264740424E-2</v>
      </c>
      <c r="J101" s="167">
        <f>J104/J99</f>
        <v>4.8105701461244467E-2</v>
      </c>
      <c r="K101" s="167">
        <f>K104/K99</f>
        <v>6.2370954441724143E-2</v>
      </c>
      <c r="L101" s="171">
        <f>AVERAGE(H101:J101)</f>
        <v>3.5884209726455361E-2</v>
      </c>
      <c r="M101" s="171">
        <v>3.5884209726455361E-2</v>
      </c>
      <c r="N101" s="171">
        <v>3.5884209726455361E-2</v>
      </c>
      <c r="O101" s="171">
        <v>3.5884209726455361E-2</v>
      </c>
      <c r="P101" s="171">
        <v>3.5884209726455361E-2</v>
      </c>
      <c r="Q101" s="171">
        <v>3.5884209726455361E-2</v>
      </c>
      <c r="R101" s="170"/>
      <c r="S101" s="170"/>
    </row>
    <row r="102" spans="3:19" ht="16">
      <c r="C102" s="7" t="s">
        <v>183</v>
      </c>
      <c r="D102" s="1"/>
      <c r="E102" s="36" t="s">
        <v>82</v>
      </c>
      <c r="H102" s="162"/>
      <c r="I102" s="162"/>
      <c r="J102" s="162"/>
      <c r="K102" s="162"/>
      <c r="L102" s="171">
        <v>0.06</v>
      </c>
      <c r="M102" s="171">
        <f>L102-0.25%</f>
        <v>5.7499999999999996E-2</v>
      </c>
      <c r="N102" s="171">
        <f t="shared" ref="N102:Q102" si="36">M102-0.25%</f>
        <v>5.4999999999999993E-2</v>
      </c>
      <c r="O102" s="171">
        <f t="shared" si="36"/>
        <v>5.2499999999999991E-2</v>
      </c>
      <c r="P102" s="171">
        <f t="shared" si="36"/>
        <v>4.9999999999999989E-2</v>
      </c>
      <c r="Q102" s="171">
        <f t="shared" si="36"/>
        <v>4.7499999999999987E-2</v>
      </c>
      <c r="R102" s="170"/>
      <c r="S102" s="170"/>
    </row>
    <row r="103" spans="3:19" ht="16">
      <c r="C103" s="7"/>
      <c r="D103" s="1"/>
      <c r="E103" s="36"/>
      <c r="H103" s="162"/>
      <c r="I103" s="162"/>
      <c r="J103" s="162"/>
      <c r="K103" s="162"/>
      <c r="L103" s="162"/>
      <c r="M103" s="162"/>
      <c r="N103" s="162"/>
      <c r="O103" s="162"/>
      <c r="P103" s="162"/>
      <c r="Q103" s="162"/>
      <c r="R103" s="162"/>
      <c r="S103" s="1"/>
    </row>
    <row r="104" spans="3:19" ht="16">
      <c r="C104" s="7" t="s">
        <v>184</v>
      </c>
      <c r="D104" s="1"/>
      <c r="E104" s="36" t="s">
        <v>96</v>
      </c>
      <c r="H104" s="168">
        <f>Model!H137</f>
        <v>24382</v>
      </c>
      <c r="I104" s="168">
        <f>Model!I137</f>
        <v>18356</v>
      </c>
      <c r="J104" s="168">
        <f>Model!J137</f>
        <v>55709</v>
      </c>
      <c r="K104" s="168">
        <f>Model!K137</f>
        <v>78057</v>
      </c>
      <c r="L104" s="172">
        <f t="shared" ref="L104:Q104" si="37">K99*L101</f>
        <v>44908.944935819978</v>
      </c>
      <c r="M104" s="172">
        <f t="shared" si="37"/>
        <v>49200.37543715108</v>
      </c>
      <c r="N104" s="172">
        <f t="shared" si="37"/>
        <v>50446.889700258354</v>
      </c>
      <c r="O104" s="172">
        <f t="shared" si="37"/>
        <v>51388.434625218608</v>
      </c>
      <c r="P104" s="172">
        <f t="shared" si="37"/>
        <v>52723.42287919145</v>
      </c>
      <c r="Q104" s="172">
        <f t="shared" si="37"/>
        <v>55037.830739647157</v>
      </c>
      <c r="R104" s="3"/>
      <c r="S104" s="3"/>
    </row>
    <row r="105" spans="3:19" ht="16">
      <c r="C105" s="7" t="s">
        <v>185</v>
      </c>
      <c r="D105" s="1"/>
      <c r="E105" s="36" t="s">
        <v>96</v>
      </c>
      <c r="H105" s="1"/>
      <c r="I105" s="3"/>
      <c r="J105" s="3"/>
      <c r="K105" s="3"/>
      <c r="L105" s="3">
        <f>$L$96*L102</f>
        <v>10500</v>
      </c>
      <c r="M105" s="3">
        <f t="shared" ref="M105:Q105" si="38">$L$96*M102</f>
        <v>10062.5</v>
      </c>
      <c r="N105" s="3">
        <f t="shared" si="38"/>
        <v>9624.9999999999982</v>
      </c>
      <c r="O105" s="3">
        <f t="shared" si="38"/>
        <v>9187.4999999999982</v>
      </c>
      <c r="P105" s="3">
        <f t="shared" si="38"/>
        <v>8749.9999999999982</v>
      </c>
      <c r="Q105" s="3">
        <f t="shared" si="38"/>
        <v>8312.4999999999982</v>
      </c>
      <c r="R105" s="3"/>
      <c r="S105" s="3"/>
    </row>
    <row r="106" spans="3:19" ht="16">
      <c r="C106" s="7" t="s">
        <v>186</v>
      </c>
      <c r="D106" s="1"/>
      <c r="E106" s="36" t="s">
        <v>96</v>
      </c>
      <c r="H106" s="1"/>
      <c r="I106" s="1"/>
      <c r="J106" s="1"/>
      <c r="K106" s="1"/>
      <c r="L106" s="1"/>
      <c r="M106" s="3">
        <f>$M$96*L102</f>
        <v>6000</v>
      </c>
      <c r="N106" s="3">
        <f t="shared" ref="N106:Q106" si="39">$M$96*M102</f>
        <v>5750</v>
      </c>
      <c r="O106" s="3">
        <f t="shared" si="39"/>
        <v>5499.9999999999991</v>
      </c>
      <c r="P106" s="3">
        <f t="shared" si="39"/>
        <v>5249.9999999999991</v>
      </c>
      <c r="Q106" s="3">
        <f t="shared" si="39"/>
        <v>4999.9999999999991</v>
      </c>
      <c r="R106" s="3"/>
      <c r="S106" s="3"/>
    </row>
    <row r="107" spans="3:19" ht="16">
      <c r="C107" s="7" t="s">
        <v>187</v>
      </c>
      <c r="D107" s="1"/>
      <c r="E107" s="36" t="s">
        <v>96</v>
      </c>
      <c r="H107" s="1"/>
      <c r="I107" s="1"/>
      <c r="J107" s="1"/>
      <c r="K107" s="1"/>
      <c r="L107" s="1"/>
      <c r="M107" s="3"/>
      <c r="N107" s="3">
        <f>$N$96*L102</f>
        <v>5876.1899075633901</v>
      </c>
      <c r="O107" s="3">
        <f t="shared" ref="O107:Q107" si="40">$N$96*M102</f>
        <v>5631.3486614149151</v>
      </c>
      <c r="P107" s="3">
        <f t="shared" si="40"/>
        <v>5386.5074152664401</v>
      </c>
      <c r="Q107" s="3">
        <f t="shared" si="40"/>
        <v>5141.6661691179661</v>
      </c>
      <c r="R107" s="3"/>
      <c r="S107" s="3"/>
    </row>
    <row r="108" spans="3:19" ht="16">
      <c r="C108" s="7" t="s">
        <v>188</v>
      </c>
      <c r="D108" s="1"/>
      <c r="E108" s="36" t="s">
        <v>96</v>
      </c>
      <c r="H108" s="1"/>
      <c r="I108" s="1"/>
      <c r="J108" s="1"/>
      <c r="K108" s="1"/>
      <c r="L108" s="1"/>
      <c r="M108" s="3"/>
      <c r="N108" s="3"/>
      <c r="O108" s="3">
        <f>$O$96*L102</f>
        <v>6951.6988636799388</v>
      </c>
      <c r="P108" s="3">
        <f t="shared" ref="P108:Q108" si="41">$O$96*M102</f>
        <v>6662.0447443599405</v>
      </c>
      <c r="Q108" s="3">
        <f t="shared" si="41"/>
        <v>6372.3906250399432</v>
      </c>
      <c r="R108" s="3"/>
      <c r="S108" s="3"/>
    </row>
    <row r="109" spans="3:19" ht="16">
      <c r="C109" s="7" t="s">
        <v>189</v>
      </c>
      <c r="D109" s="1"/>
      <c r="E109" s="36" t="s">
        <v>96</v>
      </c>
      <c r="H109" s="1"/>
      <c r="I109" s="1"/>
      <c r="J109" s="1"/>
      <c r="K109" s="1"/>
      <c r="L109" s="1"/>
      <c r="M109" s="3"/>
      <c r="N109" s="3"/>
      <c r="O109" s="3"/>
      <c r="P109" s="3">
        <f>$P$96*L102</f>
        <v>8596.1117257524966</v>
      </c>
      <c r="Q109" s="3">
        <f>$P$96*M102</f>
        <v>8237.9404038461435</v>
      </c>
      <c r="R109" s="3"/>
      <c r="S109" s="3"/>
    </row>
    <row r="110" spans="3:19" ht="16">
      <c r="C110" s="7" t="s">
        <v>190</v>
      </c>
      <c r="D110" s="1"/>
      <c r="E110" s="36" t="s">
        <v>96</v>
      </c>
      <c r="H110" s="198"/>
      <c r="I110" s="198"/>
      <c r="J110" s="198"/>
      <c r="K110" s="198"/>
      <c r="L110" s="198"/>
      <c r="M110" s="9"/>
      <c r="N110" s="9"/>
      <c r="O110" s="9"/>
      <c r="P110" s="9"/>
      <c r="Q110" s="9">
        <f>$Q$96*L102</f>
        <v>9826.7099689710903</v>
      </c>
      <c r="R110" s="3"/>
      <c r="S110" s="3"/>
    </row>
    <row r="111" spans="3:19" ht="16">
      <c r="C111" s="169" t="s">
        <v>191</v>
      </c>
      <c r="D111" s="1"/>
      <c r="E111" s="100" t="s">
        <v>96</v>
      </c>
      <c r="H111" s="10">
        <f t="shared" ref="H111:Q111" si="42">SUM(H104:H108)</f>
        <v>24382</v>
      </c>
      <c r="I111" s="10">
        <f t="shared" si="42"/>
        <v>18356</v>
      </c>
      <c r="J111" s="10">
        <f t="shared" si="42"/>
        <v>55709</v>
      </c>
      <c r="K111" s="10">
        <f t="shared" si="42"/>
        <v>78057</v>
      </c>
      <c r="L111" s="10">
        <f t="shared" si="42"/>
        <v>55408.944935819978</v>
      </c>
      <c r="M111" s="10">
        <f t="shared" si="42"/>
        <v>65262.87543715108</v>
      </c>
      <c r="N111" s="10">
        <f t="shared" si="42"/>
        <v>71698.079607821739</v>
      </c>
      <c r="O111" s="10">
        <f t="shared" si="42"/>
        <v>78658.982150313459</v>
      </c>
      <c r="P111" s="10">
        <f t="shared" si="42"/>
        <v>78771.975038817836</v>
      </c>
      <c r="Q111" s="10">
        <f t="shared" si="42"/>
        <v>79864.387533805057</v>
      </c>
      <c r="R111" s="5"/>
      <c r="S111" s="5"/>
    </row>
    <row r="115" spans="2:17" ht="16">
      <c r="B115" s="1"/>
      <c r="C115" s="1"/>
      <c r="D115" s="1"/>
      <c r="E115" s="1"/>
      <c r="F115" s="1"/>
      <c r="G115" s="1"/>
      <c r="H115" s="1"/>
      <c r="I115" s="1"/>
      <c r="J115" s="49"/>
      <c r="K115" s="1"/>
      <c r="L115" s="1"/>
      <c r="M115" s="1"/>
      <c r="N115" s="49"/>
      <c r="O115" s="1"/>
      <c r="P115" s="1"/>
      <c r="Q115" s="1"/>
    </row>
    <row r="116" spans="2:17" ht="16">
      <c r="B116" s="49"/>
      <c r="C116" s="1"/>
      <c r="D116" s="49"/>
      <c r="E116" s="49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2:17">
      <c r="C117" s="197"/>
    </row>
    <row r="118" spans="2:17" ht="16">
      <c r="C118" s="7"/>
      <c r="D118" s="183"/>
      <c r="E118" s="183"/>
      <c r="F118" s="183"/>
      <c r="G118" s="183"/>
      <c r="H118" s="3"/>
      <c r="I118" s="3"/>
      <c r="J118" s="3"/>
      <c r="K118" s="3"/>
    </row>
    <row r="119" spans="2:17" ht="16">
      <c r="C119" s="7"/>
      <c r="F119" s="183"/>
      <c r="G119" s="183"/>
      <c r="H119" s="3"/>
      <c r="I119" s="3"/>
      <c r="J119" s="3"/>
      <c r="K119" s="3"/>
    </row>
    <row r="120" spans="2:17" ht="16">
      <c r="C120" s="7"/>
      <c r="D120" s="183"/>
      <c r="E120" s="183"/>
      <c r="F120" s="183"/>
      <c r="G120" s="183"/>
      <c r="H120" s="3"/>
      <c r="I120" s="3"/>
      <c r="J120" s="3"/>
      <c r="K120" s="3"/>
    </row>
    <row r="121" spans="2:17" ht="16">
      <c r="C121" s="7"/>
      <c r="D121" s="183"/>
      <c r="E121" s="183"/>
      <c r="F121" s="183"/>
      <c r="G121" s="183"/>
      <c r="H121" s="3"/>
      <c r="I121" s="3"/>
      <c r="J121" s="3"/>
      <c r="K121" s="3"/>
    </row>
    <row r="122" spans="2:17" ht="16">
      <c r="C122" s="47"/>
      <c r="D122" s="183"/>
      <c r="E122" s="183"/>
      <c r="F122" s="183"/>
      <c r="G122" s="183"/>
      <c r="H122" s="10"/>
      <c r="I122" s="10"/>
      <c r="J122" s="10"/>
      <c r="K122" s="10"/>
    </row>
    <row r="123" spans="2:17" ht="16">
      <c r="C123" s="47"/>
      <c r="D123" s="183"/>
      <c r="E123" s="183"/>
      <c r="F123" s="183"/>
      <c r="G123" s="183"/>
      <c r="H123" s="10"/>
      <c r="I123" s="10"/>
      <c r="J123" s="10"/>
      <c r="K123" s="10"/>
    </row>
    <row r="124" spans="2:17" ht="16">
      <c r="C124" s="7"/>
      <c r="E124" s="183"/>
      <c r="F124" s="183"/>
      <c r="G124" s="183"/>
      <c r="H124" s="3"/>
      <c r="I124" s="3"/>
      <c r="J124" s="3"/>
      <c r="K124" s="3"/>
    </row>
    <row r="125" spans="2:17" ht="16">
      <c r="C125" s="47"/>
      <c r="D125" s="183"/>
      <c r="E125" s="183"/>
      <c r="F125" s="183"/>
      <c r="G125" s="183"/>
      <c r="H125" s="10"/>
      <c r="I125" s="10"/>
      <c r="J125" s="10"/>
      <c r="K125" s="10"/>
    </row>
    <row r="126" spans="2:17">
      <c r="H126" s="6"/>
      <c r="I126" s="6"/>
      <c r="J126" s="6"/>
      <c r="K126" s="6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21A8A-B253-417D-83F2-B9EC5E15B89E}">
  <dimension ref="B1:T100"/>
  <sheetViews>
    <sheetView showGridLines="0" zoomScale="51" workbookViewId="0">
      <selection activeCell="L24" sqref="L24"/>
    </sheetView>
  </sheetViews>
  <sheetFormatPr defaultRowHeight="16"/>
  <cols>
    <col min="2" max="2" width="8.7265625" style="1"/>
    <col min="3" max="3" width="37.08984375" style="1" customWidth="1"/>
    <col min="4" max="7" width="8.7265625" style="1"/>
    <col min="8" max="10" width="12.08984375" style="1" bestFit="1" customWidth="1"/>
    <col min="11" max="11" width="11" style="1" bestFit="1" customWidth="1"/>
    <col min="12" max="12" width="13.1796875" style="1" bestFit="1" customWidth="1"/>
    <col min="13" max="13" width="11" style="1" bestFit="1" customWidth="1"/>
    <col min="14" max="16" width="12.08984375" style="1" bestFit="1" customWidth="1"/>
    <col min="17" max="17" width="13.81640625" style="1" bestFit="1" customWidth="1"/>
    <col min="18" max="19" width="8.7265625" style="1"/>
  </cols>
  <sheetData>
    <row r="1" spans="2:20" ht="14.5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</row>
    <row r="2" spans="2:20">
      <c r="B2" s="12"/>
      <c r="C2" s="12"/>
      <c r="D2" s="12"/>
      <c r="E2" s="12"/>
      <c r="F2" s="12"/>
      <c r="G2" s="12"/>
      <c r="H2" s="13"/>
      <c r="I2" s="13"/>
      <c r="J2" s="14" t="s">
        <v>67</v>
      </c>
      <c r="K2" s="13"/>
      <c r="L2" s="15"/>
      <c r="M2" s="13"/>
      <c r="N2" s="14" t="s">
        <v>68</v>
      </c>
      <c r="O2" s="13"/>
      <c r="P2" s="13"/>
      <c r="Q2" s="13"/>
      <c r="R2" s="49"/>
    </row>
    <row r="3" spans="2:20">
      <c r="B3" s="16" t="s">
        <v>91</v>
      </c>
      <c r="C3" s="12"/>
      <c r="D3" s="12"/>
      <c r="E3" s="17" t="s">
        <v>69</v>
      </c>
      <c r="F3" s="18"/>
      <c r="G3" s="18"/>
      <c r="H3" s="19">
        <v>44561</v>
      </c>
      <c r="I3" s="19">
        <v>44926</v>
      </c>
      <c r="J3" s="19">
        <v>45291</v>
      </c>
      <c r="K3" s="19">
        <v>45657</v>
      </c>
      <c r="L3" s="29">
        <v>46022</v>
      </c>
      <c r="M3" s="19">
        <v>46387</v>
      </c>
      <c r="N3" s="28">
        <v>46752</v>
      </c>
      <c r="O3" s="19">
        <v>47118</v>
      </c>
      <c r="P3" s="19">
        <v>47483</v>
      </c>
      <c r="Q3" s="19">
        <v>47848</v>
      </c>
      <c r="R3" s="27"/>
      <c r="S3" s="27"/>
    </row>
    <row r="4" spans="2:20">
      <c r="B4" s="49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</row>
    <row r="5" spans="2:20">
      <c r="B5" s="49"/>
      <c r="E5" s="54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</row>
    <row r="6" spans="2:20">
      <c r="B6" s="49"/>
      <c r="C6" s="52"/>
      <c r="D6" s="49"/>
      <c r="E6" s="53" t="s">
        <v>127</v>
      </c>
      <c r="F6" s="49"/>
      <c r="G6" s="124" t="s">
        <v>124</v>
      </c>
      <c r="I6" s="49"/>
      <c r="J6" s="49"/>
      <c r="K6" s="49"/>
      <c r="L6" s="49"/>
      <c r="M6" s="49"/>
      <c r="N6" s="49"/>
      <c r="O6" s="49"/>
    </row>
    <row r="7" spans="2:20">
      <c r="B7" s="49"/>
      <c r="C7" s="52"/>
      <c r="D7" s="49"/>
      <c r="E7" s="53" t="s">
        <v>462</v>
      </c>
      <c r="F7" s="49"/>
      <c r="G7" s="124" t="s">
        <v>493</v>
      </c>
      <c r="I7" s="519" t="s">
        <v>463</v>
      </c>
      <c r="J7" s="49"/>
      <c r="K7" s="548">
        <v>0.2</v>
      </c>
      <c r="L7" s="49"/>
      <c r="M7" s="49"/>
      <c r="N7" s="49"/>
      <c r="O7" s="49"/>
    </row>
    <row r="8" spans="2:20">
      <c r="B8" s="49"/>
      <c r="C8" s="1" t="s">
        <v>70</v>
      </c>
      <c r="E8" s="21" t="s">
        <v>71</v>
      </c>
      <c r="G8" s="125" t="str">
        <f>Company_Name</f>
        <v>MP Materials Corp.</v>
      </c>
      <c r="H8" s="129"/>
      <c r="I8" s="49"/>
      <c r="N8" s="25"/>
    </row>
    <row r="9" spans="2:20">
      <c r="B9" s="49"/>
      <c r="C9" s="1" t="s">
        <v>73</v>
      </c>
      <c r="E9" s="21" t="s">
        <v>71</v>
      </c>
      <c r="G9" s="126" t="str">
        <f>Ticker</f>
        <v>MP</v>
      </c>
      <c r="H9" s="25"/>
      <c r="I9" s="54" t="s">
        <v>128</v>
      </c>
      <c r="J9" s="54"/>
      <c r="K9" s="54"/>
      <c r="L9" s="54"/>
      <c r="N9" s="54" t="s">
        <v>129</v>
      </c>
      <c r="O9" s="54"/>
      <c r="P9" s="54"/>
      <c r="Q9" s="54"/>
    </row>
    <row r="10" spans="2:20">
      <c r="B10" s="49"/>
      <c r="C10" s="1" t="s">
        <v>75</v>
      </c>
      <c r="E10" s="21" t="s">
        <v>76</v>
      </c>
      <c r="G10" s="127">
        <v>19.690000000000001</v>
      </c>
      <c r="H10" s="55"/>
      <c r="I10" s="25"/>
      <c r="J10" s="25"/>
      <c r="K10" s="25"/>
      <c r="L10" s="25"/>
      <c r="N10" s="25"/>
      <c r="O10" s="25"/>
      <c r="P10" s="25"/>
      <c r="Q10" s="25"/>
    </row>
    <row r="11" spans="2:20">
      <c r="B11" s="49"/>
      <c r="C11" s="25" t="s">
        <v>78</v>
      </c>
      <c r="E11" s="21" t="s">
        <v>79</v>
      </c>
      <c r="G11" s="563">
        <f>Diluted</f>
        <v>163.4</v>
      </c>
      <c r="H11" s="25"/>
      <c r="I11" s="25" t="s">
        <v>130</v>
      </c>
      <c r="J11" s="25"/>
      <c r="K11" s="25"/>
      <c r="L11" s="56">
        <f>PubComps!S36</f>
        <v>14.880769450668492</v>
      </c>
      <c r="N11" s="25" t="s">
        <v>131</v>
      </c>
      <c r="O11" s="25"/>
      <c r="P11" s="25"/>
      <c r="Q11" s="133">
        <v>1.4999999999999999E-2</v>
      </c>
      <c r="T11" s="597"/>
    </row>
    <row r="12" spans="2:20">
      <c r="B12" s="49"/>
      <c r="C12" s="25"/>
      <c r="E12" s="25"/>
      <c r="G12" s="25"/>
      <c r="H12" s="25"/>
      <c r="I12" s="25" t="s">
        <v>132</v>
      </c>
      <c r="J12" s="25"/>
      <c r="K12" s="25"/>
      <c r="L12" s="56">
        <f>PubComps!S40</f>
        <v>23.322554035973742</v>
      </c>
      <c r="N12" s="25"/>
      <c r="O12" s="25"/>
      <c r="P12" s="25"/>
      <c r="Q12" s="25"/>
    </row>
    <row r="13" spans="2:20">
      <c r="B13" s="49"/>
      <c r="C13" s="25" t="s">
        <v>81</v>
      </c>
      <c r="E13" s="21" t="s">
        <v>82</v>
      </c>
      <c r="G13" s="130">
        <f>Tax_Rate</f>
        <v>0.15495232496007769</v>
      </c>
      <c r="H13" s="25"/>
      <c r="I13" s="25"/>
      <c r="J13" s="25"/>
      <c r="K13" s="25"/>
      <c r="L13" s="57"/>
      <c r="N13" s="25"/>
      <c r="O13" s="25"/>
      <c r="P13" s="25"/>
      <c r="Q13" s="25"/>
    </row>
    <row r="14" spans="2:20">
      <c r="B14" s="49"/>
      <c r="C14" s="25" t="s">
        <v>83</v>
      </c>
      <c r="E14" s="21" t="s">
        <v>82</v>
      </c>
      <c r="G14" s="131">
        <f>Wacc!L40</f>
        <v>0.10034420326043085</v>
      </c>
      <c r="H14" s="25"/>
      <c r="I14" s="25" t="s">
        <v>133</v>
      </c>
      <c r="J14" s="25"/>
      <c r="K14" s="58"/>
      <c r="L14" s="546">
        <f>INDEX(L15:L17,MATCH(Scenario,I15:I17,0),1)</f>
        <v>18</v>
      </c>
      <c r="N14" s="25" t="s">
        <v>134</v>
      </c>
      <c r="O14" s="25"/>
      <c r="P14" s="25"/>
      <c r="Q14" s="130">
        <f>INDEX(Q15:Q17,MATCH(Scenario,N15:N17,0),1)</f>
        <v>0.03</v>
      </c>
    </row>
    <row r="15" spans="2:20">
      <c r="B15" s="49"/>
      <c r="C15" s="25"/>
      <c r="E15" s="21"/>
      <c r="G15" s="59"/>
      <c r="H15" s="25"/>
      <c r="I15" s="1" t="s">
        <v>126</v>
      </c>
      <c r="J15" s="25"/>
      <c r="K15" s="58"/>
      <c r="L15" s="132">
        <f>IF(Premium_Case="Yes",16*(1+Premium_Uplift),16)</f>
        <v>19.2</v>
      </c>
      <c r="N15" s="1" t="s">
        <v>126</v>
      </c>
      <c r="O15" s="25"/>
      <c r="P15" s="25"/>
      <c r="Q15" s="133">
        <v>0.04</v>
      </c>
    </row>
    <row r="16" spans="2:20">
      <c r="B16" s="49"/>
      <c r="C16" s="25"/>
      <c r="E16" s="21"/>
      <c r="G16" s="59"/>
      <c r="H16" s="25"/>
      <c r="I16" s="1" t="s">
        <v>124</v>
      </c>
      <c r="J16" s="25"/>
      <c r="K16" s="58"/>
      <c r="L16" s="132">
        <f>IF(Premium_Case="Yes",15*(1+Premium_Uplift),15)</f>
        <v>18</v>
      </c>
      <c r="N16" s="1" t="s">
        <v>124</v>
      </c>
      <c r="O16" s="25"/>
      <c r="P16" s="25"/>
      <c r="Q16" s="133">
        <v>0.03</v>
      </c>
    </row>
    <row r="17" spans="2:17">
      <c r="B17" s="49"/>
      <c r="C17" s="25"/>
      <c r="E17" s="21"/>
      <c r="G17" s="59"/>
      <c r="H17" s="25"/>
      <c r="I17" s="1" t="s">
        <v>125</v>
      </c>
      <c r="J17" s="25"/>
      <c r="K17" s="58"/>
      <c r="L17" s="132">
        <f>IF(Premium_Case="Yes",14*(1+Premium_Uplift),14)</f>
        <v>16.8</v>
      </c>
      <c r="N17" s="1" t="s">
        <v>125</v>
      </c>
      <c r="O17" s="25"/>
      <c r="P17" s="25"/>
      <c r="Q17" s="133">
        <v>0.02</v>
      </c>
    </row>
    <row r="18" spans="2:17">
      <c r="B18" s="49"/>
      <c r="C18" s="25"/>
      <c r="E18" s="21"/>
      <c r="G18" s="59"/>
      <c r="H18" s="25"/>
      <c r="I18" s="25"/>
      <c r="J18" s="25"/>
      <c r="K18" s="58"/>
      <c r="L18" s="60"/>
      <c r="N18" s="25"/>
      <c r="O18" s="25"/>
      <c r="P18" s="25"/>
      <c r="Q18" s="61"/>
    </row>
    <row r="19" spans="2:17">
      <c r="B19" s="49"/>
      <c r="C19" s="25"/>
      <c r="E19" s="21"/>
      <c r="G19" s="59"/>
      <c r="H19" s="25"/>
      <c r="I19" s="25"/>
      <c r="J19" s="25"/>
      <c r="K19" s="58"/>
      <c r="L19" s="60"/>
      <c r="N19" s="25"/>
      <c r="O19" s="25"/>
      <c r="P19" s="25"/>
      <c r="Q19" s="61"/>
    </row>
    <row r="20" spans="2:17">
      <c r="B20" s="49"/>
      <c r="C20" s="25"/>
      <c r="E20" s="21"/>
      <c r="G20" s="62"/>
      <c r="H20" s="25"/>
      <c r="I20" s="25" t="s">
        <v>135</v>
      </c>
      <c r="J20" s="25"/>
      <c r="K20" s="25"/>
      <c r="L20" s="63">
        <f>L14*(Q68/Units)</f>
        <v>9069.9547360250344</v>
      </c>
      <c r="N20" s="25" t="s">
        <v>135</v>
      </c>
      <c r="O20" s="25"/>
      <c r="P20" s="25"/>
      <c r="Q20" s="64">
        <f>(+Q66*(1+Terminal_Growth_Rate)/(Discount_Rate-Q14)*(1+Discount_Rate)^0.5)/Units</f>
        <v>14649.032808262844</v>
      </c>
    </row>
    <row r="21" spans="2:17">
      <c r="B21" s="49"/>
      <c r="C21" s="65" t="s">
        <v>136</v>
      </c>
      <c r="D21" s="66"/>
      <c r="E21" s="67"/>
      <c r="F21" s="66"/>
      <c r="G21" s="68">
        <f>$G$10*$G$11</f>
        <v>3217.3460000000005</v>
      </c>
      <c r="H21" s="25"/>
      <c r="I21" s="25" t="s">
        <v>137</v>
      </c>
      <c r="J21" s="25"/>
      <c r="K21" s="25"/>
      <c r="L21" s="69">
        <f>(Q68*(1+Discount_Rate)^0.5*Discount_Rate - L20) / (Q68*(1+Discount_Rate)^0.5 + L20)</f>
        <v>8.1781224629380991E-2</v>
      </c>
      <c r="N21" s="25" t="s">
        <v>138</v>
      </c>
      <c r="O21" s="25"/>
      <c r="P21" s="25"/>
      <c r="Q21" s="70">
        <f>Q20/(Q68/Units)</f>
        <v>29.0720955311285</v>
      </c>
    </row>
    <row r="22" spans="2:17">
      <c r="B22" s="49"/>
      <c r="C22" s="71" t="s">
        <v>139</v>
      </c>
      <c r="E22" s="21"/>
      <c r="G22" s="134">
        <f>PubComps_Data!$H$19</f>
        <v>-850.86800000000005</v>
      </c>
      <c r="H22" s="25"/>
      <c r="I22" s="25"/>
      <c r="J22" s="25"/>
      <c r="K22" s="25"/>
      <c r="L22" s="25"/>
      <c r="N22" s="25"/>
      <c r="O22" s="25"/>
      <c r="P22" s="25"/>
      <c r="Q22" s="25"/>
    </row>
    <row r="23" spans="2:17">
      <c r="B23" s="49"/>
      <c r="C23" s="71" t="s">
        <v>140</v>
      </c>
      <c r="E23" s="21"/>
      <c r="G23" s="134">
        <v>0</v>
      </c>
      <c r="H23" s="25"/>
      <c r="I23" s="71" t="s">
        <v>141</v>
      </c>
      <c r="J23" s="25"/>
      <c r="K23" s="58"/>
      <c r="L23" s="72">
        <f>L20/((1+Discount_Rate)^6)</f>
        <v>5110.1513190932337</v>
      </c>
      <c r="N23" s="71" t="s">
        <v>141</v>
      </c>
      <c r="O23" s="25"/>
      <c r="P23" s="58"/>
      <c r="Q23" s="73">
        <f>Q20/((1+Discount_Rate)^6)</f>
        <v>8253.4892959556018</v>
      </c>
    </row>
    <row r="24" spans="2:17">
      <c r="B24" s="49"/>
      <c r="C24" s="71" t="s">
        <v>142</v>
      </c>
      <c r="E24" s="21"/>
      <c r="G24" s="134">
        <f>PubComps_Data!$H$23</f>
        <v>908.72900000000004</v>
      </c>
      <c r="H24" s="25"/>
      <c r="I24" s="74" t="s">
        <v>143</v>
      </c>
      <c r="J24" s="75"/>
      <c r="K24" s="75"/>
      <c r="L24" s="76">
        <f>NPV(Discount_Rate,L66:Q66)/Units</f>
        <v>1236.1506164271743</v>
      </c>
      <c r="N24" s="74" t="s">
        <v>143</v>
      </c>
      <c r="O24" s="75"/>
      <c r="P24" s="75"/>
      <c r="Q24" s="76">
        <f>NPV(Discount_Rate,L66:Q66)/Units</f>
        <v>1236.1506164271743</v>
      </c>
    </row>
    <row r="25" spans="2:17">
      <c r="B25" s="49"/>
      <c r="C25" s="71" t="s">
        <v>144</v>
      </c>
      <c r="E25" s="21"/>
      <c r="G25" s="134">
        <v>0</v>
      </c>
      <c r="H25" s="25"/>
      <c r="I25" s="77" t="s">
        <v>145</v>
      </c>
      <c r="J25" s="78"/>
      <c r="K25" s="78"/>
      <c r="L25" s="79">
        <f>SUM(L23:L24)</f>
        <v>6346.3019355204078</v>
      </c>
      <c r="N25" s="77" t="s">
        <v>145</v>
      </c>
      <c r="O25" s="78"/>
      <c r="P25" s="78"/>
      <c r="Q25" s="79">
        <f>SUM(Q23:Q24)</f>
        <v>9489.6399123827759</v>
      </c>
    </row>
    <row r="26" spans="2:17">
      <c r="B26" s="49"/>
      <c r="C26" s="71" t="s">
        <v>146</v>
      </c>
      <c r="E26" s="21"/>
      <c r="G26" s="134">
        <v>0</v>
      </c>
      <c r="H26" s="25"/>
      <c r="I26" s="71"/>
      <c r="J26" s="25"/>
      <c r="K26" s="25"/>
      <c r="L26" s="80"/>
      <c r="N26" s="71"/>
      <c r="O26" s="25"/>
      <c r="P26" s="25"/>
      <c r="Q26" s="80"/>
    </row>
    <row r="27" spans="2:17">
      <c r="B27" s="49"/>
      <c r="C27" s="71" t="s">
        <v>147</v>
      </c>
      <c r="E27" s="21"/>
      <c r="G27" s="134">
        <v>0</v>
      </c>
      <c r="H27" s="25"/>
      <c r="I27" s="81" t="s">
        <v>148</v>
      </c>
      <c r="J27" s="25"/>
      <c r="K27" s="25"/>
      <c r="L27" s="82">
        <f>L24/L23</f>
        <v>0.24190098085911907</v>
      </c>
      <c r="N27" s="81" t="s">
        <v>148</v>
      </c>
      <c r="O27" s="25"/>
      <c r="P27" s="25"/>
      <c r="Q27" s="82">
        <f>Q24/Q23</f>
        <v>0.14977309257951257</v>
      </c>
    </row>
    <row r="28" spans="2:17">
      <c r="B28" s="49"/>
      <c r="C28" s="71" t="s">
        <v>149</v>
      </c>
      <c r="E28" s="21"/>
      <c r="G28" s="134">
        <v>0</v>
      </c>
      <c r="H28" s="25"/>
      <c r="I28" s="25"/>
      <c r="J28" s="25"/>
      <c r="K28" s="25"/>
      <c r="L28" s="25"/>
      <c r="N28" s="25"/>
      <c r="O28" s="25"/>
      <c r="P28" s="25"/>
      <c r="Q28" s="25"/>
    </row>
    <row r="29" spans="2:17">
      <c r="B29" s="49"/>
      <c r="C29" s="83" t="s">
        <v>150</v>
      </c>
      <c r="D29" s="83"/>
      <c r="E29" s="83"/>
      <c r="F29" s="83"/>
      <c r="G29" s="84">
        <f>SUM($G$21:$G$28)</f>
        <v>3275.2070000000003</v>
      </c>
      <c r="H29" s="25"/>
      <c r="I29" s="25" t="s">
        <v>151</v>
      </c>
      <c r="J29" s="25"/>
      <c r="K29" s="25"/>
      <c r="L29" s="135">
        <f>-G22</f>
        <v>850.86800000000005</v>
      </c>
      <c r="N29" s="25" t="s">
        <v>151</v>
      </c>
      <c r="O29" s="25"/>
      <c r="P29" s="25"/>
      <c r="Q29" s="135">
        <f>L29</f>
        <v>850.86800000000005</v>
      </c>
    </row>
    <row r="30" spans="2:17">
      <c r="B30" s="49"/>
      <c r="C30" s="25"/>
      <c r="E30" s="21"/>
      <c r="G30" s="62"/>
      <c r="H30" s="25"/>
      <c r="I30" s="85" t="s">
        <v>152</v>
      </c>
      <c r="J30" s="25"/>
      <c r="K30" s="25"/>
      <c r="L30" s="135">
        <f t="shared" ref="L30:L35" si="0">-G23</f>
        <v>0</v>
      </c>
      <c r="N30" s="85" t="s">
        <v>152</v>
      </c>
      <c r="O30" s="25"/>
      <c r="P30" s="25"/>
      <c r="Q30" s="135">
        <f t="shared" ref="Q30:Q35" si="1">L30</f>
        <v>0</v>
      </c>
    </row>
    <row r="31" spans="2:17">
      <c r="B31" s="49"/>
      <c r="C31" s="25"/>
      <c r="E31" s="21"/>
      <c r="G31" s="62"/>
      <c r="H31" s="25"/>
      <c r="I31" s="85" t="s">
        <v>153</v>
      </c>
      <c r="J31" s="25"/>
      <c r="K31" s="25"/>
      <c r="L31" s="135">
        <f t="shared" si="0"/>
        <v>-908.72900000000004</v>
      </c>
      <c r="N31" s="85" t="s">
        <v>153</v>
      </c>
      <c r="O31" s="25"/>
      <c r="P31" s="25"/>
      <c r="Q31" s="135">
        <f t="shared" si="1"/>
        <v>-908.72900000000004</v>
      </c>
    </row>
    <row r="32" spans="2:17">
      <c r="B32" s="49"/>
      <c r="C32" s="25"/>
      <c r="E32" s="21"/>
      <c r="G32" s="62"/>
      <c r="H32" s="25"/>
      <c r="I32" s="85" t="s">
        <v>154</v>
      </c>
      <c r="J32" s="25"/>
      <c r="K32" s="25"/>
      <c r="L32" s="135">
        <f t="shared" si="0"/>
        <v>0</v>
      </c>
      <c r="N32" s="85" t="s">
        <v>154</v>
      </c>
      <c r="O32" s="25"/>
      <c r="P32" s="25"/>
      <c r="Q32" s="135">
        <f t="shared" si="1"/>
        <v>0</v>
      </c>
    </row>
    <row r="33" spans="2:19">
      <c r="B33" s="49"/>
      <c r="C33" s="25"/>
      <c r="E33" s="21"/>
      <c r="G33" s="62"/>
      <c r="H33" s="25"/>
      <c r="I33" s="85" t="s">
        <v>155</v>
      </c>
      <c r="J33" s="25"/>
      <c r="K33" s="25"/>
      <c r="L33" s="135">
        <f t="shared" si="0"/>
        <v>0</v>
      </c>
      <c r="N33" s="85" t="s">
        <v>155</v>
      </c>
      <c r="O33" s="25"/>
      <c r="P33" s="25"/>
      <c r="Q33" s="135">
        <f t="shared" si="1"/>
        <v>0</v>
      </c>
    </row>
    <row r="34" spans="2:19">
      <c r="B34" s="49"/>
      <c r="C34" s="25"/>
      <c r="E34" s="21"/>
      <c r="G34" s="62"/>
      <c r="H34" s="25"/>
      <c r="I34" s="85" t="s">
        <v>156</v>
      </c>
      <c r="J34" s="25"/>
      <c r="K34" s="25"/>
      <c r="L34" s="135">
        <f t="shared" si="0"/>
        <v>0</v>
      </c>
      <c r="N34" s="85" t="s">
        <v>156</v>
      </c>
      <c r="O34" s="25"/>
      <c r="P34" s="25"/>
      <c r="Q34" s="135">
        <f t="shared" si="1"/>
        <v>0</v>
      </c>
    </row>
    <row r="35" spans="2:19">
      <c r="B35" s="49"/>
      <c r="C35" s="25"/>
      <c r="E35" s="21"/>
      <c r="G35" s="62"/>
      <c r="H35" s="25"/>
      <c r="I35" s="85" t="s">
        <v>157</v>
      </c>
      <c r="J35" s="25"/>
      <c r="K35" s="25"/>
      <c r="L35" s="135">
        <f t="shared" si="0"/>
        <v>0</v>
      </c>
      <c r="N35" s="85" t="s">
        <v>157</v>
      </c>
      <c r="O35" s="25"/>
      <c r="P35" s="25"/>
      <c r="Q35" s="135">
        <f t="shared" si="1"/>
        <v>0</v>
      </c>
    </row>
    <row r="36" spans="2:19">
      <c r="B36" s="49"/>
      <c r="C36" s="25"/>
      <c r="E36" s="21"/>
      <c r="G36" s="62"/>
      <c r="H36" s="25"/>
      <c r="I36" s="71"/>
      <c r="J36" s="25"/>
      <c r="K36" s="25"/>
      <c r="L36" s="86"/>
      <c r="N36" s="71"/>
      <c r="O36" s="25"/>
      <c r="P36" s="25"/>
      <c r="Q36" s="80"/>
    </row>
    <row r="37" spans="2:19">
      <c r="B37" s="49"/>
      <c r="C37" s="25"/>
      <c r="E37" s="21"/>
      <c r="G37" s="62"/>
      <c r="H37" s="25"/>
      <c r="I37" s="87" t="s">
        <v>158</v>
      </c>
      <c r="J37" s="88"/>
      <c r="K37" s="88"/>
      <c r="L37" s="89">
        <f>L25+SUM(L29:L35)</f>
        <v>6288.4409355204079</v>
      </c>
      <c r="N37" s="87" t="s">
        <v>158</v>
      </c>
      <c r="O37" s="88"/>
      <c r="P37" s="88"/>
      <c r="Q37" s="89">
        <f>SUM(Q25:Q36)</f>
        <v>9431.9286854753573</v>
      </c>
    </row>
    <row r="38" spans="2:19">
      <c r="B38" s="49"/>
      <c r="C38" s="25"/>
      <c r="E38" s="21"/>
      <c r="G38" s="62"/>
      <c r="H38" s="25"/>
      <c r="I38" s="90"/>
      <c r="J38" s="25"/>
      <c r="K38" s="25"/>
      <c r="L38" s="91"/>
      <c r="N38" s="90"/>
      <c r="O38" s="25"/>
      <c r="P38" s="25"/>
      <c r="Q38" s="91"/>
    </row>
    <row r="39" spans="2:19">
      <c r="B39" s="49"/>
      <c r="C39" s="25"/>
      <c r="E39" s="21"/>
      <c r="G39" s="62"/>
      <c r="H39" s="25"/>
      <c r="I39" s="25" t="s">
        <v>78</v>
      </c>
      <c r="J39" s="25"/>
      <c r="K39" s="25"/>
      <c r="L39" s="92">
        <f>_xlfn.SINGLE(Diluted)</f>
        <v>163.4</v>
      </c>
      <c r="N39" s="25" t="s">
        <v>78</v>
      </c>
      <c r="O39" s="25"/>
      <c r="P39" s="25"/>
      <c r="Q39" s="92">
        <f>_xlfn.SINGLE(Diluted)</f>
        <v>163.4</v>
      </c>
    </row>
    <row r="40" spans="2:19">
      <c r="B40" s="49"/>
      <c r="C40" s="25"/>
      <c r="E40" s="21"/>
      <c r="G40" s="62"/>
      <c r="H40" s="25"/>
      <c r="I40" s="25"/>
      <c r="J40" s="25"/>
      <c r="K40" s="25"/>
      <c r="L40" s="3"/>
      <c r="N40" s="25"/>
      <c r="O40" s="25"/>
      <c r="P40" s="25"/>
      <c r="Q40" s="3"/>
    </row>
    <row r="41" spans="2:19">
      <c r="B41" s="49"/>
      <c r="C41" s="25"/>
      <c r="E41" s="21"/>
      <c r="G41" s="62"/>
      <c r="H41" s="25"/>
      <c r="I41" s="93" t="s">
        <v>159</v>
      </c>
      <c r="J41" s="94"/>
      <c r="K41" s="94"/>
      <c r="L41" s="95">
        <f>L37/L39</f>
        <v>38.484950645779726</v>
      </c>
      <c r="N41" s="93" t="s">
        <v>159</v>
      </c>
      <c r="O41" s="94"/>
      <c r="P41" s="94"/>
      <c r="Q41" s="95">
        <f>Q37/Q39</f>
        <v>57.722941771575009</v>
      </c>
    </row>
    <row r="42" spans="2:19">
      <c r="B42" s="49"/>
      <c r="C42" s="25"/>
      <c r="E42" s="21"/>
      <c r="G42" s="62"/>
      <c r="H42" s="25"/>
      <c r="I42" s="96" t="s">
        <v>160</v>
      </c>
      <c r="J42" s="97"/>
      <c r="K42" s="97"/>
      <c r="L42" s="98">
        <f>L41/G10-1</f>
        <v>0.95454294798271833</v>
      </c>
      <c r="N42" s="96" t="s">
        <v>160</v>
      </c>
      <c r="O42" s="97"/>
      <c r="P42" s="97"/>
      <c r="Q42" s="98">
        <f>Q41/G10-1</f>
        <v>1.9315866821521079</v>
      </c>
    </row>
    <row r="45" spans="2:19">
      <c r="B45" s="12"/>
      <c r="C45" s="12"/>
      <c r="D45" s="12"/>
      <c r="E45" s="12"/>
      <c r="F45" s="12"/>
      <c r="G45" s="12"/>
      <c r="H45" s="13"/>
      <c r="I45" s="13"/>
      <c r="J45" s="14" t="s">
        <v>67</v>
      </c>
      <c r="K45" s="13"/>
      <c r="L45" s="15"/>
      <c r="M45" s="13"/>
      <c r="N45" s="14" t="s">
        <v>68</v>
      </c>
      <c r="O45" s="13"/>
      <c r="P45" s="13"/>
      <c r="Q45" s="13"/>
      <c r="R45" s="49"/>
    </row>
    <row r="46" spans="2:19">
      <c r="B46" s="16" t="s">
        <v>91</v>
      </c>
      <c r="C46" s="12"/>
      <c r="D46" s="12"/>
      <c r="E46" s="17" t="s">
        <v>69</v>
      </c>
      <c r="F46" s="18"/>
      <c r="G46" s="18"/>
      <c r="H46" s="19">
        <v>44561</v>
      </c>
      <c r="I46" s="19">
        <v>44926</v>
      </c>
      <c r="J46" s="19">
        <v>45291</v>
      </c>
      <c r="K46" s="19">
        <v>45657</v>
      </c>
      <c r="L46" s="29">
        <v>46022</v>
      </c>
      <c r="M46" s="19">
        <v>46387</v>
      </c>
      <c r="N46" s="28">
        <v>46752</v>
      </c>
      <c r="O46" s="19">
        <v>47118</v>
      </c>
      <c r="P46" s="19">
        <v>47483</v>
      </c>
      <c r="Q46" s="19">
        <v>47848</v>
      </c>
      <c r="R46" s="27"/>
      <c r="S46" s="27"/>
    </row>
    <row r="48" spans="2:19">
      <c r="C48" s="4" t="s">
        <v>241</v>
      </c>
      <c r="E48" s="100" t="s">
        <v>96</v>
      </c>
      <c r="H48" s="10">
        <f>Model!H56</f>
        <v>331952</v>
      </c>
      <c r="I48" s="10">
        <f>Model!I56</f>
        <v>527510</v>
      </c>
      <c r="J48" s="10">
        <f>Model!J56</f>
        <v>253445</v>
      </c>
      <c r="K48" s="10">
        <f>Model!K56</f>
        <v>203855</v>
      </c>
      <c r="L48" s="10">
        <f>Model!L56</f>
        <v>314708.40000000002</v>
      </c>
      <c r="M48" s="10">
        <f>Model!M56</f>
        <v>398995</v>
      </c>
      <c r="N48" s="10">
        <f>Model!N56</f>
        <v>522406.17467239487</v>
      </c>
      <c r="O48" s="10">
        <f>Model!O56</f>
        <v>681452.60136240441</v>
      </c>
      <c r="P48" s="10">
        <f>Model!P56</f>
        <v>814418.99282991118</v>
      </c>
      <c r="Q48" s="10">
        <f>Model!Q56</f>
        <v>969012.25812233286</v>
      </c>
      <c r="R48" s="10"/>
      <c r="S48" s="10"/>
    </row>
    <row r="49" spans="3:19">
      <c r="C49" s="38" t="s">
        <v>108</v>
      </c>
      <c r="E49" s="36"/>
      <c r="I49" s="37">
        <f>I48/H48-1</f>
        <v>0.58911529377741356</v>
      </c>
      <c r="J49" s="37">
        <f t="shared" ref="J49:Q49" si="2">J48/I48-1</f>
        <v>-0.51954465318193022</v>
      </c>
      <c r="K49" s="37">
        <f t="shared" si="2"/>
        <v>-0.19566375347708576</v>
      </c>
      <c r="L49" s="37">
        <f t="shared" si="2"/>
        <v>0.54378553383532413</v>
      </c>
      <c r="M49" s="37">
        <f t="shared" si="2"/>
        <v>0.26782443684375745</v>
      </c>
      <c r="N49" s="37">
        <f t="shared" si="2"/>
        <v>0.30930506565845395</v>
      </c>
      <c r="O49" s="37">
        <f t="shared" si="2"/>
        <v>0.30444974504703892</v>
      </c>
      <c r="P49" s="37">
        <f t="shared" si="2"/>
        <v>0.19512199557485244</v>
      </c>
      <c r="Q49" s="37">
        <f t="shared" si="2"/>
        <v>0.18982030951322382</v>
      </c>
      <c r="R49" s="143"/>
      <c r="S49" s="143"/>
    </row>
    <row r="50" spans="3:19">
      <c r="E50" s="36"/>
    </row>
    <row r="51" spans="3:19">
      <c r="C51" s="101" t="s">
        <v>240</v>
      </c>
      <c r="E51" s="36" t="s">
        <v>96</v>
      </c>
      <c r="H51" s="99">
        <f>Model!H63</f>
        <v>-166607</v>
      </c>
      <c r="I51" s="99">
        <f>Model!I63</f>
        <v>-200099</v>
      </c>
      <c r="J51" s="99">
        <f>Model!J63</f>
        <v>-271164</v>
      </c>
      <c r="K51" s="99">
        <f>Model!K63</f>
        <v>-373281</v>
      </c>
      <c r="L51" s="99">
        <f>Model!L63</f>
        <v>-275745.94139903871</v>
      </c>
      <c r="M51" s="99">
        <f>Model!M63</f>
        <v>-311415.96479127137</v>
      </c>
      <c r="N51" s="99">
        <f>Model!N63</f>
        <v>-357419.13419958187</v>
      </c>
      <c r="O51" s="99">
        <f>Model!O63</f>
        <v>-433014.33485876373</v>
      </c>
      <c r="P51" s="99">
        <f>Model!P63</f>
        <v>-485981.47145377344</v>
      </c>
      <c r="Q51" s="99">
        <f>Model!Q63</f>
        <v>-544990.2714325249</v>
      </c>
      <c r="R51" s="99"/>
      <c r="S51" s="99"/>
    </row>
    <row r="52" spans="3:19">
      <c r="E52" s="36"/>
    </row>
    <row r="53" spans="3:19">
      <c r="C53" s="4" t="s">
        <v>239</v>
      </c>
      <c r="E53" s="100" t="s">
        <v>96</v>
      </c>
      <c r="H53" s="10">
        <f>Model!H65</f>
        <v>165345</v>
      </c>
      <c r="I53" s="10">
        <f>Model!I65</f>
        <v>327411</v>
      </c>
      <c r="J53" s="10">
        <f>Model!J65</f>
        <v>-17719</v>
      </c>
      <c r="K53" s="10">
        <f>Model!K65</f>
        <v>-169426</v>
      </c>
      <c r="L53" s="10">
        <f>Model!L65</f>
        <v>38962.458600961312</v>
      </c>
      <c r="M53" s="10">
        <f>Model!M65</f>
        <v>87579.03520872863</v>
      </c>
      <c r="N53" s="10">
        <f>Model!N65</f>
        <v>164987.04047281301</v>
      </c>
      <c r="O53" s="10">
        <f>Model!O65</f>
        <v>248438.26650364068</v>
      </c>
      <c r="P53" s="10">
        <f>Model!P65</f>
        <v>328437.52137613774</v>
      </c>
      <c r="Q53" s="10">
        <f>Model!Q65</f>
        <v>424021.98668980796</v>
      </c>
      <c r="R53" s="10"/>
      <c r="S53" s="10"/>
    </row>
    <row r="54" spans="3:19">
      <c r="E54" s="36"/>
    </row>
    <row r="55" spans="3:19">
      <c r="C55" s="25" t="s">
        <v>238</v>
      </c>
      <c r="E55" s="36" t="s">
        <v>96</v>
      </c>
      <c r="H55" s="3">
        <f>Model!H74</f>
        <v>-25158</v>
      </c>
      <c r="I55" s="3">
        <f>Model!I74</f>
        <v>-52148</v>
      </c>
      <c r="J55" s="3">
        <f>Model!J74</f>
        <v>-8768</v>
      </c>
      <c r="K55" s="3">
        <f>Model!K74</f>
        <v>27923</v>
      </c>
      <c r="L55" s="3">
        <f>Model!L74</f>
        <v>-7348.3503754949552</v>
      </c>
      <c r="M55" s="3">
        <f>Model!M74</f>
        <v>-15569.390386791774</v>
      </c>
      <c r="N55" s="3">
        <f>Model!N74</f>
        <v>-28475.516619332466</v>
      </c>
      <c r="O55" s="3">
        <f>Model!O74</f>
        <v>-42322.120551642962</v>
      </c>
      <c r="P55" s="3">
        <f>Model!P74</f>
        <v>-54898.47152986475</v>
      </c>
      <c r="Q55" s="3">
        <f>Model!Q74</f>
        <v>-68371.529625000316</v>
      </c>
      <c r="R55" s="3"/>
      <c r="S55" s="3"/>
    </row>
    <row r="56" spans="3:19">
      <c r="E56" s="36"/>
    </row>
    <row r="57" spans="3:19">
      <c r="C57" s="102" t="s">
        <v>237</v>
      </c>
      <c r="E57" s="100" t="s">
        <v>96</v>
      </c>
      <c r="H57" s="10">
        <f>Model!H72</f>
        <v>160195</v>
      </c>
      <c r="I57" s="10">
        <f>Model!I72</f>
        <v>341152</v>
      </c>
      <c r="J57" s="10">
        <f>Model!J72</f>
        <v>33075</v>
      </c>
      <c r="K57" s="10">
        <f>Model!K72</f>
        <v>-93347</v>
      </c>
      <c r="L57" s="10">
        <f>Model!L72</f>
        <v>47423.298600961316</v>
      </c>
      <c r="M57" s="10">
        <f>Model!M72</f>
        <v>100478.58520872863</v>
      </c>
      <c r="N57" s="10">
        <f>Model!N72</f>
        <v>183769.53444660461</v>
      </c>
      <c r="O57" s="10">
        <f>Model!O72</f>
        <v>273129.94859900902</v>
      </c>
      <c r="P57" s="10">
        <f>Model!P72</f>
        <v>354292.66094593244</v>
      </c>
      <c r="Q57" s="10">
        <f>Model!Q72</f>
        <v>441242.36046548985</v>
      </c>
      <c r="R57" s="10"/>
      <c r="S57" s="10"/>
    </row>
    <row r="58" spans="3:19">
      <c r="E58" s="36"/>
    </row>
    <row r="59" spans="3:19">
      <c r="C59" s="103" t="s">
        <v>162</v>
      </c>
      <c r="E59" s="36" t="s">
        <v>96</v>
      </c>
      <c r="H59" s="3">
        <f>Model!H137</f>
        <v>24382</v>
      </c>
      <c r="I59" s="3">
        <f>Model!I137</f>
        <v>18356</v>
      </c>
      <c r="J59" s="3">
        <f>Model!J137</f>
        <v>55709</v>
      </c>
      <c r="K59" s="3">
        <f>Model!K137</f>
        <v>78057</v>
      </c>
      <c r="L59" s="3">
        <f>Model!L137</f>
        <v>55408.944935819978</v>
      </c>
      <c r="M59" s="3">
        <f>Model!M137</f>
        <v>65262.87543715108</v>
      </c>
      <c r="N59" s="3">
        <f>Model!N137</f>
        <v>71698.079607821739</v>
      </c>
      <c r="O59" s="3">
        <f>Model!O137</f>
        <v>78658.982150313459</v>
      </c>
      <c r="P59" s="3">
        <f>Model!P137</f>
        <v>78771.975038817836</v>
      </c>
      <c r="Q59" s="3">
        <f>Model!Q137</f>
        <v>79864.387533805057</v>
      </c>
      <c r="R59" s="3"/>
      <c r="S59" s="3"/>
    </row>
    <row r="60" spans="3:19">
      <c r="E60" s="36"/>
    </row>
    <row r="61" spans="3:19">
      <c r="C61" s="41" t="s">
        <v>233</v>
      </c>
      <c r="E61" s="36" t="s">
        <v>96</v>
      </c>
      <c r="H61" s="3">
        <f>SUM(Model!H91:H94)-SUM(Model!H107:H108,Model!H112)</f>
        <v>1229801</v>
      </c>
      <c r="I61" s="3">
        <f>SUM(Model!I91:I94)-SUM(Model!I107:I108,Model!I112)</f>
        <v>1187272</v>
      </c>
      <c r="J61" s="3">
        <f>SUM(Model!J91:J94)-SUM(Model!J107:J108,Model!J112)</f>
        <v>1015301</v>
      </c>
      <c r="K61" s="3">
        <f>SUM(Model!K91:K94)-SUM(Model!K107:K108,Model!K112)</f>
        <v>832061</v>
      </c>
      <c r="L61" s="3">
        <f>SUM(Model!L91:L94)-SUM(Model!L107:L108,Model!L112)</f>
        <v>683197.86975389754</v>
      </c>
      <c r="M61" s="3">
        <f>SUM(Model!M91:M94)-SUM(Model!M107:M108,Model!M112)</f>
        <v>723253.62461732863</v>
      </c>
      <c r="N61" s="3">
        <f>SUM(Model!N91:N94)-SUM(Model!N107:N108,Model!N112)</f>
        <v>844942.59852930019</v>
      </c>
      <c r="O61" s="3">
        <f>SUM(Model!O91:O94)-SUM(Model!O107:O108,Model!O112)</f>
        <v>1026946.5829436732</v>
      </c>
      <c r="P61" s="3">
        <f>SUM(Model!P91:P94)-SUM(Model!P107:P108,Model!P112)</f>
        <v>1249455.692482844</v>
      </c>
      <c r="Q61" s="3">
        <f>SUM(Model!Q91:Q94)-SUM(Model!Q107:Q108,Model!Q112)</f>
        <v>1845880.1036607316</v>
      </c>
    </row>
    <row r="62" spans="3:19">
      <c r="C62" s="41" t="s">
        <v>232</v>
      </c>
      <c r="E62" s="36" t="s">
        <v>96</v>
      </c>
      <c r="I62" s="3">
        <f>I61-H61</f>
        <v>-42529</v>
      </c>
      <c r="J62" s="3">
        <f t="shared" ref="J62:Q62" si="3">J61-I61</f>
        <v>-171971</v>
      </c>
      <c r="K62" s="3">
        <f t="shared" si="3"/>
        <v>-183240</v>
      </c>
      <c r="L62" s="3">
        <f t="shared" si="3"/>
        <v>-148863.13024610246</v>
      </c>
      <c r="M62" s="3">
        <f t="shared" si="3"/>
        <v>40055.754863431095</v>
      </c>
      <c r="N62" s="3">
        <f t="shared" si="3"/>
        <v>121688.97391197155</v>
      </c>
      <c r="O62" s="3">
        <f t="shared" si="3"/>
        <v>182003.98441437306</v>
      </c>
      <c r="P62" s="3">
        <f t="shared" si="3"/>
        <v>222509.10953917075</v>
      </c>
      <c r="Q62" s="3">
        <f t="shared" si="3"/>
        <v>596424.41117788758</v>
      </c>
      <c r="R62" s="3"/>
      <c r="S62" s="3"/>
    </row>
    <row r="63" spans="3:19">
      <c r="C63" s="41"/>
      <c r="E63" s="36"/>
    </row>
    <row r="64" spans="3:19">
      <c r="C64" s="41" t="s">
        <v>163</v>
      </c>
      <c r="E64" s="36" t="s">
        <v>96</v>
      </c>
      <c r="H64" s="3">
        <f>Model!H161</f>
        <v>-123870</v>
      </c>
      <c r="I64" s="3">
        <f>Model!I161</f>
        <v>-326595</v>
      </c>
      <c r="J64" s="3">
        <f>Model!J161</f>
        <v>-261897</v>
      </c>
      <c r="K64" s="3">
        <f>Model!K161</f>
        <v>-186418</v>
      </c>
      <c r="L64" s="3">
        <f>Model!L161</f>
        <v>-175000</v>
      </c>
      <c r="M64" s="3">
        <f>Model!M161</f>
        <v>-100000</v>
      </c>
      <c r="N64" s="3">
        <f>Model!N161</f>
        <v>-97936.498459389841</v>
      </c>
      <c r="O64" s="3">
        <f>Model!O161</f>
        <v>-115861.64772799898</v>
      </c>
      <c r="P64" s="3">
        <f>Model!P161</f>
        <v>-143268.52876254162</v>
      </c>
      <c r="Q64" s="3">
        <f>Model!Q161</f>
        <v>-163778.4994828515</v>
      </c>
      <c r="R64" s="3"/>
      <c r="S64" s="3"/>
    </row>
    <row r="65" spans="2:19">
      <c r="E65" s="36"/>
    </row>
    <row r="66" spans="2:19">
      <c r="C66" s="4" t="s">
        <v>234</v>
      </c>
      <c r="E66" s="100" t="s">
        <v>96</v>
      </c>
      <c r="H66" s="10">
        <f>SUM(H57,H59,H62,H64)</f>
        <v>60707</v>
      </c>
      <c r="I66" s="10">
        <f t="shared" ref="I66:Q66" si="4">SUM(I57,I59,I62,I64)</f>
        <v>-9616</v>
      </c>
      <c r="J66" s="10">
        <f t="shared" si="4"/>
        <v>-345084</v>
      </c>
      <c r="K66" s="10">
        <f t="shared" si="4"/>
        <v>-384948</v>
      </c>
      <c r="L66" s="10">
        <f t="shared" si="4"/>
        <v>-221030.88670932117</v>
      </c>
      <c r="M66" s="10">
        <f t="shared" si="4"/>
        <v>105797.2155093108</v>
      </c>
      <c r="N66" s="10">
        <f t="shared" si="4"/>
        <v>279220.08950700803</v>
      </c>
      <c r="O66" s="10">
        <f t="shared" si="4"/>
        <v>417931.26743569662</v>
      </c>
      <c r="P66" s="10">
        <f t="shared" si="4"/>
        <v>512305.21676137939</v>
      </c>
      <c r="Q66" s="10">
        <f t="shared" si="4"/>
        <v>953752.659694331</v>
      </c>
      <c r="R66" s="10"/>
      <c r="S66" s="10"/>
    </row>
    <row r="67" spans="2:19">
      <c r="E67" s="36"/>
    </row>
    <row r="68" spans="2:19">
      <c r="C68" s="4" t="s">
        <v>235</v>
      </c>
      <c r="E68" s="100" t="s">
        <v>96</v>
      </c>
      <c r="H68" s="10">
        <f>Model!H78</f>
        <v>189727</v>
      </c>
      <c r="I68" s="10">
        <f>Model!I78</f>
        <v>345767</v>
      </c>
      <c r="J68" s="10">
        <f>Model!J78</f>
        <v>37990</v>
      </c>
      <c r="K68" s="10">
        <f>Model!K78</f>
        <v>-91369</v>
      </c>
      <c r="L68" s="10">
        <f>Model!L78</f>
        <v>94371.40353678129</v>
      </c>
      <c r="M68" s="10">
        <f>Model!M78</f>
        <v>152841.91064587972</v>
      </c>
      <c r="N68" s="10">
        <f>Model!N78</f>
        <v>236685.12008063475</v>
      </c>
      <c r="O68" s="10">
        <f>Model!O78</f>
        <v>327097.24865395413</v>
      </c>
      <c r="P68" s="10">
        <f>Model!P78</f>
        <v>407209.49641495559</v>
      </c>
      <c r="Q68" s="10">
        <f>Model!Q78</f>
        <v>503886.37422361301</v>
      </c>
      <c r="R68" s="10"/>
      <c r="S68" s="10"/>
    </row>
    <row r="69" spans="2:19">
      <c r="C69" s="7" t="s">
        <v>236</v>
      </c>
      <c r="E69" s="100" t="s">
        <v>82</v>
      </c>
      <c r="H69" s="43">
        <f t="shared" ref="H69:Q69" si="5">H68/H48</f>
        <v>0.57154950113269387</v>
      </c>
      <c r="I69" s="43">
        <f t="shared" si="5"/>
        <v>0.65547003848268282</v>
      </c>
      <c r="J69" s="43">
        <f t="shared" si="5"/>
        <v>0.14989445441811833</v>
      </c>
      <c r="K69" s="43">
        <f t="shared" si="5"/>
        <v>-0.44820583257707686</v>
      </c>
      <c r="L69" s="43">
        <f t="shared" si="5"/>
        <v>0.29986935060132264</v>
      </c>
      <c r="M69" s="43">
        <f t="shared" si="5"/>
        <v>0.38306723303770651</v>
      </c>
      <c r="N69" s="43">
        <f t="shared" si="5"/>
        <v>0.45306723303770652</v>
      </c>
      <c r="O69" s="43">
        <f t="shared" si="5"/>
        <v>0.48000000000000004</v>
      </c>
      <c r="P69" s="43">
        <f t="shared" si="5"/>
        <v>0.5</v>
      </c>
      <c r="Q69" s="43">
        <f t="shared" si="5"/>
        <v>0.51999999999999991</v>
      </c>
      <c r="R69" s="142"/>
      <c r="S69" s="10"/>
    </row>
    <row r="71" spans="2:19">
      <c r="B71" s="16" t="s">
        <v>165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</row>
    <row r="73" spans="2:19">
      <c r="E73" s="104"/>
      <c r="F73" s="105"/>
      <c r="G73" s="105"/>
      <c r="H73" s="105"/>
      <c r="I73" s="105"/>
      <c r="J73" s="106"/>
      <c r="K73" s="107" t="s">
        <v>166</v>
      </c>
      <c r="L73" s="105"/>
      <c r="M73" s="105"/>
      <c r="N73" s="105"/>
      <c r="O73" s="105"/>
      <c r="P73" s="108"/>
    </row>
    <row r="74" spans="2:19">
      <c r="E74" s="109">
        <f>L41</f>
        <v>38.484950645779726</v>
      </c>
      <c r="F74" s="110">
        <v>8.2000000000000003E-2</v>
      </c>
      <c r="G74" s="111">
        <f>F74+0.2%</f>
        <v>8.4000000000000005E-2</v>
      </c>
      <c r="H74" s="111">
        <f t="shared" ref="H74:P74" si="6">G74+0.5%</f>
        <v>8.900000000000001E-2</v>
      </c>
      <c r="I74" s="111">
        <f t="shared" si="6"/>
        <v>9.4000000000000014E-2</v>
      </c>
      <c r="J74" s="111">
        <f t="shared" si="6"/>
        <v>9.9000000000000019E-2</v>
      </c>
      <c r="K74" s="111">
        <f t="shared" si="6"/>
        <v>0.10400000000000002</v>
      </c>
      <c r="L74" s="111">
        <f t="shared" si="6"/>
        <v>0.10900000000000003</v>
      </c>
      <c r="M74" s="111">
        <f t="shared" si="6"/>
        <v>0.11400000000000003</v>
      </c>
      <c r="N74" s="111">
        <f t="shared" si="6"/>
        <v>0.11900000000000004</v>
      </c>
      <c r="O74" s="111">
        <f t="shared" si="6"/>
        <v>0.12400000000000004</v>
      </c>
      <c r="P74" s="111">
        <f t="shared" si="6"/>
        <v>0.12900000000000003</v>
      </c>
    </row>
    <row r="75" spans="2:19">
      <c r="E75" s="112">
        <v>15</v>
      </c>
      <c r="F75" s="113">
        <f t="dataTable" ref="F75:P85" dt2D="1" dtr="1" r1="G14" r2="L14"/>
        <v>36.743306070739543</v>
      </c>
      <c r="G75" s="113">
        <v>36.345214944632239</v>
      </c>
      <c r="H75" s="113">
        <v>35.371653456026408</v>
      </c>
      <c r="I75" s="113">
        <v>34.428161828608118</v>
      </c>
      <c r="J75" s="113">
        <v>33.5136750715753</v>
      </c>
      <c r="K75" s="114">
        <v>32.627170644758444</v>
      </c>
      <c r="L75" s="113">
        <v>31.767666581263661</v>
      </c>
      <c r="M75" s="113">
        <v>30.934219701214648</v>
      </c>
      <c r="N75" s="113">
        <v>30.125923911786927</v>
      </c>
      <c r="O75" s="113">
        <v>29.341908589000031</v>
      </c>
      <c r="P75" s="115">
        <v>28.581337036991716</v>
      </c>
    </row>
    <row r="76" spans="2:19">
      <c r="E76" s="116">
        <f>E75-0.2</f>
        <v>14.8</v>
      </c>
      <c r="F76" s="113">
        <v>36.358938274743302</v>
      </c>
      <c r="G76" s="113">
        <v>35.965082564545853</v>
      </c>
      <c r="H76" s="113">
        <v>35.001873574023143</v>
      </c>
      <c r="I76" s="113">
        <v>34.068407004673254</v>
      </c>
      <c r="J76" s="113">
        <v>33.163629648499835</v>
      </c>
      <c r="K76" s="114">
        <v>32.28653027327919</v>
      </c>
      <c r="L76" s="113">
        <v>31.436137766372198</v>
      </c>
      <c r="M76" s="113">
        <v>30.611519368601517</v>
      </c>
      <c r="N76" s="113">
        <v>29.811778993442648</v>
      </c>
      <c r="O76" s="113">
        <v>29.036055627045688</v>
      </c>
      <c r="P76" s="115">
        <v>28.283521804861127</v>
      </c>
    </row>
    <row r="77" spans="2:19">
      <c r="E77" s="116">
        <f t="shared" ref="E77:E85" si="7">E76-0.2</f>
        <v>14.600000000000001</v>
      </c>
      <c r="F77" s="113">
        <v>35.974570478747069</v>
      </c>
      <c r="G77" s="113">
        <v>35.584950184459473</v>
      </c>
      <c r="H77" s="113">
        <v>34.632093692019879</v>
      </c>
      <c r="I77" s="113">
        <v>33.708652180738397</v>
      </c>
      <c r="J77" s="113">
        <v>32.813584225424364</v>
      </c>
      <c r="K77" s="114">
        <v>31.945889901799941</v>
      </c>
      <c r="L77" s="113">
        <v>31.104608951480724</v>
      </c>
      <c r="M77" s="113">
        <v>30.288819035988393</v>
      </c>
      <c r="N77" s="113">
        <v>29.497634075098361</v>
      </c>
      <c r="O77" s="113">
        <v>28.730202665091344</v>
      </c>
      <c r="P77" s="115">
        <v>27.985706572730543</v>
      </c>
    </row>
    <row r="78" spans="2:19">
      <c r="E78" s="116">
        <f t="shared" si="7"/>
        <v>14.400000000000002</v>
      </c>
      <c r="F78" s="113">
        <v>35.590202682750835</v>
      </c>
      <c r="G78" s="113">
        <v>35.204817804373093</v>
      </c>
      <c r="H78" s="113">
        <v>34.262313810016614</v>
      </c>
      <c r="I78" s="113">
        <v>33.348897356803533</v>
      </c>
      <c r="J78" s="113">
        <v>32.4635388023489</v>
      </c>
      <c r="K78" s="114">
        <v>31.605249530320688</v>
      </c>
      <c r="L78" s="113">
        <v>30.773080136589254</v>
      </c>
      <c r="M78" s="113">
        <v>29.966118703375265</v>
      </c>
      <c r="N78" s="113">
        <v>29.183489156754074</v>
      </c>
      <c r="O78" s="113">
        <v>28.424349703137</v>
      </c>
      <c r="P78" s="115">
        <v>27.687891340599954</v>
      </c>
    </row>
    <row r="79" spans="2:19" ht="18.5">
      <c r="C79" s="117" t="s">
        <v>167</v>
      </c>
      <c r="E79" s="116">
        <f t="shared" si="7"/>
        <v>14.200000000000003</v>
      </c>
      <c r="F79" s="113">
        <v>35.205834886754609</v>
      </c>
      <c r="G79" s="113">
        <v>34.824685424286706</v>
      </c>
      <c r="H79" s="113">
        <v>33.89253392801335</v>
      </c>
      <c r="I79" s="113">
        <v>32.989142532868676</v>
      </c>
      <c r="J79" s="113">
        <v>32.113493379273436</v>
      </c>
      <c r="K79" s="114">
        <v>31.264609158841431</v>
      </c>
      <c r="L79" s="113">
        <v>30.441551321697787</v>
      </c>
      <c r="M79" s="113">
        <v>29.643418370762141</v>
      </c>
      <c r="N79" s="113">
        <v>28.869344238409791</v>
      </c>
      <c r="O79" s="113">
        <v>28.118496741182653</v>
      </c>
      <c r="P79" s="115">
        <v>27.390076108469369</v>
      </c>
    </row>
    <row r="80" spans="2:19">
      <c r="E80" s="116">
        <f t="shared" si="7"/>
        <v>14.000000000000004</v>
      </c>
      <c r="F80" s="114">
        <v>34.821467090758375</v>
      </c>
      <c r="G80" s="114">
        <v>34.444553044200326</v>
      </c>
      <c r="H80" s="114">
        <v>33.522754046010085</v>
      </c>
      <c r="I80" s="114">
        <v>32.62938770893382</v>
      </c>
      <c r="J80" s="114">
        <v>31.763447956197965</v>
      </c>
      <c r="K80" s="114">
        <v>30.923968787362181</v>
      </c>
      <c r="L80" s="114">
        <v>30.110022506806317</v>
      </c>
      <c r="M80" s="114">
        <v>29.32071803814901</v>
      </c>
      <c r="N80" s="114">
        <v>28.555199320065501</v>
      </c>
      <c r="O80" s="114">
        <v>27.81264377922831</v>
      </c>
      <c r="P80" s="118">
        <v>27.092260876338781</v>
      </c>
    </row>
    <row r="81" spans="3:16">
      <c r="E81" s="116">
        <f t="shared" si="7"/>
        <v>13.800000000000004</v>
      </c>
      <c r="F81" s="113">
        <v>34.437099294762142</v>
      </c>
      <c r="G81" s="113">
        <v>34.064420664113946</v>
      </c>
      <c r="H81" s="113">
        <v>33.152974164006821</v>
      </c>
      <c r="I81" s="113">
        <v>32.269632884998963</v>
      </c>
      <c r="J81" s="113">
        <v>31.413402533122493</v>
      </c>
      <c r="K81" s="114">
        <v>30.583328415882935</v>
      </c>
      <c r="L81" s="113">
        <v>29.77849369191485</v>
      </c>
      <c r="M81" s="113">
        <v>28.998017705535887</v>
      </c>
      <c r="N81" s="113">
        <v>28.241054401721218</v>
      </c>
      <c r="O81" s="113">
        <v>27.506790817273966</v>
      </c>
      <c r="P81" s="115">
        <v>26.794445644208192</v>
      </c>
    </row>
    <row r="82" spans="3:16">
      <c r="E82" s="116">
        <f t="shared" si="7"/>
        <v>13.600000000000005</v>
      </c>
      <c r="F82" s="113">
        <v>34.052731498765901</v>
      </c>
      <c r="G82" s="113">
        <v>33.684288284027559</v>
      </c>
      <c r="H82" s="113">
        <v>32.783194282003556</v>
      </c>
      <c r="I82" s="113">
        <v>31.909878061064099</v>
      </c>
      <c r="J82" s="113">
        <v>31.063357110047026</v>
      </c>
      <c r="K82" s="114">
        <v>30.242688044403678</v>
      </c>
      <c r="L82" s="113">
        <v>29.446964877023376</v>
      </c>
      <c r="M82" s="113">
        <v>28.675317372922759</v>
      </c>
      <c r="N82" s="113">
        <v>27.926909483376932</v>
      </c>
      <c r="O82" s="113">
        <v>27.200937855319616</v>
      </c>
      <c r="P82" s="115">
        <v>26.496630412077607</v>
      </c>
    </row>
    <row r="83" spans="3:16">
      <c r="E83" s="116">
        <f t="shared" si="7"/>
        <v>13.400000000000006</v>
      </c>
      <c r="F83" s="113">
        <v>33.668363702769668</v>
      </c>
      <c r="G83" s="113">
        <v>33.304155903941179</v>
      </c>
      <c r="H83" s="113">
        <v>32.413414400000299</v>
      </c>
      <c r="I83" s="113">
        <v>31.550123237129242</v>
      </c>
      <c r="J83" s="113">
        <v>30.713311686971554</v>
      </c>
      <c r="K83" s="114">
        <v>29.902047672924422</v>
      </c>
      <c r="L83" s="113">
        <v>29.115436062131913</v>
      </c>
      <c r="M83" s="113">
        <v>28.352617040309635</v>
      </c>
      <c r="N83" s="113">
        <v>27.612764565032645</v>
      </c>
      <c r="O83" s="113">
        <v>26.895084893365272</v>
      </c>
      <c r="P83" s="115">
        <v>26.198815179947019</v>
      </c>
    </row>
    <row r="84" spans="3:16">
      <c r="E84" s="116">
        <f t="shared" si="7"/>
        <v>13.200000000000006</v>
      </c>
      <c r="F84" s="113">
        <v>33.283995906773441</v>
      </c>
      <c r="G84" s="113">
        <v>32.9240235238548</v>
      </c>
      <c r="H84" s="113">
        <v>32.043634517997035</v>
      </c>
      <c r="I84" s="113">
        <v>31.190368413194385</v>
      </c>
      <c r="J84" s="113">
        <v>30.363266263896094</v>
      </c>
      <c r="K84" s="114">
        <v>29.561407301445175</v>
      </c>
      <c r="L84" s="113">
        <v>28.783907247240442</v>
      </c>
      <c r="M84" s="113">
        <v>28.029916707696511</v>
      </c>
      <c r="N84" s="113">
        <v>27.298619646688365</v>
      </c>
      <c r="O84" s="113">
        <v>26.589231931410929</v>
      </c>
      <c r="P84" s="115">
        <v>25.90099994781643</v>
      </c>
    </row>
    <row r="85" spans="3:16">
      <c r="E85" s="116">
        <f t="shared" si="7"/>
        <v>13.000000000000007</v>
      </c>
      <c r="F85" s="119">
        <v>32.899628110777208</v>
      </c>
      <c r="G85" s="119">
        <v>32.543891143768413</v>
      </c>
      <c r="H85" s="119">
        <v>31.67385463599377</v>
      </c>
      <c r="I85" s="119">
        <v>30.830613589259524</v>
      </c>
      <c r="J85" s="119">
        <v>30.013220840820626</v>
      </c>
      <c r="K85" s="120">
        <v>29.220766929965926</v>
      </c>
      <c r="L85" s="119">
        <v>28.452378432348976</v>
      </c>
      <c r="M85" s="119">
        <v>27.707216375083384</v>
      </c>
      <c r="N85" s="119">
        <v>26.984474728344079</v>
      </c>
      <c r="O85" s="119">
        <v>26.283378969456585</v>
      </c>
      <c r="P85" s="121">
        <v>25.603184715685845</v>
      </c>
    </row>
    <row r="88" spans="3:16">
      <c r="E88" s="104"/>
      <c r="F88" s="105"/>
      <c r="G88" s="105"/>
      <c r="H88" s="105"/>
      <c r="I88" s="105"/>
      <c r="J88" s="106"/>
      <c r="K88" s="107" t="s">
        <v>166</v>
      </c>
      <c r="L88" s="105"/>
      <c r="M88" s="105"/>
      <c r="N88" s="105"/>
      <c r="O88" s="105"/>
      <c r="P88" s="108"/>
    </row>
    <row r="89" spans="3:16">
      <c r="E89" s="109">
        <f>Q41</f>
        <v>57.722941771575009</v>
      </c>
      <c r="F89" s="110">
        <v>8.2000000000000003E-2</v>
      </c>
      <c r="G89" s="111">
        <f>F89+0.2%</f>
        <v>8.4000000000000005E-2</v>
      </c>
      <c r="H89" s="111">
        <f t="shared" ref="H89" si="8">G89+0.5%</f>
        <v>8.900000000000001E-2</v>
      </c>
      <c r="I89" s="111">
        <f t="shared" ref="I89" si="9">H89+0.5%</f>
        <v>9.4000000000000014E-2</v>
      </c>
      <c r="J89" s="111">
        <f t="shared" ref="J89" si="10">I89+0.5%</f>
        <v>9.9000000000000019E-2</v>
      </c>
      <c r="K89" s="111">
        <f t="shared" ref="K89" si="11">J89+0.5%</f>
        <v>0.10400000000000002</v>
      </c>
      <c r="L89" s="111">
        <f t="shared" ref="L89" si="12">K89+0.5%</f>
        <v>0.10900000000000003</v>
      </c>
      <c r="M89" s="111">
        <f t="shared" ref="M89" si="13">L89+0.5%</f>
        <v>0.11400000000000003</v>
      </c>
      <c r="N89" s="111">
        <f t="shared" ref="N89" si="14">M89+0.5%</f>
        <v>0.11900000000000004</v>
      </c>
      <c r="O89" s="111">
        <f t="shared" ref="O89" si="15">N89+0.5%</f>
        <v>0.12400000000000004</v>
      </c>
      <c r="P89" s="111">
        <f t="shared" ref="P89" si="16">O89+0.5%</f>
        <v>0.12900000000000003</v>
      </c>
    </row>
    <row r="90" spans="3:16">
      <c r="E90" s="122">
        <v>0.05</v>
      </c>
      <c r="F90" s="113">
        <f t="dataTable" ref="F90:P100" dt2D="1" dtr="1" r1="G14" r2="Q14" ca="1"/>
        <v>132.07366823153549</v>
      </c>
      <c r="G90" s="113">
        <v>123.50899686384169</v>
      </c>
      <c r="H90" s="113">
        <v>105.96164666752369</v>
      </c>
      <c r="I90" s="113">
        <v>92.428742697388756</v>
      </c>
      <c r="J90" s="113">
        <v>81.680886782380512</v>
      </c>
      <c r="K90" s="114">
        <v>72.944021982562461</v>
      </c>
      <c r="L90" s="113">
        <v>65.706491323472605</v>
      </c>
      <c r="M90" s="113">
        <v>59.616537741499215</v>
      </c>
      <c r="N90" s="113">
        <v>54.424369264447087</v>
      </c>
      <c r="O90" s="113">
        <v>49.94771127617382</v>
      </c>
      <c r="P90" s="115">
        <v>46.050440195706152</v>
      </c>
    </row>
    <row r="91" spans="3:16">
      <c r="E91" s="123">
        <f>E90-0.2%</f>
        <v>4.8000000000000001E-2</v>
      </c>
      <c r="F91" s="113">
        <v>124.54773053290266</v>
      </c>
      <c r="G91" s="113">
        <v>116.87464055813285</v>
      </c>
      <c r="H91" s="113">
        <v>100.9872837350418</v>
      </c>
      <c r="I91" s="113">
        <v>88.579083878625767</v>
      </c>
      <c r="J91" s="113">
        <v>78.626289064756506</v>
      </c>
      <c r="K91" s="114">
        <v>70.470781443029423</v>
      </c>
      <c r="L91" s="113">
        <v>63.670227138121056</v>
      </c>
      <c r="M91" s="113">
        <v>57.916339825517028</v>
      </c>
      <c r="N91" s="113">
        <v>52.98768081893062</v>
      </c>
      <c r="O91" s="113">
        <v>48.721090697556598</v>
      </c>
      <c r="P91" s="115">
        <v>44.993701808345087</v>
      </c>
    </row>
    <row r="92" spans="3:16">
      <c r="E92" s="123">
        <f t="shared" ref="E92:E100" si="17">E91-0.2%</f>
        <v>4.5999999999999999E-2</v>
      </c>
      <c r="F92" s="113">
        <v>117.85801115734235</v>
      </c>
      <c r="G92" s="113">
        <v>110.93864042356849</v>
      </c>
      <c r="H92" s="113">
        <v>96.475654805475401</v>
      </c>
      <c r="I92" s="113">
        <v>85.050232284654172</v>
      </c>
      <c r="J92" s="113">
        <v>75.80222914919905</v>
      </c>
      <c r="K92" s="114">
        <v>68.168111178078433</v>
      </c>
      <c r="L92" s="113">
        <v>61.763251391531881</v>
      </c>
      <c r="M92" s="113">
        <v>56.316155258091129</v>
      </c>
      <c r="N92" s="113">
        <v>51.629716633159553</v>
      </c>
      <c r="O92" s="113">
        <v>47.557375255340929</v>
      </c>
      <c r="P92" s="115">
        <v>43.987892011631438</v>
      </c>
    </row>
    <row r="93" spans="3:16">
      <c r="E93" s="123">
        <f t="shared" si="17"/>
        <v>4.3999999999999997E-2</v>
      </c>
      <c r="F93" s="113">
        <v>111.87247564925079</v>
      </c>
      <c r="G93" s="113">
        <v>105.59624305017815</v>
      </c>
      <c r="H93" s="113">
        <v>92.365062025868227</v>
      </c>
      <c r="I93" s="113">
        <v>81.803691061316741</v>
      </c>
      <c r="J93" s="113">
        <v>73.183557469070877</v>
      </c>
      <c r="K93" s="114">
        <v>66.018954171148636</v>
      </c>
      <c r="L93" s="113">
        <v>59.973629776440006</v>
      </c>
      <c r="M93" s="113">
        <v>54.807411476015041</v>
      </c>
      <c r="N93" s="113">
        <v>50.344178775333496</v>
      </c>
      <c r="O93" s="113">
        <v>46.451847072797058</v>
      </c>
      <c r="P93" s="115">
        <v>43.029415854303451</v>
      </c>
    </row>
    <row r="94" spans="3:16" ht="18.5">
      <c r="C94" s="117" t="s">
        <v>168</v>
      </c>
      <c r="E94" s="123">
        <f t="shared" si="17"/>
        <v>4.1999999999999996E-2</v>
      </c>
      <c r="F94" s="113">
        <v>106.48549644426514</v>
      </c>
      <c r="G94" s="113">
        <v>100.76264805857679</v>
      </c>
      <c r="H94" s="113">
        <v>88.604309305572826</v>
      </c>
      <c r="I94" s="113">
        <v>78.806885947498259</v>
      </c>
      <c r="J94" s="113">
        <v>70.748654221560528</v>
      </c>
      <c r="K94" s="114">
        <v>64.008454311122719</v>
      </c>
      <c r="L94" s="113">
        <v>58.29085297756837</v>
      </c>
      <c r="M94" s="113">
        <v>53.382488423176355</v>
      </c>
      <c r="N94" s="113">
        <v>49.125423644295907</v>
      </c>
      <c r="O94" s="113">
        <v>45.400248553915439</v>
      </c>
      <c r="P94" s="115">
        <v>42.11500895539092</v>
      </c>
    </row>
    <row r="95" spans="3:16">
      <c r="E95" s="123">
        <f t="shared" si="17"/>
        <v>3.9999999999999994E-2</v>
      </c>
      <c r="F95" s="114">
        <v>101.61156551420707</v>
      </c>
      <c r="G95" s="114">
        <v>96.368473320287208</v>
      </c>
      <c r="H95" s="114">
        <v>85.150559099453986</v>
      </c>
      <c r="I95" s="114">
        <v>76.032068498636946</v>
      </c>
      <c r="J95" s="114">
        <v>68.478831102627822</v>
      </c>
      <c r="K95" s="114">
        <v>62.123612500852289</v>
      </c>
      <c r="L95" s="114">
        <v>56.705630151050521</v>
      </c>
      <c r="M95" s="114">
        <v>52.034589833382483</v>
      </c>
      <c r="N95" s="114">
        <v>47.968379142870866</v>
      </c>
      <c r="O95" s="114">
        <v>44.398727588083524</v>
      </c>
      <c r="P95" s="118">
        <v>41.241700361486359</v>
      </c>
    </row>
    <row r="96" spans="3:16">
      <c r="E96" s="123">
        <f t="shared" si="17"/>
        <v>3.7999999999999992E-2</v>
      </c>
      <c r="F96" s="113">
        <v>97.180721745223735</v>
      </c>
      <c r="G96" s="113">
        <v>92.356403164065682</v>
      </c>
      <c r="H96" s="113">
        <v>81.967693477397049</v>
      </c>
      <c r="I96" s="113">
        <v>73.455454333769453</v>
      </c>
      <c r="J96" s="113">
        <v>66.357850733435711</v>
      </c>
      <c r="K96" s="114">
        <v>60.353005291405658</v>
      </c>
      <c r="L96" s="113">
        <v>55.209717308739741</v>
      </c>
      <c r="M96" s="113">
        <v>50.757634836950835</v>
      </c>
      <c r="N96" s="113">
        <v>46.86847412181681</v>
      </c>
      <c r="O96" s="113">
        <v>43.443790400621587</v>
      </c>
      <c r="P96" s="115">
        <v>40.406780301958491</v>
      </c>
    </row>
    <row r="97" spans="5:16">
      <c r="E97" s="123">
        <f t="shared" si="17"/>
        <v>3.599999999999999E-2</v>
      </c>
      <c r="F97" s="113">
        <v>93.13517117380502</v>
      </c>
      <c r="G97" s="113">
        <v>88.678674530645651</v>
      </c>
      <c r="H97" s="113">
        <v>79.025046272418095</v>
      </c>
      <c r="I97" s="113">
        <v>71.056539676290456</v>
      </c>
      <c r="J97" s="113">
        <v>64.371537624604471</v>
      </c>
      <c r="K97" s="114">
        <v>58.686553169095568</v>
      </c>
      <c r="L97" s="113">
        <v>53.795773913316566</v>
      </c>
      <c r="M97" s="113">
        <v>49.546166243208191</v>
      </c>
      <c r="N97" s="113">
        <v>45.821578024654208</v>
      </c>
      <c r="O97" s="113">
        <v>42.532260832790946</v>
      </c>
      <c r="P97" s="115">
        <v>39.607772104783329</v>
      </c>
    </row>
    <row r="98" spans="5:16">
      <c r="E98" s="123">
        <f t="shared" si="17"/>
        <v>3.3999999999999989E-2</v>
      </c>
      <c r="F98" s="113">
        <v>89.426752163796436</v>
      </c>
      <c r="G98" s="113">
        <v>85.295166450343544</v>
      </c>
      <c r="H98" s="113">
        <v>76.296411851004748</v>
      </c>
      <c r="I98" s="113">
        <v>68.817554586560718</v>
      </c>
      <c r="J98" s="113">
        <v>62.507460962449763</v>
      </c>
      <c r="K98" s="114">
        <v>57.11532856473066</v>
      </c>
      <c r="L98" s="113">
        <v>52.457242418179199</v>
      </c>
      <c r="M98" s="113">
        <v>48.395272580615192</v>
      </c>
      <c r="N98" s="113">
        <v>44.823949053223657</v>
      </c>
      <c r="O98" s="113">
        <v>41.661245051134408</v>
      </c>
      <c r="P98" s="115">
        <v>38.842407659849137</v>
      </c>
    </row>
    <row r="99" spans="5:16">
      <c r="E99" s="123">
        <f t="shared" si="17"/>
        <v>3.1999999999999987E-2</v>
      </c>
      <c r="F99" s="113">
        <v>86.015008940928993</v>
      </c>
      <c r="G99" s="113">
        <v>82.17193041044743</v>
      </c>
      <c r="H99" s="113">
        <v>73.759262563385064</v>
      </c>
      <c r="I99" s="113">
        <v>66.723022020461485</v>
      </c>
      <c r="J99" s="113">
        <v>60.754674209625918</v>
      </c>
      <c r="K99" s="114">
        <v>55.631395861325096</v>
      </c>
      <c r="L99" s="113">
        <v>51.188246580337974</v>
      </c>
      <c r="M99" s="113">
        <v>47.300521545653005</v>
      </c>
      <c r="N99" s="113">
        <v>43.87218948282208</v>
      </c>
      <c r="O99" s="113">
        <v>40.828100859946247</v>
      </c>
      <c r="P99" s="115">
        <v>38.108605917729044</v>
      </c>
    </row>
    <row r="100" spans="5:16">
      <c r="E100" s="123">
        <f t="shared" si="17"/>
        <v>2.9999999999999985E-2</v>
      </c>
      <c r="F100" s="119">
        <v>82.865709696303739</v>
      </c>
      <c r="G100" s="119">
        <v>79.28004730763061</v>
      </c>
      <c r="H100" s="119">
        <v>71.394125356453955</v>
      </c>
      <c r="I100" s="119">
        <v>64.759399564470257</v>
      </c>
      <c r="J100" s="119">
        <v>59.103499992613784</v>
      </c>
      <c r="K100" s="120">
        <v>54.227677346503917</v>
      </c>
      <c r="L100" s="119">
        <v>49.983505219452418</v>
      </c>
      <c r="M100" s="119">
        <v>46.257902959012014</v>
      </c>
      <c r="N100" s="119">
        <v>42.963207002264383</v>
      </c>
      <c r="O100" s="119">
        <v>40.03041093129923</v>
      </c>
      <c r="P100" s="121">
        <v>37.404453994662788</v>
      </c>
    </row>
  </sheetData>
  <dataValidations disablePrompts="1" count="2">
    <dataValidation type="list" allowBlank="1" showInputMessage="1" showErrorMessage="1" sqref="G6" xr:uid="{74E78969-04D9-4CE1-A89E-86CC1ACD0851}">
      <formula1>$I$15:$I$17</formula1>
    </dataValidation>
    <dataValidation type="list" allowBlank="1" showInputMessage="1" showErrorMessage="1" sqref="G7" xr:uid="{B54F773A-EBE3-4848-B0A0-1FCD190A64FA}">
      <formula1>"Yes,No"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CC6FE-2C39-498B-8128-8051D64E11B0}">
  <dimension ref="A1:L40"/>
  <sheetViews>
    <sheetView showGridLines="0" topLeftCell="A14" zoomScale="75" workbookViewId="0">
      <selection activeCell="O24" sqref="O24"/>
    </sheetView>
  </sheetViews>
  <sheetFormatPr defaultRowHeight="14.5"/>
  <cols>
    <col min="2" max="2" width="25" bestFit="1" customWidth="1"/>
    <col min="3" max="3" width="7.6328125" bestFit="1" customWidth="1"/>
    <col min="4" max="4" width="8" bestFit="1" customWidth="1"/>
    <col min="5" max="5" width="12" bestFit="1" customWidth="1"/>
    <col min="6" max="6" width="10.36328125" bestFit="1" customWidth="1"/>
    <col min="7" max="7" width="6" bestFit="1" customWidth="1"/>
    <col min="8" max="8" width="11.26953125" bestFit="1" customWidth="1"/>
    <col min="9" max="9" width="15.453125" bestFit="1" customWidth="1"/>
    <col min="10" max="11" width="8.453125" bestFit="1" customWidth="1"/>
    <col min="12" max="12" width="9" bestFit="1" customWidth="1"/>
  </cols>
  <sheetData>
    <row r="1" spans="1:12">
      <c r="A1" s="377"/>
    </row>
    <row r="2" spans="1:12" ht="18.5">
      <c r="B2" s="378" t="str">
        <f>"WACC Analysis - "&amp;_xlfn.SINGLE(Company_Name)</f>
        <v>WACC Analysis - MP Materials Corp.</v>
      </c>
      <c r="C2" s="379"/>
      <c r="D2" s="1"/>
      <c r="E2" s="1"/>
      <c r="F2" s="1"/>
      <c r="G2" s="1"/>
      <c r="H2" s="1"/>
      <c r="I2" s="1"/>
      <c r="J2" s="1"/>
      <c r="K2" s="1"/>
      <c r="L2" s="1"/>
    </row>
    <row r="3" spans="1:12" ht="16">
      <c r="B3" s="25" t="s">
        <v>307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16"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6">
      <c r="B5" s="380" t="s">
        <v>336</v>
      </c>
      <c r="C5" s="380"/>
      <c r="D5" s="381"/>
      <c r="E5" s="381"/>
      <c r="F5" s="381"/>
      <c r="G5" s="382"/>
      <c r="H5" s="382"/>
      <c r="I5" s="1"/>
      <c r="J5" s="1"/>
      <c r="K5" s="1"/>
      <c r="L5" s="1"/>
    </row>
    <row r="6" spans="1:12" ht="16">
      <c r="B6" s="25" t="s">
        <v>337</v>
      </c>
      <c r="C6" s="25"/>
      <c r="D6" s="1"/>
      <c r="E6" s="1"/>
      <c r="F6" s="383">
        <v>4.4999999999999998E-2</v>
      </c>
      <c r="G6" s="384"/>
      <c r="H6" s="384"/>
      <c r="I6" s="1"/>
      <c r="J6" s="1"/>
      <c r="K6" s="1"/>
      <c r="L6" s="1"/>
    </row>
    <row r="7" spans="1:12" ht="16">
      <c r="B7" s="25" t="s">
        <v>338</v>
      </c>
      <c r="C7" s="25"/>
      <c r="D7" s="1"/>
      <c r="E7" s="1"/>
      <c r="F7" s="383">
        <v>3.5000000000000003E-2</v>
      </c>
      <c r="G7" s="384"/>
      <c r="H7" s="384"/>
      <c r="I7" s="1"/>
      <c r="J7" s="1"/>
      <c r="K7" s="1"/>
      <c r="L7" s="1"/>
    </row>
    <row r="8" spans="1:12" ht="16">
      <c r="B8" s="25" t="s">
        <v>339</v>
      </c>
      <c r="C8" s="25"/>
      <c r="D8" s="1"/>
      <c r="E8" s="1"/>
      <c r="F8" s="385">
        <f>-Drivers!K86/Drivers!K76</f>
        <v>2.5321080322076219E-2</v>
      </c>
      <c r="G8" s="384"/>
      <c r="H8" s="384"/>
      <c r="I8" s="386"/>
      <c r="J8" s="386"/>
      <c r="K8" s="1"/>
      <c r="L8" s="1"/>
    </row>
    <row r="9" spans="1:12" ht="16">
      <c r="B9" s="25" t="s">
        <v>340</v>
      </c>
      <c r="C9" s="25"/>
      <c r="D9" s="1"/>
      <c r="E9" s="1"/>
      <c r="F9" s="383">
        <v>0</v>
      </c>
      <c r="G9" s="384"/>
      <c r="H9" s="384"/>
      <c r="I9" s="386"/>
      <c r="J9" s="386"/>
      <c r="K9" s="1"/>
      <c r="L9" s="1"/>
    </row>
    <row r="10" spans="1:12" ht="16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16">
      <c r="B11" s="204" t="str">
        <f>PubComps_Data!C4</f>
        <v>Company Name:</v>
      </c>
      <c r="C11" s="387" t="str">
        <f>PubComps_Data!C3</f>
        <v>Ticker:</v>
      </c>
      <c r="D11" s="209" t="s">
        <v>280</v>
      </c>
      <c r="E11" s="222" t="s">
        <v>258</v>
      </c>
      <c r="F11" s="387"/>
      <c r="G11" s="222" t="s">
        <v>144</v>
      </c>
      <c r="H11" s="387"/>
      <c r="I11" s="209" t="s">
        <v>278</v>
      </c>
      <c r="J11" s="388"/>
      <c r="K11" s="204" t="s">
        <v>81</v>
      </c>
      <c r="L11" s="1"/>
    </row>
    <row r="12" spans="1:12" ht="16">
      <c r="B12" s="389" t="s">
        <v>341</v>
      </c>
      <c r="C12" s="389"/>
      <c r="D12" s="389"/>
      <c r="E12" s="389"/>
      <c r="F12" s="389"/>
      <c r="G12" s="389"/>
      <c r="H12" s="389"/>
      <c r="I12" s="389"/>
      <c r="J12" s="389"/>
      <c r="K12" s="389"/>
      <c r="L12" s="389"/>
    </row>
    <row r="13" spans="1:12" ht="16">
      <c r="B13" s="389"/>
      <c r="C13" s="389"/>
      <c r="D13" s="390" t="s">
        <v>342</v>
      </c>
      <c r="E13" s="390"/>
      <c r="F13" s="390"/>
      <c r="G13" s="390" t="s">
        <v>324</v>
      </c>
      <c r="H13" s="390"/>
      <c r="I13" s="390" t="s">
        <v>313</v>
      </c>
      <c r="J13" s="390"/>
      <c r="K13" s="390"/>
      <c r="L13" s="390" t="s">
        <v>343</v>
      </c>
    </row>
    <row r="14" spans="1:12" ht="16">
      <c r="B14" s="389" t="s">
        <v>71</v>
      </c>
      <c r="C14" s="389" t="s">
        <v>317</v>
      </c>
      <c r="D14" s="390" t="s">
        <v>320</v>
      </c>
      <c r="E14" s="390" t="s">
        <v>323</v>
      </c>
      <c r="F14" s="390" t="s">
        <v>344</v>
      </c>
      <c r="G14" s="390" t="s">
        <v>345</v>
      </c>
      <c r="H14" s="390" t="s">
        <v>346</v>
      </c>
      <c r="I14" s="390" t="s">
        <v>299</v>
      </c>
      <c r="J14" s="390" t="s">
        <v>347</v>
      </c>
      <c r="K14" s="390" t="s">
        <v>321</v>
      </c>
      <c r="L14" s="390" t="s">
        <v>320</v>
      </c>
    </row>
    <row r="15" spans="1:12" ht="16">
      <c r="B15" s="25" t="str">
        <f t="shared" ref="B15:B20" si="0">INDEX(Pub_Comps_Range,MATCH(B$11,Pub_Comps_Params,0),MATCH($C15,Pub_Comps_Tickers,0))</f>
        <v>Lynas Rare Earths Ltd.</v>
      </c>
      <c r="C15" s="352" t="s">
        <v>290</v>
      </c>
      <c r="D15" s="25">
        <f t="shared" ref="D15:E20" si="1">INDEX(Pub_Comps_Range,MATCH(D$11,Pub_Comps_Params,0),MATCH($C15,Pub_Comps_Tickers,0))</f>
        <v>0.86</v>
      </c>
      <c r="E15" s="25">
        <f t="shared" si="1"/>
        <v>123</v>
      </c>
      <c r="F15" s="391">
        <f>E15/(E15+G15+I15)</f>
        <v>2.3450208153961479E-2</v>
      </c>
      <c r="G15" s="25">
        <f t="shared" ref="G15:G20" si="2">INDEX(Pub_Comps_Range,MATCH(G$11,Pub_Comps_Params,0),MATCH($C15,Pub_Comps_Tickers,0))</f>
        <v>0</v>
      </c>
      <c r="H15" s="392">
        <f>G15/(E15+G15+I15)</f>
        <v>0</v>
      </c>
      <c r="I15" s="565">
        <f t="shared" ref="I15:I20" si="3">INDEX(Pub_Comps_Range,MATCH(I$11,Pub_Comps_Params,0),MATCH($C15,Pub_Comps_Tickers,0))</f>
        <v>5122.1560000000009</v>
      </c>
      <c r="J15" s="391">
        <f>$I15/($E15+$G15+$I15)</f>
        <v>0.97654979184603852</v>
      </c>
      <c r="K15" s="392">
        <f t="shared" ref="K15:K20" si="4">INDEX(Pub_Comps_Range,MATCH(K$11,Pub_Comps_Params,0),MATCH($C15,Pub_Comps_Tickers,0))</f>
        <v>0.184</v>
      </c>
      <c r="L15" s="393">
        <f t="shared" ref="L15:L19" si="5">IFERROR(D15/(1+(E15/I15)*(1-K15)+G15/I15),"N/A")</f>
        <v>0.84347226743237558</v>
      </c>
    </row>
    <row r="16" spans="1:12" ht="16">
      <c r="B16" s="25" t="str">
        <f t="shared" si="0"/>
        <v>China Northern Rare Earth High-Tech Co, Ltd.</v>
      </c>
      <c r="C16" s="352">
        <v>600111</v>
      </c>
      <c r="D16" s="25">
        <f t="shared" si="1"/>
        <v>0.4</v>
      </c>
      <c r="E16" s="25">
        <f t="shared" si="1"/>
        <v>706.5</v>
      </c>
      <c r="F16" s="391">
        <f t="shared" ref="F16:F19" si="6">E16/(E16+G16+I16)</f>
        <v>3.6288702748988648E-2</v>
      </c>
      <c r="G16" s="25">
        <f t="shared" si="2"/>
        <v>0</v>
      </c>
      <c r="H16" s="392">
        <f t="shared" ref="H16:H19" si="7">G16/(E16+G16+I16)</f>
        <v>0</v>
      </c>
      <c r="I16" s="565">
        <f t="shared" si="3"/>
        <v>18762.369000000002</v>
      </c>
      <c r="J16" s="391">
        <f t="shared" ref="J16:J20" si="8">$I16/($E16+$G16+$I16)</f>
        <v>0.96371129725101135</v>
      </c>
      <c r="K16" s="392">
        <f t="shared" si="4"/>
        <v>0.13500000000000001</v>
      </c>
      <c r="L16" s="393">
        <f t="shared" si="5"/>
        <v>0.38738229502926719</v>
      </c>
    </row>
    <row r="17" spans="2:12" ht="16">
      <c r="B17" s="25" t="str">
        <f t="shared" si="0"/>
        <v>Alkane Resources Ltd.</v>
      </c>
      <c r="C17" s="352" t="s">
        <v>473</v>
      </c>
      <c r="D17" s="25">
        <f t="shared" si="1"/>
        <v>0.84</v>
      </c>
      <c r="E17" s="25">
        <f t="shared" si="1"/>
        <v>38.799999999999997</v>
      </c>
      <c r="F17" s="391">
        <f t="shared" si="6"/>
        <v>0.1116209490657499</v>
      </c>
      <c r="G17" s="25">
        <f t="shared" si="2"/>
        <v>0</v>
      </c>
      <c r="H17" s="392">
        <f t="shared" si="7"/>
        <v>0</v>
      </c>
      <c r="I17" s="565">
        <f t="shared" si="3"/>
        <v>308.80500000000001</v>
      </c>
      <c r="J17" s="391">
        <f t="shared" si="8"/>
        <v>0.88837905093425007</v>
      </c>
      <c r="K17" s="392">
        <f t="shared" si="4"/>
        <v>0.247</v>
      </c>
      <c r="L17" s="393">
        <f t="shared" si="5"/>
        <v>0.76739579210073683</v>
      </c>
    </row>
    <row r="18" spans="2:12" ht="16">
      <c r="B18" s="25" t="str">
        <f t="shared" si="0"/>
        <v>Materion Corporation</v>
      </c>
      <c r="C18" s="352" t="s">
        <v>293</v>
      </c>
      <c r="D18" s="25">
        <f t="shared" si="1"/>
        <v>1.1399999999999999</v>
      </c>
      <c r="E18" s="25">
        <f t="shared" si="1"/>
        <v>524.79999999999995</v>
      </c>
      <c r="F18" s="391">
        <f t="shared" si="6"/>
        <v>0.23394470760254665</v>
      </c>
      <c r="G18" s="25">
        <f t="shared" si="2"/>
        <v>0</v>
      </c>
      <c r="H18" s="392">
        <f t="shared" si="7"/>
        <v>0</v>
      </c>
      <c r="I18" s="565">
        <f t="shared" si="3"/>
        <v>1718.465109</v>
      </c>
      <c r="J18" s="391">
        <f t="shared" si="8"/>
        <v>0.76605529239745329</v>
      </c>
      <c r="K18" s="392">
        <f t="shared" si="4"/>
        <v>0.60499999999999998</v>
      </c>
      <c r="L18" s="393">
        <f t="shared" si="5"/>
        <v>1.0172862122432653</v>
      </c>
    </row>
    <row r="19" spans="2:12" ht="16">
      <c r="B19" s="25" t="str">
        <f t="shared" si="0"/>
        <v>AMETEK Inc.</v>
      </c>
      <c r="C19" s="352" t="s">
        <v>295</v>
      </c>
      <c r="D19" s="25">
        <f t="shared" si="1"/>
        <v>1.1399999999999999</v>
      </c>
      <c r="E19" s="25">
        <f t="shared" si="1"/>
        <v>2324.5</v>
      </c>
      <c r="F19" s="391">
        <f t="shared" si="6"/>
        <v>5.7113480838115946E-2</v>
      </c>
      <c r="G19" s="25">
        <f t="shared" si="2"/>
        <v>0</v>
      </c>
      <c r="H19" s="392">
        <f t="shared" si="7"/>
        <v>0</v>
      </c>
      <c r="I19" s="565">
        <f t="shared" si="3"/>
        <v>38375.173104999994</v>
      </c>
      <c r="J19" s="391">
        <f t="shared" si="8"/>
        <v>0.94288651916188404</v>
      </c>
      <c r="K19" s="392">
        <f t="shared" si="4"/>
        <v>0.17199999999999999</v>
      </c>
      <c r="L19" s="393">
        <f t="shared" si="5"/>
        <v>1.0855545977398275</v>
      </c>
    </row>
    <row r="20" spans="2:12" ht="16">
      <c r="B20" s="25" t="str">
        <f t="shared" si="0"/>
        <v>TDK Corporation</v>
      </c>
      <c r="C20" s="352">
        <v>6762</v>
      </c>
      <c r="D20" s="25">
        <f t="shared" si="1"/>
        <v>0.34</v>
      </c>
      <c r="E20" s="25">
        <f t="shared" si="1"/>
        <v>2310.6</v>
      </c>
      <c r="F20" s="391">
        <f t="shared" ref="F20" si="9">E20/(E20+G20+I20)</f>
        <v>8.5034013605442188E-2</v>
      </c>
      <c r="G20" s="25">
        <f t="shared" si="2"/>
        <v>0</v>
      </c>
      <c r="H20" s="392">
        <f t="shared" ref="H20" si="10">G20/(E20+G20+I20)</f>
        <v>0</v>
      </c>
      <c r="I20" s="565">
        <f t="shared" si="3"/>
        <v>24862.055999999997</v>
      </c>
      <c r="J20" s="391">
        <f t="shared" si="8"/>
        <v>0.91496598639455784</v>
      </c>
      <c r="K20" s="392">
        <f t="shared" si="4"/>
        <v>0.29599999999999999</v>
      </c>
      <c r="L20" s="393">
        <f t="shared" ref="L20" si="11">IFERROR(D20/(1+(E20/I20)*(1-K20)+G20/I20),"N/A")</f>
        <v>0.31912072575017447</v>
      </c>
    </row>
    <row r="21" spans="2:12" ht="16">
      <c r="B21" s="1"/>
      <c r="C21" s="1"/>
      <c r="D21" s="1"/>
      <c r="E21" s="1"/>
      <c r="F21" s="1"/>
      <c r="G21" s="1"/>
      <c r="H21" s="1"/>
      <c r="I21" s="1"/>
      <c r="J21" s="1"/>
      <c r="K21" s="1"/>
      <c r="L21" s="395"/>
    </row>
    <row r="22" spans="2:12" ht="16">
      <c r="B22" s="396" t="s">
        <v>348</v>
      </c>
      <c r="C22" s="397"/>
      <c r="D22" s="398">
        <f>MEDIAN(D15:D19)</f>
        <v>0.86</v>
      </c>
      <c r="E22" s="399">
        <f t="shared" ref="E22:L22" si="12">MEDIAN(E15:E19)</f>
        <v>524.79999999999995</v>
      </c>
      <c r="F22" s="400">
        <f t="shared" si="12"/>
        <v>5.7113480838115946E-2</v>
      </c>
      <c r="G22" s="398">
        <f t="shared" si="12"/>
        <v>0</v>
      </c>
      <c r="H22" s="401">
        <f t="shared" si="12"/>
        <v>0</v>
      </c>
      <c r="I22" s="402">
        <f t="shared" si="12"/>
        <v>5122.1560000000009</v>
      </c>
      <c r="J22" s="400">
        <f t="shared" si="12"/>
        <v>0.94288651916188404</v>
      </c>
      <c r="K22" s="403">
        <f t="shared" si="12"/>
        <v>0.184</v>
      </c>
      <c r="L22" s="403">
        <f t="shared" si="12"/>
        <v>0.84347226743237558</v>
      </c>
    </row>
    <row r="23" spans="2:12" ht="16">
      <c r="B23" s="1"/>
      <c r="C23" s="1"/>
      <c r="D23" s="1"/>
      <c r="E23" s="1"/>
      <c r="F23" s="1"/>
      <c r="G23" s="1"/>
      <c r="H23" s="1"/>
      <c r="I23" s="1"/>
      <c r="J23" s="1"/>
      <c r="K23" s="1"/>
      <c r="L23" s="395"/>
    </row>
    <row r="24" spans="2:12" ht="16">
      <c r="B24" s="404" t="str">
        <f>Company_Name</f>
        <v>MP Materials Corp.</v>
      </c>
      <c r="C24" s="404" t="str">
        <f>Ticker</f>
        <v>MP</v>
      </c>
      <c r="D24" s="404">
        <f>INDEX(Pub_Comps_Range,MATCH(D$11,Pub_Comps_Params,0),MATCH($C24,Pub_Comps_Tickers,0))</f>
        <v>2.2400000000000002</v>
      </c>
      <c r="E24" s="404">
        <f>INDEX(Pub_Comps_Range,MATCH(E$11,Pub_Comps_Params,0),MATCH($C24,Pub_Comps_Tickers,0))</f>
        <v>908.72900000000004</v>
      </c>
      <c r="F24" s="405">
        <f t="shared" ref="F24:J24" si="13">E24/($E24+$G24+$I24)</f>
        <v>0.20537957902629689</v>
      </c>
      <c r="G24" s="417">
        <f>INDEX(Pub_Comps_Range,MATCH(G$11,Pub_Comps_Params,0),MATCH($C24,Pub_Comps_Tickers,0))</f>
        <v>0</v>
      </c>
      <c r="H24" s="406">
        <f t="shared" si="13"/>
        <v>0</v>
      </c>
      <c r="I24" s="404">
        <f>INDEX(Pub_Comps_Range,MATCH(I$11,Pub_Comps_Params,0),MATCH($C24,Pub_Comps_Tickers,0))</f>
        <v>3515.90272</v>
      </c>
      <c r="J24" s="407">
        <f t="shared" si="13"/>
        <v>0.794620420973703</v>
      </c>
      <c r="K24" s="408">
        <v>0.13200000000000001</v>
      </c>
      <c r="L24" s="408">
        <f t="shared" ref="L24" si="14">IFERROR(D24/(1+(E24/I24)*(1-K24)+G24/I24),"N/A")</f>
        <v>1.8295490076407297</v>
      </c>
    </row>
    <row r="25" spans="2:12" ht="16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2:12" ht="16">
      <c r="B26" s="389" t="str">
        <f>TEXT(Company_Name,"")&amp; " - Levered Beta &amp; WACC Calculation:"</f>
        <v>MP Materials Corp. - Levered Beta &amp; WACC Calculation:</v>
      </c>
      <c r="C26" s="389"/>
      <c r="D26" s="389"/>
      <c r="E26" s="389"/>
      <c r="F26" s="389"/>
      <c r="G26" s="389"/>
      <c r="H26" s="389"/>
      <c r="I26" s="389"/>
      <c r="J26" s="389"/>
      <c r="K26" s="389"/>
      <c r="L26" s="389"/>
    </row>
    <row r="27" spans="2:12" ht="16">
      <c r="B27" s="389"/>
      <c r="C27" s="389"/>
      <c r="D27" s="390" t="s">
        <v>343</v>
      </c>
      <c r="E27" s="390"/>
      <c r="F27" s="390"/>
      <c r="G27" s="390" t="s">
        <v>324</v>
      </c>
      <c r="H27" s="390"/>
      <c r="I27" s="390" t="s">
        <v>313</v>
      </c>
      <c r="J27" s="390"/>
      <c r="K27" s="390"/>
      <c r="L27" s="390" t="s">
        <v>342</v>
      </c>
    </row>
    <row r="28" spans="2:12" ht="16">
      <c r="B28" s="389"/>
      <c r="C28" s="389" t="s">
        <v>317</v>
      </c>
      <c r="D28" s="390" t="s">
        <v>320</v>
      </c>
      <c r="E28" s="390" t="s">
        <v>323</v>
      </c>
      <c r="F28" s="390" t="s">
        <v>344</v>
      </c>
      <c r="G28" s="390" t="s">
        <v>345</v>
      </c>
      <c r="H28" s="390" t="s">
        <v>346</v>
      </c>
      <c r="I28" s="390" t="s">
        <v>299</v>
      </c>
      <c r="J28" s="390" t="s">
        <v>347</v>
      </c>
      <c r="K28" s="390" t="s">
        <v>321</v>
      </c>
      <c r="L28" s="390" t="s">
        <v>320</v>
      </c>
    </row>
    <row r="29" spans="2:12" ht="16">
      <c r="B29" s="25" t="s">
        <v>349</v>
      </c>
      <c r="C29" s="25" t="str">
        <f>C24</f>
        <v>MP</v>
      </c>
      <c r="D29" s="409">
        <f>L24</f>
        <v>1.8295490076407297</v>
      </c>
      <c r="E29" s="86">
        <v>5461</v>
      </c>
      <c r="F29" s="394">
        <v>3.3001557194883353E-2</v>
      </c>
      <c r="G29" s="86">
        <v>0</v>
      </c>
      <c r="H29" s="410">
        <v>0</v>
      </c>
      <c r="I29" s="86">
        <v>160016.03999999998</v>
      </c>
      <c r="J29" s="411">
        <v>0.9669984428051166</v>
      </c>
      <c r="K29" s="394">
        <v>0.13200000000000001</v>
      </c>
      <c r="L29" s="409">
        <f>D29*(1+E29/I29*(1-K29)+G29/I29)</f>
        <v>1.8837456561109092</v>
      </c>
    </row>
    <row r="30" spans="2:12" ht="16">
      <c r="B30" s="25" t="s">
        <v>350</v>
      </c>
      <c r="C30" s="409"/>
      <c r="D30" s="409">
        <f>L22</f>
        <v>0.84347226743237558</v>
      </c>
      <c r="E30" s="86">
        <f>(E29+I29)*F30</f>
        <v>9450.9697531881448</v>
      </c>
      <c r="F30" s="410">
        <f>F22</f>
        <v>5.7113480838115946E-2</v>
      </c>
      <c r="G30" s="86">
        <v>0</v>
      </c>
      <c r="H30" s="410">
        <v>0</v>
      </c>
      <c r="I30" s="86">
        <f>(I29+E29)*J30</f>
        <v>156026.07024681184</v>
      </c>
      <c r="J30" s="412">
        <f>J22</f>
        <v>0.94288651916188404</v>
      </c>
      <c r="K30" s="394">
        <v>0.13200000000000001</v>
      </c>
      <c r="L30" s="409">
        <f>D30*(1+E30/I30*(1-K30)+G30/I30)</f>
        <v>0.88781982806186699</v>
      </c>
    </row>
    <row r="31" spans="2:12" ht="16">
      <c r="B31" s="1"/>
      <c r="C31" s="413"/>
      <c r="D31" s="1"/>
      <c r="E31" s="1"/>
      <c r="F31" s="1"/>
      <c r="G31" s="1"/>
      <c r="H31" s="1"/>
      <c r="I31" s="1"/>
      <c r="J31" s="1"/>
      <c r="K31" s="1"/>
      <c r="L31" s="1"/>
    </row>
    <row r="32" spans="2:12" ht="16">
      <c r="B32" s="414" t="s">
        <v>351</v>
      </c>
      <c r="C32" s="414"/>
      <c r="D32" s="414"/>
      <c r="E32" s="414"/>
      <c r="F32" s="414"/>
      <c r="G32" s="414"/>
      <c r="H32" s="414"/>
      <c r="I32" s="414"/>
      <c r="J32" s="414"/>
      <c r="K32" s="414"/>
      <c r="L32" s="415">
        <f>Risk_Free_Rate+Equity_Risk_Premium*L29</f>
        <v>0.11093109796388183</v>
      </c>
    </row>
    <row r="33" spans="2:12" ht="16">
      <c r="B33" s="414" t="s">
        <v>352</v>
      </c>
      <c r="C33" s="414"/>
      <c r="D33" s="414"/>
      <c r="E33" s="414"/>
      <c r="F33" s="414"/>
      <c r="G33" s="414"/>
      <c r="H33" s="414"/>
      <c r="I33" s="414"/>
      <c r="J33" s="414"/>
      <c r="K33" s="414"/>
      <c r="L33" s="415">
        <f>Risk_Free_Rate+Equity_Risk_Premium*L30</f>
        <v>7.6073693982165347E-2</v>
      </c>
    </row>
    <row r="34" spans="2:12" ht="16">
      <c r="B34" s="414" t="s">
        <v>353</v>
      </c>
      <c r="C34" s="414"/>
      <c r="D34" s="414"/>
      <c r="E34" s="414"/>
      <c r="F34" s="414"/>
      <c r="G34" s="414"/>
      <c r="H34" s="414"/>
      <c r="I34" s="414"/>
      <c r="J34" s="414"/>
      <c r="K34" s="414"/>
      <c r="L34" s="415">
        <f>Risk_Free_Rate+Equity_Risk_Premium*D24</f>
        <v>0.12340000000000001</v>
      </c>
    </row>
    <row r="35" spans="2:12" ht="16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spans="2:12" ht="16">
      <c r="B36" s="414" t="s">
        <v>354</v>
      </c>
      <c r="C36" s="414"/>
      <c r="D36" s="414"/>
      <c r="E36" s="414"/>
      <c r="F36" s="414"/>
      <c r="G36" s="414"/>
      <c r="H36" s="414"/>
      <c r="I36" s="414"/>
      <c r="J36" s="414"/>
      <c r="K36" s="414"/>
      <c r="L36" s="415">
        <f>L32*J29+Cost_of_Debt*(1-K29)*F29+Cost_of_Preferred*H29</f>
        <v>0.10799553023959675</v>
      </c>
    </row>
    <row r="37" spans="2:12" ht="16">
      <c r="B37" s="414" t="s">
        <v>355</v>
      </c>
      <c r="C37" s="414"/>
      <c r="D37" s="414"/>
      <c r="E37" s="414"/>
      <c r="F37" s="414"/>
      <c r="G37" s="414"/>
      <c r="H37" s="414"/>
      <c r="I37" s="414"/>
      <c r="J37" s="414"/>
      <c r="K37" s="414"/>
      <c r="L37" s="415">
        <f>L33*J30+Cost_of_Debt*(1-K30)*F30+Cost_of_Preferred*H30</f>
        <v>7.298414044968321E-2</v>
      </c>
    </row>
    <row r="38" spans="2:12" ht="16">
      <c r="B38" s="414" t="s">
        <v>356</v>
      </c>
      <c r="C38" s="414"/>
      <c r="D38" s="414"/>
      <c r="E38" s="414"/>
      <c r="F38" s="414"/>
      <c r="G38" s="414"/>
      <c r="H38" s="414"/>
      <c r="I38" s="414"/>
      <c r="J38" s="414"/>
      <c r="K38" s="414"/>
      <c r="L38" s="415">
        <f>L34*J29+Cost_of_Debt*(1-K29)*F29+Cost_of_Preferred*H29</f>
        <v>0.12005293909201258</v>
      </c>
    </row>
    <row r="39" spans="2:12" ht="16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2:12" ht="16">
      <c r="B40" s="414" t="s">
        <v>357</v>
      </c>
      <c r="C40" s="414"/>
      <c r="D40" s="414"/>
      <c r="E40" s="414"/>
      <c r="F40" s="414"/>
      <c r="G40" s="414"/>
      <c r="H40" s="414"/>
      <c r="I40" s="414"/>
      <c r="J40" s="414"/>
      <c r="K40" s="414"/>
      <c r="L40" s="416">
        <f>AVERAGE(L36:L38)</f>
        <v>0.10034420326043085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41209-8456-412B-ABCB-D39DDC78865C}">
  <dimension ref="B2:V38"/>
  <sheetViews>
    <sheetView showGridLines="0" zoomScale="55" workbookViewId="0">
      <selection activeCell="E34" sqref="E34"/>
    </sheetView>
  </sheetViews>
  <sheetFormatPr defaultRowHeight="14.5"/>
  <cols>
    <col min="2" max="2" width="55" bestFit="1" customWidth="1"/>
    <col min="3" max="3" width="9.7265625" bestFit="1" customWidth="1"/>
    <col min="4" max="4" width="10.1796875" bestFit="1" customWidth="1"/>
    <col min="5" max="5" width="11.453125" bestFit="1" customWidth="1"/>
    <col min="6" max="6" width="10.1796875" bestFit="1" customWidth="1"/>
    <col min="7" max="7" width="9.453125" bestFit="1" customWidth="1"/>
    <col min="8" max="8" width="10.453125" bestFit="1" customWidth="1"/>
    <col min="9" max="10" width="11.1796875" bestFit="1" customWidth="1"/>
    <col min="11" max="11" width="12.1796875" bestFit="1" customWidth="1"/>
    <col min="12" max="13" width="10.81640625" bestFit="1" customWidth="1"/>
    <col min="15" max="15" width="12.453125" bestFit="1" customWidth="1"/>
  </cols>
  <sheetData>
    <row r="2" spans="2:22" ht="18.5">
      <c r="B2" s="419" t="str">
        <f>"Valuation Summary - "&amp;Company_Name</f>
        <v>Valuation Summary - MP Materials Corp.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</row>
    <row r="3" spans="2:22" ht="16">
      <c r="B3" s="25" t="s">
        <v>307</v>
      </c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</row>
    <row r="4" spans="2:22" ht="16"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</row>
    <row r="5" spans="2:22" ht="16">
      <c r="B5" s="297" t="str">
        <f>"Valuation Statistics - "&amp;TEXT(Company_Name,"")</f>
        <v>Valuation Statistics - MP Materials Corp.</v>
      </c>
      <c r="C5" s="297" t="s">
        <v>358</v>
      </c>
      <c r="D5" s="297"/>
      <c r="E5" s="297"/>
      <c r="F5" s="297"/>
      <c r="G5" s="297"/>
      <c r="H5" s="297"/>
      <c r="I5" s="297" t="s">
        <v>359</v>
      </c>
      <c r="J5" s="297"/>
      <c r="K5" s="297"/>
      <c r="L5" s="297"/>
      <c r="M5" s="297"/>
    </row>
    <row r="6" spans="2:22" ht="16">
      <c r="B6" s="300"/>
      <c r="C6" s="301"/>
      <c r="D6" s="298"/>
      <c r="E6" s="298"/>
      <c r="F6" s="299"/>
      <c r="G6" s="298"/>
      <c r="H6" s="298"/>
      <c r="I6" s="298"/>
      <c r="J6" s="298"/>
      <c r="K6" s="298"/>
      <c r="L6" s="298"/>
      <c r="M6" s="298"/>
    </row>
    <row r="7" spans="2:22" ht="16">
      <c r="B7" s="300"/>
      <c r="C7" s="301"/>
      <c r="D7" s="301" t="s">
        <v>360</v>
      </c>
      <c r="E7" s="301"/>
      <c r="F7" s="301" t="s">
        <v>361</v>
      </c>
      <c r="G7" s="298"/>
      <c r="H7" s="301" t="s">
        <v>362</v>
      </c>
      <c r="I7" s="301"/>
      <c r="J7" s="301" t="s">
        <v>361</v>
      </c>
      <c r="K7" s="301"/>
      <c r="L7" s="301" t="s">
        <v>360</v>
      </c>
      <c r="M7" s="301"/>
    </row>
    <row r="8" spans="2:22" ht="16">
      <c r="B8" s="300"/>
      <c r="C8" s="301" t="s">
        <v>301</v>
      </c>
      <c r="D8" s="301" t="s">
        <v>363</v>
      </c>
      <c r="E8" s="301" t="s">
        <v>303</v>
      </c>
      <c r="F8" s="301" t="s">
        <v>363</v>
      </c>
      <c r="G8" s="301" t="s">
        <v>305</v>
      </c>
      <c r="H8" s="301" t="s">
        <v>364</v>
      </c>
      <c r="I8" s="301" t="s">
        <v>305</v>
      </c>
      <c r="J8" s="301" t="s">
        <v>363</v>
      </c>
      <c r="K8" s="301" t="s">
        <v>303</v>
      </c>
      <c r="L8" s="301" t="s">
        <v>363</v>
      </c>
      <c r="M8" s="301" t="s">
        <v>301</v>
      </c>
    </row>
    <row r="9" spans="2:22" ht="16">
      <c r="B9" s="297" t="s">
        <v>365</v>
      </c>
      <c r="C9" s="301" t="s">
        <v>366</v>
      </c>
      <c r="D9" s="301" t="s">
        <v>366</v>
      </c>
      <c r="E9" s="301" t="s">
        <v>366</v>
      </c>
      <c r="F9" s="301" t="s">
        <v>366</v>
      </c>
      <c r="G9" s="301" t="s">
        <v>366</v>
      </c>
      <c r="H9" s="301" t="s">
        <v>367</v>
      </c>
      <c r="I9" s="301" t="s">
        <v>366</v>
      </c>
      <c r="J9" s="301" t="s">
        <v>366</v>
      </c>
      <c r="K9" s="301" t="s">
        <v>366</v>
      </c>
      <c r="L9" s="301" t="s">
        <v>366</v>
      </c>
      <c r="M9" s="301" t="s">
        <v>366</v>
      </c>
    </row>
    <row r="11" spans="2:22" ht="16">
      <c r="B11" s="4" t="s">
        <v>368</v>
      </c>
    </row>
    <row r="12" spans="2:22" ht="16">
      <c r="B12" s="7" t="s">
        <v>369</v>
      </c>
      <c r="C12" s="421" cm="1">
        <f t="array" ref="C12:G20">TRANSPOSE(PubComps!N34:V38)</f>
        <v>10.140748104883809</v>
      </c>
      <c r="D12" s="421">
        <v>5.3881266273122357</v>
      </c>
      <c r="E12" s="421">
        <v>3.3443367360535543</v>
      </c>
      <c r="F12" s="421">
        <v>1.8401316076890482</v>
      </c>
      <c r="G12" s="421">
        <v>1.3200362729269304</v>
      </c>
      <c r="H12" s="422" cm="1">
        <f t="array" ref="H12:H20">TRANSPOSE(PubComps!N21:V21)</f>
        <v>203.9</v>
      </c>
      <c r="I12" s="424">
        <f>(I26+SUM($E$25:$E$31))/$E$34</f>
        <v>1.6225549281503142</v>
      </c>
      <c r="J12" s="425">
        <f>(J26+SUM($E$25:$E$31))/$E$34</f>
        <v>2.4013610879397569</v>
      </c>
      <c r="K12" s="425">
        <f t="shared" ref="K12:M12" si="0">(K26+SUM($E$25:$E$31))/$E$34</f>
        <v>4.6538024025555913</v>
      </c>
      <c r="L12" s="425">
        <f t="shared" si="0"/>
        <v>7.7142339239336444</v>
      </c>
      <c r="M12" s="425">
        <f t="shared" si="0"/>
        <v>14.83095009977338</v>
      </c>
      <c r="N12" s="70"/>
      <c r="O12" s="426"/>
      <c r="P12" s="70"/>
      <c r="Q12" s="70"/>
      <c r="R12" s="70"/>
      <c r="S12" s="70"/>
      <c r="T12" s="70"/>
      <c r="U12" s="70"/>
      <c r="V12" s="70"/>
    </row>
    <row r="13" spans="2:22" ht="16">
      <c r="B13" s="7" t="str">
        <f>"CY "&amp;TEXT(EOMONTH(Hist_Year,12),"YY")&amp;" TEV / Revenue:"</f>
        <v>CY 25 TEV / Revenue:</v>
      </c>
      <c r="C13" s="421">
        <v>13.197185983827495</v>
      </c>
      <c r="D13" s="421">
        <v>5.1731754486272017</v>
      </c>
      <c r="E13" s="421">
        <v>3.2581063088936988</v>
      </c>
      <c r="F13" s="421">
        <v>2.6587530765560961</v>
      </c>
      <c r="G13" s="421">
        <v>1.928431952662722</v>
      </c>
      <c r="H13" s="423">
        <v>314.70840000000004</v>
      </c>
      <c r="I13" s="424">
        <f t="shared" ref="I13:J14" si="1">(I27+SUM($E$25:$E$31))/$E$34</f>
        <v>4.1028854418459808</v>
      </c>
      <c r="J13" s="425">
        <f t="shared" si="1"/>
        <v>5.7908036233883466</v>
      </c>
      <c r="K13" s="425">
        <f t="shared" ref="K13:M14" si="2">(K27+SUM($E$25:$E$31))/$E$34</f>
        <v>7.1760288139670134</v>
      </c>
      <c r="L13" s="425">
        <f t="shared" si="2"/>
        <v>11.602136609719087</v>
      </c>
      <c r="M13" s="425">
        <f t="shared" si="2"/>
        <v>30.147229758674008</v>
      </c>
      <c r="N13" s="70"/>
      <c r="O13" s="426"/>
      <c r="P13" s="70"/>
      <c r="Q13" s="70"/>
      <c r="R13" s="70"/>
      <c r="S13" s="70"/>
      <c r="T13" s="70"/>
      <c r="U13" s="70"/>
      <c r="V13" s="70"/>
    </row>
    <row r="14" spans="2:22" ht="16">
      <c r="B14" s="7" t="str">
        <f>"CY "&amp;TEXT(EOMONTH(Hist_Year,24),"YY")&amp;" TEV / Revenue:"</f>
        <v>CY 26 TEV / Revenue:</v>
      </c>
      <c r="C14" s="421">
        <v>7.5557962962962977</v>
      </c>
      <c r="D14" s="421">
        <v>4.8323423061006112</v>
      </c>
      <c r="E14" s="421">
        <v>2.8931961844843559</v>
      </c>
      <c r="F14" s="421">
        <v>2.4745844703650275</v>
      </c>
      <c r="G14" s="421">
        <v>1.5897804878048782</v>
      </c>
      <c r="H14" s="423">
        <v>398.995</v>
      </c>
      <c r="I14" s="424">
        <f t="shared" si="1"/>
        <v>4.3042616822402007</v>
      </c>
      <c r="J14" s="425">
        <f t="shared" si="1"/>
        <v>6.8969106297671541</v>
      </c>
      <c r="K14" s="425">
        <f t="shared" si="2"/>
        <v>8.1235249323990359</v>
      </c>
      <c r="L14" s="425">
        <f t="shared" si="2"/>
        <v>13.805602828073049</v>
      </c>
      <c r="M14" s="425">
        <f t="shared" si="2"/>
        <v>21.785856376308992</v>
      </c>
      <c r="N14" s="427"/>
      <c r="O14" s="426"/>
      <c r="P14" s="427"/>
      <c r="Q14" s="427"/>
      <c r="R14" s="427"/>
      <c r="S14" s="427"/>
      <c r="T14" s="427"/>
      <c r="U14" s="427"/>
      <c r="V14" s="427"/>
    </row>
    <row r="15" spans="2:22" ht="16">
      <c r="B15" s="7" t="s">
        <v>370</v>
      </c>
      <c r="C15" s="421">
        <v>51.065456821026295</v>
      </c>
      <c r="D15" s="421">
        <v>20.522042135382918</v>
      </c>
      <c r="E15" s="421">
        <v>14.485464963973172</v>
      </c>
      <c r="F15" s="421">
        <v>9.3391396456321925</v>
      </c>
      <c r="G15" s="421">
        <v>7.8637438471190038</v>
      </c>
      <c r="H15" s="423">
        <v>258.89999999999998</v>
      </c>
      <c r="I15" s="424">
        <f t="shared" ref="I15:M15" si="3">(I29+SUM($E$25:$E$31))/$E$34</f>
        <v>14.597594482392482</v>
      </c>
      <c r="J15" s="425">
        <f t="shared" si="3"/>
        <v>17.402832956579005</v>
      </c>
      <c r="K15" s="425">
        <f t="shared" si="3"/>
        <v>27.187780018403821</v>
      </c>
      <c r="L15" s="425">
        <f t="shared" si="3"/>
        <v>38.665404226565265</v>
      </c>
      <c r="M15" s="425">
        <f t="shared" si="3"/>
        <v>96.739015453833815</v>
      </c>
      <c r="N15" s="70"/>
      <c r="O15" s="426"/>
      <c r="P15" s="70"/>
      <c r="Q15" s="70"/>
      <c r="R15" s="70"/>
      <c r="S15" s="70"/>
      <c r="T15" s="70"/>
      <c r="U15" s="70"/>
      <c r="V15" s="70"/>
    </row>
    <row r="16" spans="2:22" ht="16">
      <c r="B16" s="7" t="str">
        <f>"CY "&amp;TEXT(EOMONTH(Hist_Year,12),"YY")&amp;" TEV / EBITDA:"</f>
        <v>CY 25 TEV / EBITDA:</v>
      </c>
      <c r="C16" s="421">
        <v>52.646838709677425</v>
      </c>
      <c r="D16" s="421">
        <v>28.099995505930973</v>
      </c>
      <c r="E16" s="421">
        <v>16.234379243543358</v>
      </c>
      <c r="F16" s="421">
        <v>10.935834975565179</v>
      </c>
      <c r="G16" s="421">
        <v>4.4644520547945206</v>
      </c>
      <c r="H16" s="423">
        <v>94.371403536781287</v>
      </c>
      <c r="I16" s="424">
        <f t="shared" ref="I16:J17" si="4">(I30+SUM($E$25:$E$31))/$E$34</f>
        <v>2.74001791750521</v>
      </c>
      <c r="J16" s="425">
        <f t="shared" si="4"/>
        <v>7.2250619007885541</v>
      </c>
      <c r="K16" s="425">
        <f t="shared" ref="K16:M17" si="5">(K30+SUM($E$25:$E$31))/$E$34</f>
        <v>10.897260622484039</v>
      </c>
      <c r="L16" s="425">
        <f t="shared" si="5"/>
        <v>19.12082140958594</v>
      </c>
      <c r="M16" s="425">
        <f t="shared" si="5"/>
        <v>36.133208524896986</v>
      </c>
      <c r="N16" s="70"/>
      <c r="O16" s="426"/>
      <c r="P16" s="70"/>
      <c r="Q16" s="70"/>
      <c r="R16" s="70"/>
      <c r="S16" s="70"/>
      <c r="T16" s="70"/>
      <c r="U16" s="70"/>
      <c r="V16" s="70"/>
    </row>
    <row r="17" spans="2:15" ht="16">
      <c r="B17" s="7" t="str">
        <f>"CY "&amp;TEXT(EOMONTH(Hist_Year,24),"YY")&amp;" TEV / EBITDA:"</f>
        <v>CY 26 TEV / EBITDA:</v>
      </c>
      <c r="C17" s="421">
        <v>22.225022673031031</v>
      </c>
      <c r="D17" s="421">
        <v>17.474092779763193</v>
      </c>
      <c r="E17" s="421">
        <v>14.880769450668492</v>
      </c>
      <c r="F17" s="421">
        <v>9.9694525672316114</v>
      </c>
      <c r="G17" s="421">
        <v>2.6934297520661161</v>
      </c>
      <c r="H17" s="423">
        <v>152.84191064587972</v>
      </c>
      <c r="I17" s="424">
        <f t="shared" si="4"/>
        <v>2.6691660917716766</v>
      </c>
      <c r="J17" s="425">
        <f t="shared" si="4"/>
        <v>10.836225300875032</v>
      </c>
      <c r="K17" s="425">
        <f t="shared" si="5"/>
        <v>16.348991931855643</v>
      </c>
      <c r="L17" s="425">
        <f t="shared" si="5"/>
        <v>19.259898853824073</v>
      </c>
      <c r="M17" s="425">
        <f t="shared" si="5"/>
        <v>24.592637181106923</v>
      </c>
      <c r="O17" s="426"/>
    </row>
    <row r="18" spans="2:15" ht="16">
      <c r="B18" s="7" t="s">
        <v>327</v>
      </c>
      <c r="C18" s="421">
        <v>27.88690727781411</v>
      </c>
      <c r="D18" s="421">
        <v>27.372192675506298</v>
      </c>
      <c r="E18" s="421">
        <v>26.857478073198486</v>
      </c>
      <c r="F18" s="421">
        <v>15.160803687567613</v>
      </c>
      <c r="G18" s="421">
        <v>3.4641293019367421</v>
      </c>
      <c r="H18" s="423">
        <v>-65.400000000000006</v>
      </c>
      <c r="I18" s="424">
        <f t="shared" ref="I18:M18" si="6">(I32+SUM($E$25:$E$31))/$E$34</f>
        <v>-2.01790616656056</v>
      </c>
      <c r="J18" s="425">
        <f t="shared" si="6"/>
        <v>-7.6357458592430021</v>
      </c>
      <c r="K18" s="425">
        <f t="shared" si="6"/>
        <v>-13.253585551925442</v>
      </c>
      <c r="L18" s="425">
        <f t="shared" si="6"/>
        <v>-13.500799762385153</v>
      </c>
      <c r="M18" s="425">
        <f t="shared" si="6"/>
        <v>-13.748013972844868</v>
      </c>
      <c r="O18" s="426"/>
    </row>
    <row r="19" spans="2:15" ht="16">
      <c r="B19" s="7" t="str">
        <f>"CY "&amp;TEXT(EOMONTH(Hist_Year,12),"YY")&amp;" P / E:"</f>
        <v>CY 25 P / E:</v>
      </c>
      <c r="C19" s="421">
        <v>60.719640776699038</v>
      </c>
      <c r="D19" s="421">
        <v>34.981926257976291</v>
      </c>
      <c r="E19" s="421">
        <v>26.465636624137929</v>
      </c>
      <c r="F19" s="421">
        <v>16.523702971153845</v>
      </c>
      <c r="G19" s="421">
        <v>10.648448275862069</v>
      </c>
      <c r="H19" s="423">
        <v>40.074948225466358</v>
      </c>
      <c r="I19" s="424">
        <f t="shared" ref="I19:J20" si="7">(I33+SUM($E$25:$E$31))/$E$34</f>
        <v>2.7798177234031494</v>
      </c>
      <c r="J19" s="425">
        <f t="shared" si="7"/>
        <v>4.5089525659386167</v>
      </c>
      <c r="K19" s="425">
        <f t="shared" ref="K19:M20" si="8">(K33+SUM($E$25:$E$31))/$E$34</f>
        <v>7.4349438247221569</v>
      </c>
      <c r="L19" s="425">
        <f t="shared" si="8"/>
        <v>9.9413565504196946</v>
      </c>
      <c r="M19" s="425">
        <f t="shared" si="8"/>
        <v>17.516173515753707</v>
      </c>
    </row>
    <row r="20" spans="2:15" ht="16">
      <c r="B20" s="7" t="str">
        <f>"CY "&amp;TEXT(EOMONTH(Hist_Year,24),"YY")&amp;" P / E:"</f>
        <v>CY 26 P / E:</v>
      </c>
      <c r="C20" s="421">
        <v>40.611188311688316</v>
      </c>
      <c r="D20" s="421">
        <v>31.419543238398038</v>
      </c>
      <c r="E20" s="421">
        <v>27.396467232284536</v>
      </c>
      <c r="F20" s="421">
        <v>16.303166216929419</v>
      </c>
      <c r="G20" s="421">
        <v>5.0623770491803279</v>
      </c>
      <c r="H20" s="423">
        <v>84.909194821936865</v>
      </c>
      <c r="I20" s="424">
        <f t="shared" si="7"/>
        <v>2.8026305444133732</v>
      </c>
      <c r="J20" s="425">
        <f t="shared" si="7"/>
        <v>9.8120285179511324</v>
      </c>
      <c r="K20" s="425">
        <f t="shared" si="8"/>
        <v>16.729457578890017</v>
      </c>
      <c r="L20" s="425">
        <f t="shared" si="8"/>
        <v>19.238119593968726</v>
      </c>
      <c r="M20" s="425">
        <f t="shared" si="8"/>
        <v>24.969736599565543</v>
      </c>
    </row>
    <row r="21" spans="2:15" ht="16">
      <c r="B21" s="4" t="s">
        <v>371</v>
      </c>
    </row>
    <row r="22" spans="2:15" ht="16">
      <c r="B22" s="7" t="s">
        <v>372</v>
      </c>
      <c r="I22" s="428">
        <f>DCF!P100</f>
        <v>37.404453994662788</v>
      </c>
      <c r="J22" s="428">
        <f>DCF!N98</f>
        <v>44.823949053223657</v>
      </c>
      <c r="K22" s="428">
        <f>DCF!K95</f>
        <v>62.123612500852289</v>
      </c>
      <c r="L22" s="428">
        <f>DCF!H93</f>
        <v>92.365062025868227</v>
      </c>
      <c r="M22" s="428">
        <f>DCF!F91</f>
        <v>124.54773053290266</v>
      </c>
    </row>
    <row r="24" spans="2:15" ht="16">
      <c r="B24" s="429" t="s">
        <v>373</v>
      </c>
      <c r="C24" s="430"/>
      <c r="D24" s="430"/>
      <c r="E24" s="431">
        <f>K28</f>
        <v>1385.2449739540027</v>
      </c>
    </row>
    <row r="25" spans="2:15" ht="16">
      <c r="B25" s="71" t="s">
        <v>151</v>
      </c>
      <c r="C25" s="25"/>
      <c r="D25" s="25"/>
      <c r="E25" s="432">
        <f>-DCF!G22</f>
        <v>850.86800000000005</v>
      </c>
    </row>
    <row r="26" spans="2:15" ht="16">
      <c r="B26" s="71" t="s">
        <v>152</v>
      </c>
      <c r="C26" s="1"/>
      <c r="D26" s="1"/>
      <c r="E26" s="432">
        <f>-DCF!G23</f>
        <v>0</v>
      </c>
      <c r="G26" s="420" t="s">
        <v>374</v>
      </c>
      <c r="H26" s="433"/>
      <c r="I26" s="99">
        <f t="shared" ref="I26:I34" si="9">IF(Premium_Case="yes",(G12*(1+Premium_Uplift))*$H12,G12*$H12)</f>
        <v>322.98647525976133</v>
      </c>
      <c r="J26" s="99">
        <f t="shared" ref="J26:J34" si="10">IF(Premium_Case="yes",(F12*(1+Premium_Uplift))*$H12,F12*$H12)</f>
        <v>450.2434017693563</v>
      </c>
      <c r="K26" s="99">
        <f t="shared" ref="K26:K34" si="11">IF(Premium_Case="yes",(E12*(1+Premium_Uplift))*$H12,E12*$H12)</f>
        <v>818.29231257758363</v>
      </c>
      <c r="L26" s="99">
        <f t="shared" ref="L26:L34" si="12">IF(Premium_Case="yes",(D12*(1+Premium_Uplift))*$H12,D12*$H12)</f>
        <v>1318.3668231707577</v>
      </c>
      <c r="M26" s="99">
        <f t="shared" ref="M26:M34" si="13">IF(Premium_Case="yes",(C12*(1+Premium_Uplift))*$H12,C12*$H12)</f>
        <v>2481.2382463029703</v>
      </c>
    </row>
    <row r="27" spans="2:15" ht="16">
      <c r="B27" s="71" t="s">
        <v>153</v>
      </c>
      <c r="C27" s="1"/>
      <c r="D27" s="1"/>
      <c r="E27" s="432">
        <f>-DCF!G24</f>
        <v>-908.72900000000004</v>
      </c>
      <c r="G27" s="420" t="s">
        <v>374</v>
      </c>
      <c r="H27" s="1"/>
      <c r="I27" s="99">
        <f t="shared" si="9"/>
        <v>728.27248119763328</v>
      </c>
      <c r="J27" s="99">
        <f t="shared" si="10"/>
        <v>1004.0783120616559</v>
      </c>
      <c r="K27" s="99">
        <f t="shared" si="11"/>
        <v>1230.4241082022102</v>
      </c>
      <c r="L27" s="99">
        <f t="shared" si="12"/>
        <v>1953.6501220280988</v>
      </c>
      <c r="M27" s="99">
        <f t="shared" si="13"/>
        <v>4983.9183425673327</v>
      </c>
    </row>
    <row r="28" spans="2:15" ht="16">
      <c r="B28" s="71" t="s">
        <v>154</v>
      </c>
      <c r="C28" s="1"/>
      <c r="D28" s="1"/>
      <c r="E28" s="432">
        <f>-DCF!G25</f>
        <v>0</v>
      </c>
      <c r="G28" s="420" t="s">
        <v>374</v>
      </c>
      <c r="H28" s="1"/>
      <c r="I28" s="99">
        <f t="shared" si="9"/>
        <v>761.17735887804884</v>
      </c>
      <c r="J28" s="99">
        <f t="shared" si="10"/>
        <v>1184.8161969039529</v>
      </c>
      <c r="K28" s="99">
        <f t="shared" si="11"/>
        <v>1385.2449739540027</v>
      </c>
      <c r="L28" s="99">
        <f t="shared" si="12"/>
        <v>2313.696502107136</v>
      </c>
      <c r="M28" s="99">
        <f t="shared" si="13"/>
        <v>3617.6699318888896</v>
      </c>
    </row>
    <row r="29" spans="2:15" ht="16">
      <c r="B29" s="71" t="s">
        <v>155</v>
      </c>
      <c r="C29" s="1"/>
      <c r="D29" s="1"/>
      <c r="E29" s="432">
        <f>-DCF!G26</f>
        <v>0</v>
      </c>
      <c r="G29" s="420" t="s">
        <v>374</v>
      </c>
      <c r="H29" s="1"/>
      <c r="I29" s="99">
        <f t="shared" si="9"/>
        <v>2443.1079384229315</v>
      </c>
      <c r="J29" s="99">
        <f t="shared" si="10"/>
        <v>2901.4839051050094</v>
      </c>
      <c r="K29" s="99">
        <f t="shared" si="11"/>
        <v>4500.3442550071841</v>
      </c>
      <c r="L29" s="99">
        <f t="shared" si="12"/>
        <v>6375.7880506207639</v>
      </c>
      <c r="M29" s="99">
        <f t="shared" si="13"/>
        <v>15865.016125156448</v>
      </c>
    </row>
    <row r="30" spans="2:15" ht="16">
      <c r="B30" s="71" t="s">
        <v>156</v>
      </c>
      <c r="C30" s="1"/>
      <c r="D30" s="1"/>
      <c r="E30" s="432">
        <f>-DCF!G27</f>
        <v>0</v>
      </c>
      <c r="G30" s="420" t="s">
        <v>374</v>
      </c>
      <c r="H30" s="1"/>
      <c r="I30" s="99">
        <f t="shared" si="9"/>
        <v>505.57992772035129</v>
      </c>
      <c r="J30" s="99">
        <f t="shared" si="10"/>
        <v>1238.4361145888497</v>
      </c>
      <c r="K30" s="99">
        <f t="shared" si="11"/>
        <v>1838.4733857138917</v>
      </c>
      <c r="L30" s="99">
        <f t="shared" si="12"/>
        <v>3182.2032183263427</v>
      </c>
      <c r="M30" s="99">
        <f t="shared" si="13"/>
        <v>5962.0272729681674</v>
      </c>
    </row>
    <row r="31" spans="2:15" ht="16">
      <c r="B31" s="71" t="s">
        <v>157</v>
      </c>
      <c r="C31" s="1"/>
      <c r="D31" s="1"/>
      <c r="E31" s="434">
        <f>-DCF!G28</f>
        <v>0</v>
      </c>
      <c r="G31" s="420" t="s">
        <v>374</v>
      </c>
      <c r="H31" s="1"/>
      <c r="I31" s="99">
        <f t="shared" si="9"/>
        <v>494.00273939549197</v>
      </c>
      <c r="J31" s="99">
        <f t="shared" si="10"/>
        <v>1828.5002141629802</v>
      </c>
      <c r="K31" s="99">
        <f t="shared" si="11"/>
        <v>2729.2862816652123</v>
      </c>
      <c r="L31" s="99">
        <f t="shared" si="12"/>
        <v>3204.9284727148533</v>
      </c>
      <c r="M31" s="99">
        <f t="shared" si="13"/>
        <v>4076.2979153928713</v>
      </c>
    </row>
    <row r="32" spans="2:15" ht="16">
      <c r="B32" s="435" t="s">
        <v>158</v>
      </c>
      <c r="C32" s="436"/>
      <c r="D32" s="436"/>
      <c r="E32" s="437">
        <f>SUM(E24:E31)</f>
        <v>1327.3839739540028</v>
      </c>
      <c r="G32" s="420" t="s">
        <v>375</v>
      </c>
      <c r="H32" s="1"/>
      <c r="I32" s="99">
        <f t="shared" si="9"/>
        <v>-271.86486761599554</v>
      </c>
      <c r="J32" s="99">
        <f t="shared" si="10"/>
        <v>-1189.8198734003065</v>
      </c>
      <c r="K32" s="99">
        <f t="shared" si="11"/>
        <v>-2107.7748791846175</v>
      </c>
      <c r="L32" s="99">
        <f t="shared" si="12"/>
        <v>-2148.1696811737343</v>
      </c>
      <c r="M32" s="99">
        <f t="shared" si="13"/>
        <v>-2188.5644831628515</v>
      </c>
    </row>
    <row r="33" spans="2:13" ht="16">
      <c r="B33" s="1"/>
      <c r="C33" s="1"/>
      <c r="D33" s="1"/>
      <c r="E33" s="1"/>
      <c r="G33" s="420" t="s">
        <v>375</v>
      </c>
      <c r="H33" s="1"/>
      <c r="I33" s="99">
        <f t="shared" si="9"/>
        <v>512.08321600407464</v>
      </c>
      <c r="J33" s="99">
        <f t="shared" si="10"/>
        <v>794.62384927436995</v>
      </c>
      <c r="K33" s="99">
        <f t="shared" si="11"/>
        <v>1272.7308209596004</v>
      </c>
      <c r="L33" s="99">
        <f t="shared" si="12"/>
        <v>1682.2786603385782</v>
      </c>
      <c r="M33" s="99">
        <f t="shared" si="13"/>
        <v>2920.0037524741556</v>
      </c>
    </row>
    <row r="34" spans="2:13" ht="16">
      <c r="B34" s="25" t="s">
        <v>78</v>
      </c>
      <c r="C34" s="25"/>
      <c r="D34" s="25"/>
      <c r="E34" s="438">
        <f>Diluted</f>
        <v>163.4</v>
      </c>
      <c r="G34" s="420" t="s">
        <v>375</v>
      </c>
      <c r="H34" s="1"/>
      <c r="I34" s="99">
        <f t="shared" si="9"/>
        <v>515.81083095714519</v>
      </c>
      <c r="J34" s="99">
        <f t="shared" si="10"/>
        <v>1661.1464598332152</v>
      </c>
      <c r="K34" s="99">
        <f t="shared" si="11"/>
        <v>2791.4543683906286</v>
      </c>
      <c r="L34" s="99">
        <f t="shared" si="12"/>
        <v>3201.3697416544896</v>
      </c>
      <c r="M34" s="99">
        <f t="shared" si="13"/>
        <v>4137.9159603690096</v>
      </c>
    </row>
    <row r="35" spans="2:13" ht="16">
      <c r="B35" s="25"/>
      <c r="C35" s="25"/>
      <c r="D35" s="25"/>
      <c r="E35" s="25"/>
    </row>
    <row r="36" spans="2:13" ht="16">
      <c r="B36" s="439" t="s">
        <v>159</v>
      </c>
      <c r="C36" s="440"/>
      <c r="D36" s="440"/>
      <c r="E36" s="441">
        <f>E32/E34</f>
        <v>8.1235249323990377</v>
      </c>
    </row>
    <row r="37" spans="2:13" ht="16">
      <c r="B37" s="442" t="s">
        <v>160</v>
      </c>
      <c r="C37" s="443"/>
      <c r="D37" s="443"/>
      <c r="E37" s="444">
        <f>E36/Share_Price-1</f>
        <v>-0.62110424755601512</v>
      </c>
      <c r="G37" s="420"/>
      <c r="I37" s="99"/>
      <c r="J37" s="99"/>
      <c r="K37" s="99"/>
      <c r="L37" s="99"/>
      <c r="M37" s="99"/>
    </row>
    <row r="38" spans="2:13" ht="16">
      <c r="G38" s="420"/>
      <c r="I38" s="99"/>
      <c r="J38" s="99"/>
      <c r="K38" s="99"/>
      <c r="L38" s="99"/>
      <c r="M38" s="9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95AF0-DF97-46B9-A53D-9E3C36FD1435}">
  <dimension ref="A1:W48"/>
  <sheetViews>
    <sheetView showGridLines="0" zoomScale="56" workbookViewId="0"/>
  </sheetViews>
  <sheetFormatPr defaultRowHeight="14.5"/>
  <cols>
    <col min="8" max="8" width="8.81640625" bestFit="1" customWidth="1"/>
    <col min="9" max="12" width="10" bestFit="1" customWidth="1"/>
    <col min="13" max="13" width="10.81640625" bestFit="1" customWidth="1"/>
    <col min="14" max="14" width="9.453125" bestFit="1" customWidth="1"/>
    <col min="15" max="15" width="12" bestFit="1" customWidth="1"/>
    <col min="16" max="16" width="9.453125" bestFit="1" customWidth="1"/>
    <col min="17" max="17" width="9.1796875" bestFit="1" customWidth="1"/>
  </cols>
  <sheetData>
    <row r="1" spans="23:23" ht="16">
      <c r="W1" s="445" t="str">
        <f>Company_Name&amp;" Valuation - "&amp;Scenario&amp;" Case - Range of Implied Share Prices"</f>
        <v>MP Materials Corp. Valuation - Base Case - Range of Implied Share Prices</v>
      </c>
    </row>
    <row r="32" spans="8:17" ht="16">
      <c r="H32" s="446" t="s">
        <v>376</v>
      </c>
      <c r="I32" s="446" t="s">
        <v>361</v>
      </c>
      <c r="J32" s="446" t="s">
        <v>303</v>
      </c>
      <c r="K32" s="446" t="s">
        <v>360</v>
      </c>
      <c r="L32" s="446" t="s">
        <v>377</v>
      </c>
      <c r="M32" s="446" t="s">
        <v>378</v>
      </c>
      <c r="N32" s="446" t="s">
        <v>379</v>
      </c>
      <c r="O32" s="446" t="s">
        <v>380</v>
      </c>
      <c r="P32" s="446" t="s">
        <v>381</v>
      </c>
      <c r="Q32" s="446" t="s">
        <v>382</v>
      </c>
    </row>
    <row r="34" spans="1:17" ht="16">
      <c r="A34" s="7" t="s">
        <v>372</v>
      </c>
      <c r="H34" s="428">
        <f>Valsum!I22</f>
        <v>37.404453994662788</v>
      </c>
      <c r="I34" s="428">
        <f>Valsum!J22</f>
        <v>44.823949053223657</v>
      </c>
      <c r="J34" s="428">
        <f>Valsum!K22</f>
        <v>62.123612500852289</v>
      </c>
      <c r="K34" s="428">
        <f>Valsum!L22</f>
        <v>92.365062025868227</v>
      </c>
      <c r="L34" s="428">
        <f>Valsum!M22</f>
        <v>124.54773053290266</v>
      </c>
      <c r="M34" s="447">
        <f>H34</f>
        <v>37.404453994662788</v>
      </c>
      <c r="N34" s="447">
        <f>I34-H34</f>
        <v>7.4194950585608694</v>
      </c>
      <c r="O34" s="447">
        <f>J34-I34</f>
        <v>17.299663447628632</v>
      </c>
      <c r="P34" s="447">
        <f>K34-J34</f>
        <v>30.241449525015938</v>
      </c>
      <c r="Q34" s="447">
        <f>L34-K34</f>
        <v>32.182668507034435</v>
      </c>
    </row>
    <row r="36" spans="1:17" ht="16">
      <c r="A36" s="448" t="str">
        <f>Valsum!B12</f>
        <v>LTM TEV / Revenue:</v>
      </c>
      <c r="H36" s="428">
        <f>Valsum!I12</f>
        <v>1.6225549281503142</v>
      </c>
      <c r="I36" s="428">
        <f>Valsum!J12</f>
        <v>2.4013610879397569</v>
      </c>
      <c r="J36" s="428">
        <f>Valsum!K12</f>
        <v>4.6538024025555913</v>
      </c>
      <c r="K36" s="428">
        <f>Valsum!L12</f>
        <v>7.7142339239336444</v>
      </c>
      <c r="L36" s="428">
        <f>Valsum!M12</f>
        <v>14.83095009977338</v>
      </c>
      <c r="M36" s="449">
        <f t="shared" ref="M36:M44" si="0">H36</f>
        <v>1.6225549281503142</v>
      </c>
      <c r="N36" s="449">
        <f t="shared" ref="N36:Q46" si="1">I36-H36</f>
        <v>0.77880615978944268</v>
      </c>
      <c r="O36" s="449">
        <f t="shared" si="1"/>
        <v>2.2524413146158344</v>
      </c>
      <c r="P36" s="449">
        <f t="shared" si="1"/>
        <v>3.0604315213780531</v>
      </c>
      <c r="Q36" s="449">
        <f t="shared" si="1"/>
        <v>7.1167161758397359</v>
      </c>
    </row>
    <row r="37" spans="1:17" ht="16">
      <c r="A37" s="448" t="str">
        <f>Valsum!B13</f>
        <v>CY 25 TEV / Revenue:</v>
      </c>
      <c r="H37" s="428">
        <f>Valsum!I13</f>
        <v>4.1028854418459808</v>
      </c>
      <c r="I37" s="428">
        <f>Valsum!J13</f>
        <v>5.7908036233883466</v>
      </c>
      <c r="J37" s="428">
        <f>Valsum!K13</f>
        <v>7.1760288139670134</v>
      </c>
      <c r="K37" s="428">
        <f>Valsum!L13</f>
        <v>11.602136609719087</v>
      </c>
      <c r="L37" s="428">
        <f>Valsum!M13</f>
        <v>30.147229758674008</v>
      </c>
      <c r="M37" s="449">
        <f t="shared" si="0"/>
        <v>4.1028854418459808</v>
      </c>
      <c r="N37" s="449">
        <f t="shared" si="1"/>
        <v>1.6879181815423658</v>
      </c>
      <c r="O37" s="449">
        <f t="shared" si="1"/>
        <v>1.3852251905786668</v>
      </c>
      <c r="P37" s="449">
        <f t="shared" si="1"/>
        <v>4.426107795752074</v>
      </c>
      <c r="Q37" s="449">
        <f t="shared" si="1"/>
        <v>18.545093148954919</v>
      </c>
    </row>
    <row r="38" spans="1:17" ht="16">
      <c r="A38" s="448" t="str">
        <f>Valsum!B14</f>
        <v>CY 26 TEV / Revenue:</v>
      </c>
      <c r="H38" s="428">
        <f>Valsum!I14</f>
        <v>4.3042616822402007</v>
      </c>
      <c r="I38" s="428">
        <f>Valsum!J14</f>
        <v>6.8969106297671541</v>
      </c>
      <c r="J38" s="428">
        <f>Valsum!K14</f>
        <v>8.1235249323990359</v>
      </c>
      <c r="K38" s="428">
        <f>Valsum!L14</f>
        <v>13.805602828073049</v>
      </c>
      <c r="L38" s="428">
        <f>Valsum!M14</f>
        <v>21.785856376308992</v>
      </c>
      <c r="M38" s="449">
        <f t="shared" si="0"/>
        <v>4.3042616822402007</v>
      </c>
      <c r="N38" s="449">
        <f t="shared" si="1"/>
        <v>2.5926489475269534</v>
      </c>
      <c r="O38" s="449">
        <f t="shared" si="1"/>
        <v>1.2266143026318819</v>
      </c>
      <c r="P38" s="449">
        <f t="shared" si="1"/>
        <v>5.6820778956740128</v>
      </c>
      <c r="Q38" s="449">
        <f t="shared" si="1"/>
        <v>7.9802535482359431</v>
      </c>
    </row>
    <row r="39" spans="1:17" ht="16">
      <c r="A39" s="448" t="str">
        <f>Valsum!B15</f>
        <v>LTM TEV / EBITDA:</v>
      </c>
      <c r="H39" s="428">
        <f>Valsum!I15</f>
        <v>14.597594482392482</v>
      </c>
      <c r="I39" s="428">
        <f>Valsum!J15</f>
        <v>17.402832956579005</v>
      </c>
      <c r="J39" s="428">
        <f>Valsum!K15</f>
        <v>27.187780018403821</v>
      </c>
      <c r="K39" s="428">
        <f>Valsum!L15</f>
        <v>38.665404226565265</v>
      </c>
      <c r="L39" s="428">
        <f>Valsum!M15</f>
        <v>96.739015453833815</v>
      </c>
      <c r="M39" s="449">
        <f t="shared" si="0"/>
        <v>14.597594482392482</v>
      </c>
      <c r="N39" s="449">
        <f t="shared" si="1"/>
        <v>2.8052384741865222</v>
      </c>
      <c r="O39" s="449">
        <f t="shared" si="1"/>
        <v>9.7849470618248162</v>
      </c>
      <c r="P39" s="449">
        <f t="shared" si="1"/>
        <v>11.477624208161444</v>
      </c>
      <c r="Q39" s="449">
        <f t="shared" si="1"/>
        <v>58.07361122726855</v>
      </c>
    </row>
    <row r="40" spans="1:17" ht="16">
      <c r="A40" s="448" t="str">
        <f>Valsum!B16</f>
        <v>CY 25 TEV / EBITDA:</v>
      </c>
      <c r="H40" s="428">
        <f>Valsum!I16</f>
        <v>2.74001791750521</v>
      </c>
      <c r="I40" s="428">
        <f>Valsum!J16</f>
        <v>7.2250619007885541</v>
      </c>
      <c r="J40" s="428">
        <f>Valsum!K16</f>
        <v>10.897260622484039</v>
      </c>
      <c r="K40" s="428">
        <f>Valsum!L16</f>
        <v>19.12082140958594</v>
      </c>
      <c r="L40" s="428">
        <f>Valsum!M16</f>
        <v>36.133208524896986</v>
      </c>
      <c r="M40" s="449">
        <f t="shared" si="0"/>
        <v>2.74001791750521</v>
      </c>
      <c r="N40" s="449">
        <f t="shared" si="1"/>
        <v>4.4850439832833437</v>
      </c>
      <c r="O40" s="449">
        <f t="shared" si="1"/>
        <v>3.6721987216954846</v>
      </c>
      <c r="P40" s="449">
        <f t="shared" si="1"/>
        <v>8.223560787101901</v>
      </c>
      <c r="Q40" s="449">
        <f t="shared" si="1"/>
        <v>17.012387115311046</v>
      </c>
    </row>
    <row r="41" spans="1:17" ht="16">
      <c r="A41" s="448" t="str">
        <f>Valsum!B17</f>
        <v>CY 26 TEV / EBITDA:</v>
      </c>
      <c r="H41" s="428">
        <f>Valsum!I17</f>
        <v>2.6691660917716766</v>
      </c>
      <c r="I41" s="428">
        <f>Valsum!J17</f>
        <v>10.836225300875032</v>
      </c>
      <c r="J41" s="428">
        <f>Valsum!K17</f>
        <v>16.348991931855643</v>
      </c>
      <c r="K41" s="428">
        <f>Valsum!L17</f>
        <v>19.259898853824073</v>
      </c>
      <c r="L41" s="428">
        <f>Valsum!M17</f>
        <v>24.592637181106923</v>
      </c>
      <c r="M41" s="449">
        <f t="shared" si="0"/>
        <v>2.6691660917716766</v>
      </c>
      <c r="N41" s="449">
        <f t="shared" si="1"/>
        <v>8.1670592091033551</v>
      </c>
      <c r="O41" s="449">
        <f t="shared" si="1"/>
        <v>5.5127666309806109</v>
      </c>
      <c r="P41" s="449">
        <f t="shared" si="1"/>
        <v>2.9109069219684294</v>
      </c>
      <c r="Q41" s="449">
        <f t="shared" si="1"/>
        <v>5.3327383272828506</v>
      </c>
    </row>
    <row r="42" spans="1:17" ht="16">
      <c r="A42" s="448" t="str">
        <f>Valsum!B18</f>
        <v>LTM P / E:</v>
      </c>
      <c r="H42" s="428">
        <f>Valsum!I18</f>
        <v>-2.01790616656056</v>
      </c>
      <c r="I42" s="428">
        <f>Valsum!J18</f>
        <v>-7.6357458592430021</v>
      </c>
      <c r="J42" s="428">
        <f>Valsum!K18</f>
        <v>-13.253585551925442</v>
      </c>
      <c r="K42" s="428">
        <f>Valsum!L18</f>
        <v>-13.500799762385153</v>
      </c>
      <c r="L42" s="428">
        <f>Valsum!M18</f>
        <v>-13.748013972844868</v>
      </c>
      <c r="M42" s="449">
        <f t="shared" si="0"/>
        <v>-2.01790616656056</v>
      </c>
      <c r="N42" s="449">
        <f t="shared" si="1"/>
        <v>-5.6178396926824421</v>
      </c>
      <c r="O42" s="449">
        <f t="shared" si="1"/>
        <v>-5.6178396926824394</v>
      </c>
      <c r="P42" s="449">
        <f t="shared" si="1"/>
        <v>-0.24721421045971148</v>
      </c>
      <c r="Q42" s="449">
        <f t="shared" si="1"/>
        <v>-0.24721421045971503</v>
      </c>
    </row>
    <row r="43" spans="1:17" ht="16">
      <c r="A43" s="448" t="str">
        <f>Valsum!B19</f>
        <v>CY 25 P / E:</v>
      </c>
      <c r="H43" s="428">
        <f>Valsum!I19</f>
        <v>2.7798177234031494</v>
      </c>
      <c r="I43" s="428">
        <f>Valsum!J19</f>
        <v>4.5089525659386167</v>
      </c>
      <c r="J43" s="428">
        <f>Valsum!K19</f>
        <v>7.4349438247221569</v>
      </c>
      <c r="K43" s="428">
        <f>Valsum!L19</f>
        <v>9.9413565504196946</v>
      </c>
      <c r="L43" s="428">
        <f>Valsum!M19</f>
        <v>17.516173515753707</v>
      </c>
      <c r="M43" s="449">
        <f t="shared" si="0"/>
        <v>2.7798177234031494</v>
      </c>
      <c r="N43" s="449">
        <f t="shared" si="1"/>
        <v>1.7291348425354673</v>
      </c>
      <c r="O43" s="449">
        <f t="shared" si="1"/>
        <v>2.9259912587835402</v>
      </c>
      <c r="P43" s="449">
        <f t="shared" si="1"/>
        <v>2.5064127256975377</v>
      </c>
      <c r="Q43" s="449">
        <f t="shared" si="1"/>
        <v>7.5748169653340121</v>
      </c>
    </row>
    <row r="44" spans="1:17" ht="16">
      <c r="A44" s="448" t="str">
        <f>Valsum!B20</f>
        <v>CY 26 P / E:</v>
      </c>
      <c r="H44" s="428">
        <f>Valsum!I20</f>
        <v>2.8026305444133732</v>
      </c>
      <c r="I44" s="428">
        <f>Valsum!J20</f>
        <v>9.8120285179511324</v>
      </c>
      <c r="J44" s="428">
        <f>Valsum!K20</f>
        <v>16.729457578890017</v>
      </c>
      <c r="K44" s="428">
        <f>Valsum!L20</f>
        <v>19.238119593968726</v>
      </c>
      <c r="L44" s="428">
        <f>Valsum!M20</f>
        <v>24.969736599565543</v>
      </c>
      <c r="M44" s="449">
        <f t="shared" si="0"/>
        <v>2.8026305444133732</v>
      </c>
      <c r="N44" s="449">
        <f t="shared" si="1"/>
        <v>7.0093979735377587</v>
      </c>
      <c r="O44" s="449">
        <f t="shared" si="1"/>
        <v>6.9174290609388844</v>
      </c>
      <c r="P44" s="449">
        <f t="shared" si="1"/>
        <v>2.5086620150787091</v>
      </c>
      <c r="Q44" s="449">
        <f t="shared" si="1"/>
        <v>5.7316170055968172</v>
      </c>
    </row>
    <row r="45" spans="1:17" ht="16">
      <c r="A45" s="445"/>
      <c r="M45" s="449"/>
      <c r="N45" s="449"/>
      <c r="O45" s="449"/>
      <c r="P45" s="449"/>
      <c r="Q45" s="449"/>
    </row>
    <row r="46" spans="1:17" ht="16">
      <c r="A46" s="445" t="s">
        <v>383</v>
      </c>
      <c r="H46" s="428">
        <f>Share_Price</f>
        <v>21.44</v>
      </c>
      <c r="I46" s="428">
        <f>Share_Price</f>
        <v>21.44</v>
      </c>
      <c r="J46" s="428">
        <f>Share_Price</f>
        <v>21.44</v>
      </c>
      <c r="K46" s="428">
        <f>Share_Price</f>
        <v>21.44</v>
      </c>
      <c r="L46" s="428">
        <f>Share_Price</f>
        <v>21.44</v>
      </c>
      <c r="M46" s="449">
        <v>1000</v>
      </c>
      <c r="N46" s="449">
        <v>0</v>
      </c>
      <c r="O46" s="449">
        <f t="shared" si="1"/>
        <v>0</v>
      </c>
      <c r="P46" s="449">
        <f t="shared" si="1"/>
        <v>0</v>
      </c>
      <c r="Q46" s="449">
        <f t="shared" si="1"/>
        <v>0</v>
      </c>
    </row>
    <row r="48" spans="1:17" ht="16">
      <c r="A48" s="445"/>
      <c r="J48" s="449"/>
      <c r="L48" s="447">
        <f>AVERAGE(L34:L46)</f>
        <v>36.268593097270099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23</vt:i4>
      </vt:variant>
    </vt:vector>
  </HeadingPairs>
  <TitlesOfParts>
    <vt:vector size="35" baseType="lpstr">
      <vt:lpstr>Cover</vt:lpstr>
      <vt:lpstr>Summary</vt:lpstr>
      <vt:lpstr>Graphs</vt:lpstr>
      <vt:lpstr>Model</vt:lpstr>
      <vt:lpstr>Drivers</vt:lpstr>
      <vt:lpstr>DCF</vt:lpstr>
      <vt:lpstr>Wacc</vt:lpstr>
      <vt:lpstr>Valsum</vt:lpstr>
      <vt:lpstr>ValGraph</vt:lpstr>
      <vt:lpstr>PubComps</vt:lpstr>
      <vt:lpstr>PubComps_Data</vt:lpstr>
      <vt:lpstr>PPT</vt:lpstr>
      <vt:lpstr>Company_Name</vt:lpstr>
      <vt:lpstr>Cost_of_Debt</vt:lpstr>
      <vt:lpstr>Cost_of_Preferred</vt:lpstr>
      <vt:lpstr>Diluted</vt:lpstr>
      <vt:lpstr>Discount_Rate</vt:lpstr>
      <vt:lpstr>Equity_Risk_Premium</vt:lpstr>
      <vt:lpstr>Forward_Year_1</vt:lpstr>
      <vt:lpstr>Forward_Year_2</vt:lpstr>
      <vt:lpstr>Forward_Year_3</vt:lpstr>
      <vt:lpstr>Hist_Year</vt:lpstr>
      <vt:lpstr>LTM</vt:lpstr>
      <vt:lpstr>Premium_Case</vt:lpstr>
      <vt:lpstr>Premium_Uplift</vt:lpstr>
      <vt:lpstr>Pub_Comps_Params</vt:lpstr>
      <vt:lpstr>Pub_Comps_Range</vt:lpstr>
      <vt:lpstr>Pub_Comps_Tickers</vt:lpstr>
      <vt:lpstr>Risk_Free_Rate</vt:lpstr>
      <vt:lpstr>Scenario</vt:lpstr>
      <vt:lpstr>Share_Price</vt:lpstr>
      <vt:lpstr>Tax_Rate</vt:lpstr>
      <vt:lpstr>Terminal_Growth_Rate</vt:lpstr>
      <vt:lpstr>Ticker</vt:lpstr>
      <vt:lpstr>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Rentrop</dc:creator>
  <cp:lastModifiedBy>glenn Rentrop</cp:lastModifiedBy>
  <dcterms:created xsi:type="dcterms:W3CDTF">2025-04-15T22:39:50Z</dcterms:created>
  <dcterms:modified xsi:type="dcterms:W3CDTF">2025-10-15T15:14:24Z</dcterms:modified>
</cp:coreProperties>
</file>