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59063f627c2eb15/Documents/"/>
    </mc:Choice>
  </mc:AlternateContent>
  <xr:revisionPtr revIDLastSave="1" documentId="8_{C1ED80C8-0ED1-40D0-8B86-5101AE6435ED}" xr6:coauthVersionLast="47" xr6:coauthVersionMax="47" xr10:uidLastSave="{086389A7-8D44-4B91-83D2-E84201FD4090}"/>
  <bookViews>
    <workbookView xWindow="-110" yWindow="-110" windowWidth="19420" windowHeight="11500" activeTab="6" xr2:uid="{88E04796-31A1-466F-B577-26D8D3FC0614}"/>
  </bookViews>
  <sheets>
    <sheet name="Cover" sheetId="13" r:id="rId1"/>
    <sheet name="Summary" sheetId="12" r:id="rId2"/>
    <sheet name="Graphs" sheetId="11" r:id="rId3"/>
    <sheet name="Model" sheetId="1" r:id="rId4"/>
    <sheet name="Q3" sheetId="14" r:id="rId5"/>
    <sheet name="Debt" sheetId="3" r:id="rId6"/>
    <sheet name="DCF" sheetId="4" r:id="rId7"/>
    <sheet name="WACC" sheetId="9" r:id="rId8"/>
    <sheet name="ValSum" sheetId="8" r:id="rId9"/>
    <sheet name="ValGraph" sheetId="10" r:id="rId10"/>
    <sheet name="PubComps" sheetId="6" r:id="rId11"/>
    <sheet name="PubCompsData" sheetId="5" r:id="rId12"/>
    <sheet name="MAComps" sheetId="7" r:id="rId13"/>
  </sheets>
  <externalReferences>
    <externalReference r:id="rId14"/>
    <externalReference r:id="rId15"/>
    <externalReference r:id="rId16"/>
  </externalReferences>
  <definedNames>
    <definedName name="Company_Name">Model!$G$5</definedName>
    <definedName name="Cost_of_Debt">WACC!$F$8</definedName>
    <definedName name="Cost_of_Preferred">WACC!$F$9</definedName>
    <definedName name="DilutedShares">Model!$G$8</definedName>
    <definedName name="Discount_Rate">DCF!$G$13</definedName>
    <definedName name="Equity_Risk_Premium">WACC!$F$7</definedName>
    <definedName name="Forward_Year_1">Model!$N$12</definedName>
    <definedName name="Forward_Year_2">Model!$N$13</definedName>
    <definedName name="Forward_Year_3">Model!$N$14</definedName>
    <definedName name="Hist_Year">Model!$N$5</definedName>
    <definedName name="LTM">Model!$N$11</definedName>
    <definedName name="Model_Paramas">Model!$C$78:$C$195</definedName>
    <definedName name="Model_Range">Model!$C$78:$W$195</definedName>
    <definedName name="Model_Years">Model!$C$78:$W$78</definedName>
    <definedName name="Next_Year">Model!$N$6</definedName>
    <definedName name="Pub_Comps_Params">PubCompsData!$C$3:$C$102</definedName>
    <definedName name="Pub_Comps_Range">PubCompsData!$C$3:$AG$102</definedName>
    <definedName name="Pub_Comps_Tickers">PubCompsData!$C$3:$AG$3</definedName>
    <definedName name="Risk_Free_Rate">WACC!$F$6</definedName>
    <definedName name="Scenario">DCF!$G$6</definedName>
    <definedName name="Share_Price">Model!$G$7</definedName>
    <definedName name="Tax_Rate">Model!$G$10</definedName>
    <definedName name="Terminal_Growth_Rate">DCF!$Q$13</definedName>
    <definedName name="Terminal_Multiple">DCF!$L$13</definedName>
    <definedName name="Ticker">Model!$G$6</definedName>
    <definedName name="Units">Model!$G$13</definedName>
    <definedName name="Valuation_Date">Model!$N$8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3" i="4" l="1"/>
  <c r="E26" i="8" l="1"/>
  <c r="A44" i="10" l="1"/>
  <c r="A47" i="10"/>
  <c r="A50" i="10"/>
  <c r="H36" i="10"/>
  <c r="M36" i="10" s="1"/>
  <c r="I36" i="10"/>
  <c r="N36" i="10" s="1"/>
  <c r="J36" i="10"/>
  <c r="O36" i="10" s="1"/>
  <c r="K36" i="10"/>
  <c r="L36" i="10"/>
  <c r="H37" i="10"/>
  <c r="M37" i="10" s="1"/>
  <c r="I37" i="10"/>
  <c r="J37" i="10"/>
  <c r="K37" i="10"/>
  <c r="P37" i="10" s="1"/>
  <c r="L37" i="10"/>
  <c r="H38" i="10"/>
  <c r="M38" i="10" s="1"/>
  <c r="I38" i="10"/>
  <c r="N38" i="10" s="1"/>
  <c r="J38" i="10"/>
  <c r="K38" i="10"/>
  <c r="L38" i="10"/>
  <c r="O38" i="10"/>
  <c r="P38" i="10"/>
  <c r="Q38" i="10"/>
  <c r="B6" i="7"/>
  <c r="O37" i="10"/>
  <c r="I15" i="14"/>
  <c r="I9" i="14"/>
  <c r="B3" i="14"/>
  <c r="I21" i="14"/>
  <c r="I11" i="14"/>
  <c r="B4" i="14"/>
  <c r="D15" i="13"/>
  <c r="D14" i="13"/>
  <c r="D10" i="13"/>
  <c r="B2" i="13"/>
  <c r="Q54" i="11"/>
  <c r="Q56" i="11"/>
  <c r="Q52" i="11"/>
  <c r="B2" i="11"/>
  <c r="G12" i="12"/>
  <c r="H12" i="12"/>
  <c r="I12" i="12"/>
  <c r="J12" i="12"/>
  <c r="K12" i="12"/>
  <c r="F12" i="12"/>
  <c r="G10" i="12"/>
  <c r="H10" i="12"/>
  <c r="I10" i="12"/>
  <c r="J10" i="12"/>
  <c r="K10" i="12"/>
  <c r="F10" i="12"/>
  <c r="G8" i="12"/>
  <c r="H8" i="12"/>
  <c r="I8" i="12"/>
  <c r="J8" i="12"/>
  <c r="K8" i="12"/>
  <c r="F8" i="12"/>
  <c r="G6" i="12"/>
  <c r="H6" i="12"/>
  <c r="I6" i="12"/>
  <c r="J6" i="12"/>
  <c r="K6" i="12"/>
  <c r="F6" i="12"/>
  <c r="B12" i="12"/>
  <c r="B10" i="12"/>
  <c r="B8" i="12"/>
  <c r="B6" i="12"/>
  <c r="B43" i="12"/>
  <c r="L3" i="12"/>
  <c r="J41" i="12" s="1"/>
  <c r="M3" i="12"/>
  <c r="K41" i="12" s="1"/>
  <c r="N3" i="12"/>
  <c r="L41" i="12" s="1"/>
  <c r="O3" i="12"/>
  <c r="P3" i="12"/>
  <c r="F3" i="12"/>
  <c r="B53" i="12"/>
  <c r="B50" i="12"/>
  <c r="B48" i="12"/>
  <c r="B45" i="12"/>
  <c r="D41" i="12"/>
  <c r="J40" i="12"/>
  <c r="D3" i="12"/>
  <c r="J2" i="12"/>
  <c r="F2" i="12"/>
  <c r="U43" i="11"/>
  <c r="R43" i="11"/>
  <c r="AB48" i="11"/>
  <c r="Y48" i="11"/>
  <c r="V48" i="11"/>
  <c r="S48" i="11"/>
  <c r="AB47" i="11"/>
  <c r="Y47" i="11"/>
  <c r="V47" i="11"/>
  <c r="S47" i="11"/>
  <c r="AB46" i="11"/>
  <c r="Y46" i="11"/>
  <c r="V46" i="11"/>
  <c r="S46" i="11"/>
  <c r="AB45" i="11"/>
  <c r="Y45" i="11"/>
  <c r="V45" i="11"/>
  <c r="S45" i="11"/>
  <c r="AB44" i="11"/>
  <c r="Y44" i="11"/>
  <c r="V44" i="11"/>
  <c r="S44" i="11"/>
  <c r="AB43" i="11"/>
  <c r="Y43" i="11"/>
  <c r="V43" i="11"/>
  <c r="B27" i="13"/>
  <c r="B29" i="13"/>
  <c r="B32" i="13"/>
  <c r="B24" i="13"/>
  <c r="B25" i="13"/>
  <c r="B31" i="13"/>
  <c r="B23" i="13"/>
  <c r="B30" i="13"/>
  <c r="B22" i="13"/>
  <c r="B28" i="13"/>
  <c r="B26" i="13"/>
  <c r="Q36" i="10" l="1"/>
  <c r="Q37" i="10"/>
  <c r="P36" i="10"/>
  <c r="N37" i="10"/>
  <c r="I29" i="14"/>
  <c r="I33" i="14" s="1"/>
  <c r="N41" i="12"/>
  <c r="M41" i="12"/>
  <c r="M22" i="8"/>
  <c r="L22" i="8"/>
  <c r="K22" i="8"/>
  <c r="J22" i="8"/>
  <c r="I22" i="8"/>
  <c r="A36" i="10"/>
  <c r="A34" i="10"/>
  <c r="B2" i="8"/>
  <c r="B5" i="8"/>
  <c r="W1" i="10"/>
  <c r="B32" i="8"/>
  <c r="B31" i="8"/>
  <c r="B30" i="8"/>
  <c r="B29" i="8"/>
  <c r="B28" i="8"/>
  <c r="B27" i="8"/>
  <c r="B26" i="8"/>
  <c r="B25" i="8"/>
  <c r="G91" i="4"/>
  <c r="H91" i="4" s="1"/>
  <c r="I91" i="4" s="1"/>
  <c r="J91" i="4" s="1"/>
  <c r="K91" i="4" s="1"/>
  <c r="L91" i="4" s="1"/>
  <c r="M91" i="4" s="1"/>
  <c r="N91" i="4" s="1"/>
  <c r="O91" i="4" s="1"/>
  <c r="P91" i="4" s="1"/>
  <c r="G76" i="4"/>
  <c r="H76" i="4" s="1"/>
  <c r="I76" i="4" s="1"/>
  <c r="J76" i="4" s="1"/>
  <c r="K76" i="4" s="1"/>
  <c r="L76" i="4" s="1"/>
  <c r="M76" i="4" s="1"/>
  <c r="N76" i="4" s="1"/>
  <c r="O76" i="4" s="1"/>
  <c r="P76" i="4" s="1"/>
  <c r="K34" i="10" l="1"/>
  <c r="H34" i="10"/>
  <c r="M34" i="10" s="1"/>
  <c r="I34" i="10"/>
  <c r="J34" i="10"/>
  <c r="L34" i="10"/>
  <c r="O34" i="10" l="1"/>
  <c r="N34" i="10"/>
  <c r="Q34" i="10"/>
  <c r="P34" i="10"/>
  <c r="G23" i="4"/>
  <c r="E27" i="8" s="1"/>
  <c r="G21" i="4"/>
  <c r="E25" i="8" s="1"/>
  <c r="Q5" i="6"/>
  <c r="I16" i="9" l="1"/>
  <c r="K16" i="9"/>
  <c r="D17" i="9"/>
  <c r="E17" i="9"/>
  <c r="G17" i="9"/>
  <c r="I17" i="9"/>
  <c r="K17" i="9"/>
  <c r="D18" i="9"/>
  <c r="E18" i="9"/>
  <c r="G18" i="9"/>
  <c r="I18" i="9"/>
  <c r="G19" i="9"/>
  <c r="I19" i="9"/>
  <c r="K19" i="9"/>
  <c r="E15" i="9"/>
  <c r="G15" i="9"/>
  <c r="K15" i="9"/>
  <c r="D15" i="9"/>
  <c r="B15" i="9"/>
  <c r="B16" i="9"/>
  <c r="B17" i="9"/>
  <c r="B18" i="9"/>
  <c r="B24" i="9"/>
  <c r="C15" i="9" a="1"/>
  <c r="C15" i="9" s="1"/>
  <c r="B26" i="9"/>
  <c r="C24" i="9"/>
  <c r="I24" i="9" s="1"/>
  <c r="B3" i="9"/>
  <c r="B2" i="9"/>
  <c r="D22" i="6"/>
  <c r="G7" i="1"/>
  <c r="G9" i="4" s="1"/>
  <c r="G8" i="1"/>
  <c r="E34" i="8" s="1"/>
  <c r="B20" i="8"/>
  <c r="A42" i="10" s="1"/>
  <c r="B19" i="8"/>
  <c r="A43" i="10" s="1"/>
  <c r="B17" i="8"/>
  <c r="A45" i="10" s="1"/>
  <c r="B16" i="8"/>
  <c r="A46" i="10" s="1"/>
  <c r="B14" i="8"/>
  <c r="A48" i="10" s="1"/>
  <c r="B13" i="8"/>
  <c r="A49" i="10" s="1"/>
  <c r="F22" i="7"/>
  <c r="F21" i="7"/>
  <c r="G20" i="7"/>
  <c r="F20" i="7"/>
  <c r="E20" i="7"/>
  <c r="F19" i="7"/>
  <c r="E19" i="7"/>
  <c r="F18" i="7"/>
  <c r="P15" i="7"/>
  <c r="O15" i="7"/>
  <c r="N15" i="7"/>
  <c r="H15" i="7"/>
  <c r="G15" i="7"/>
  <c r="G21" i="7" s="1"/>
  <c r="P14" i="7"/>
  <c r="O14" i="7"/>
  <c r="N14" i="7"/>
  <c r="I14" i="7"/>
  <c r="H14" i="7"/>
  <c r="P13" i="7"/>
  <c r="O13" i="7"/>
  <c r="N13" i="7"/>
  <c r="I13" i="7"/>
  <c r="H13" i="7"/>
  <c r="P12" i="7"/>
  <c r="P22" i="7" s="1"/>
  <c r="O12" i="7"/>
  <c r="O20" i="7" s="1"/>
  <c r="N12" i="7"/>
  <c r="I12" i="7"/>
  <c r="H12" i="7"/>
  <c r="P11" i="7"/>
  <c r="O11" i="7"/>
  <c r="N11" i="7"/>
  <c r="E11" i="7"/>
  <c r="E21" i="7" s="1"/>
  <c r="B4" i="7"/>
  <c r="C41" i="6"/>
  <c r="M32" i="6"/>
  <c r="F32" i="6"/>
  <c r="D32" i="6"/>
  <c r="B32" i="6"/>
  <c r="M31" i="6"/>
  <c r="F31" i="6"/>
  <c r="D31" i="6"/>
  <c r="B31" i="6"/>
  <c r="M30" i="6"/>
  <c r="F30" i="6"/>
  <c r="D30" i="6"/>
  <c r="B30" i="6"/>
  <c r="M29" i="6"/>
  <c r="F29" i="6"/>
  <c r="D29" i="6"/>
  <c r="B29" i="6"/>
  <c r="M28" i="6"/>
  <c r="F28" i="6"/>
  <c r="D28" i="6"/>
  <c r="B28" i="6"/>
  <c r="U27" i="6"/>
  <c r="T27" i="6"/>
  <c r="R27" i="6"/>
  <c r="Q27" i="6"/>
  <c r="P27" i="6"/>
  <c r="O27" i="6"/>
  <c r="N27" i="6"/>
  <c r="C22" i="6"/>
  <c r="M22" i="6" s="1"/>
  <c r="T13" i="6"/>
  <c r="Q13" i="6"/>
  <c r="N13" i="6"/>
  <c r="M13" i="6"/>
  <c r="L13" i="6"/>
  <c r="K13" i="6"/>
  <c r="J13" i="6"/>
  <c r="I13" i="6"/>
  <c r="H13" i="6"/>
  <c r="G13" i="6"/>
  <c r="F13" i="6"/>
  <c r="E13" i="6"/>
  <c r="D13" i="6"/>
  <c r="B13" i="6"/>
  <c r="T12" i="6"/>
  <c r="Q12" i="6"/>
  <c r="N12" i="6"/>
  <c r="M12" i="6"/>
  <c r="L12" i="6"/>
  <c r="K12" i="6"/>
  <c r="J12" i="6"/>
  <c r="I12" i="6"/>
  <c r="H12" i="6"/>
  <c r="G12" i="6"/>
  <c r="F12" i="6"/>
  <c r="E12" i="6"/>
  <c r="D12" i="6"/>
  <c r="B12" i="6"/>
  <c r="T11" i="6"/>
  <c r="Q11" i="6"/>
  <c r="N11" i="6"/>
  <c r="M11" i="6"/>
  <c r="L11" i="6"/>
  <c r="K11" i="6"/>
  <c r="J11" i="6"/>
  <c r="I11" i="6"/>
  <c r="H11" i="6"/>
  <c r="G11" i="6"/>
  <c r="F11" i="6"/>
  <c r="E11" i="6"/>
  <c r="D11" i="6"/>
  <c r="B11" i="6"/>
  <c r="T10" i="6"/>
  <c r="Q10" i="6"/>
  <c r="N10" i="6"/>
  <c r="M10" i="6"/>
  <c r="L10" i="6"/>
  <c r="K10" i="6"/>
  <c r="J10" i="6"/>
  <c r="I10" i="6"/>
  <c r="H10" i="6"/>
  <c r="G10" i="6"/>
  <c r="F10" i="6"/>
  <c r="E10" i="6"/>
  <c r="D10" i="6"/>
  <c r="B10" i="6"/>
  <c r="T9" i="6"/>
  <c r="Q9" i="6"/>
  <c r="N9" i="6"/>
  <c r="L9" i="6"/>
  <c r="K9" i="6"/>
  <c r="J9" i="6"/>
  <c r="I9" i="6"/>
  <c r="H9" i="6"/>
  <c r="G9" i="6"/>
  <c r="F9" i="6"/>
  <c r="D9" i="6"/>
  <c r="B9" i="6"/>
  <c r="AA8" i="6"/>
  <c r="Z8" i="6"/>
  <c r="Y8" i="6"/>
  <c r="V8" i="6"/>
  <c r="U8" i="6"/>
  <c r="T8" i="6"/>
  <c r="R8" i="6"/>
  <c r="Q8" i="6"/>
  <c r="P8" i="6"/>
  <c r="S8" i="6" s="1"/>
  <c r="J67" i="5"/>
  <c r="C94" i="5"/>
  <c r="C93" i="5"/>
  <c r="C92" i="5"/>
  <c r="M90" i="5"/>
  <c r="AG88" i="5"/>
  <c r="M88" i="5"/>
  <c r="M85" i="5"/>
  <c r="M83" i="5"/>
  <c r="M81" i="5"/>
  <c r="M79" i="5"/>
  <c r="M78" i="5"/>
  <c r="M77" i="5"/>
  <c r="AB75" i="5"/>
  <c r="W75" i="5"/>
  <c r="R75" i="5"/>
  <c r="W74" i="5"/>
  <c r="W89" i="5" s="1"/>
  <c r="R74" i="5"/>
  <c r="R89" i="5" s="1"/>
  <c r="M74" i="5"/>
  <c r="M89" i="5" s="1"/>
  <c r="W73" i="5"/>
  <c r="R73" i="5"/>
  <c r="M73" i="5"/>
  <c r="AD66" i="5"/>
  <c r="Y66" i="5"/>
  <c r="T66" i="5"/>
  <c r="O66" i="5"/>
  <c r="J66" i="5"/>
  <c r="E66" i="5"/>
  <c r="AG57" i="5"/>
  <c r="AG61" i="5" s="1"/>
  <c r="I15" i="9" s="1"/>
  <c r="AB57" i="5"/>
  <c r="AB61" i="5" s="1"/>
  <c r="W57" i="5"/>
  <c r="W61" i="5" s="1"/>
  <c r="R57" i="5"/>
  <c r="R61" i="5" s="1"/>
  <c r="M57" i="5"/>
  <c r="M61" i="5" s="1"/>
  <c r="H57" i="5"/>
  <c r="H61" i="5" s="1"/>
  <c r="AB55" i="5"/>
  <c r="W55" i="5"/>
  <c r="R55" i="5"/>
  <c r="M55" i="5"/>
  <c r="H55" i="5"/>
  <c r="G55" i="5"/>
  <c r="AG52" i="5"/>
  <c r="AB52" i="5"/>
  <c r="W52" i="5"/>
  <c r="R52" i="5"/>
  <c r="M52" i="5"/>
  <c r="H52" i="5"/>
  <c r="AG51" i="5"/>
  <c r="AB51" i="5"/>
  <c r="W51" i="5"/>
  <c r="R51" i="5"/>
  <c r="M51" i="5"/>
  <c r="H51" i="5"/>
  <c r="AG48" i="5"/>
  <c r="AB48" i="5"/>
  <c r="W48" i="5"/>
  <c r="R48" i="5"/>
  <c r="M48" i="5"/>
  <c r="H48" i="5"/>
  <c r="AG47" i="5"/>
  <c r="AB47" i="5"/>
  <c r="W47" i="5"/>
  <c r="R47" i="5"/>
  <c r="M47" i="5"/>
  <c r="H47" i="5"/>
  <c r="AG46" i="5"/>
  <c r="AB46" i="5"/>
  <c r="W46" i="5"/>
  <c r="R46" i="5"/>
  <c r="M46" i="5"/>
  <c r="H46" i="5"/>
  <c r="AG45" i="5"/>
  <c r="AB45" i="5"/>
  <c r="W45" i="5"/>
  <c r="R45" i="5"/>
  <c r="M45" i="5"/>
  <c r="H45" i="5"/>
  <c r="AG44" i="5"/>
  <c r="AB44" i="5"/>
  <c r="W44" i="5"/>
  <c r="R44" i="5"/>
  <c r="M44" i="5"/>
  <c r="H44" i="5"/>
  <c r="AG43" i="5"/>
  <c r="AB43" i="5"/>
  <c r="W43" i="5"/>
  <c r="R43" i="5"/>
  <c r="M43" i="5"/>
  <c r="H43" i="5"/>
  <c r="AG42" i="5"/>
  <c r="AB42" i="5"/>
  <c r="W42" i="5"/>
  <c r="R42" i="5"/>
  <c r="M42" i="5"/>
  <c r="H42" i="5"/>
  <c r="AG41" i="5"/>
  <c r="AB41" i="5"/>
  <c r="W41" i="5"/>
  <c r="R41" i="5"/>
  <c r="M41" i="5"/>
  <c r="H41" i="5"/>
  <c r="AG40" i="5"/>
  <c r="AB40" i="5"/>
  <c r="W40" i="5"/>
  <c r="R40" i="5"/>
  <c r="M40" i="5"/>
  <c r="H40" i="5"/>
  <c r="AF33" i="5"/>
  <c r="AG83" i="5" s="1"/>
  <c r="AE33" i="5"/>
  <c r="AG79" i="5" s="1"/>
  <c r="AD33" i="5"/>
  <c r="AG75" i="5" s="1"/>
  <c r="Y33" i="5"/>
  <c r="Z33" i="5" s="1"/>
  <c r="U33" i="5"/>
  <c r="V33" i="5" s="1"/>
  <c r="W83" i="5" s="1"/>
  <c r="T33" i="5"/>
  <c r="P33" i="5"/>
  <c r="Q33" i="5" s="1"/>
  <c r="R83" i="5" s="1"/>
  <c r="O33" i="5"/>
  <c r="L33" i="5"/>
  <c r="K33" i="5"/>
  <c r="J33" i="5"/>
  <c r="M75" i="5" s="1"/>
  <c r="E33" i="5"/>
  <c r="H75" i="5" s="1"/>
  <c r="AF32" i="5"/>
  <c r="AG82" i="5" s="1"/>
  <c r="AE32" i="5"/>
  <c r="AG78" i="5" s="1"/>
  <c r="AD32" i="5"/>
  <c r="AG74" i="5" s="1"/>
  <c r="T32" i="5"/>
  <c r="O32" i="5"/>
  <c r="L32" i="5"/>
  <c r="M82" i="5" s="1"/>
  <c r="K32" i="5"/>
  <c r="J32" i="5"/>
  <c r="AF31" i="5"/>
  <c r="AG81" i="5" s="1"/>
  <c r="AE31" i="5"/>
  <c r="AG77" i="5" s="1"/>
  <c r="AD31" i="5"/>
  <c r="AG73" i="5" s="1"/>
  <c r="Y31" i="5"/>
  <c r="Z31" i="5" s="1"/>
  <c r="U31" i="5"/>
  <c r="W77" i="5" s="1"/>
  <c r="W85" i="5" s="1"/>
  <c r="T31" i="5"/>
  <c r="P31" i="5"/>
  <c r="R77" i="5" s="1"/>
  <c r="R85" i="5" s="1"/>
  <c r="O31" i="5"/>
  <c r="L31" i="5"/>
  <c r="E31" i="5"/>
  <c r="H73" i="5" s="1"/>
  <c r="W23" i="5"/>
  <c r="AG16" i="5"/>
  <c r="AB16" i="5"/>
  <c r="W16" i="5"/>
  <c r="R16" i="5"/>
  <c r="M16" i="5"/>
  <c r="H16" i="5"/>
  <c r="AG14" i="5"/>
  <c r="R14" i="5"/>
  <c r="R88" i="5" s="1"/>
  <c r="M14" i="5"/>
  <c r="H14" i="5"/>
  <c r="H88" i="5" s="1"/>
  <c r="AG13" i="5"/>
  <c r="AB13" i="5"/>
  <c r="W13" i="5"/>
  <c r="R13" i="5"/>
  <c r="M13" i="5"/>
  <c r="H13" i="5"/>
  <c r="AG12" i="5"/>
  <c r="AB12" i="5"/>
  <c r="AB14" i="5" s="1"/>
  <c r="AB88" i="5" s="1"/>
  <c r="AA12" i="5"/>
  <c r="W12" i="5"/>
  <c r="W14" i="5" s="1"/>
  <c r="W88" i="5" s="1"/>
  <c r="V12" i="5"/>
  <c r="U12" i="5"/>
  <c r="T12" i="5"/>
  <c r="R12" i="5"/>
  <c r="Q12" i="5"/>
  <c r="H12" i="5"/>
  <c r="AG11" i="5"/>
  <c r="AB11" i="5"/>
  <c r="W11" i="5"/>
  <c r="R11" i="5"/>
  <c r="M11" i="5"/>
  <c r="H11" i="5"/>
  <c r="AB9" i="5"/>
  <c r="W9" i="5"/>
  <c r="R9" i="5"/>
  <c r="M9" i="5"/>
  <c r="H9" i="5"/>
  <c r="AG8" i="5"/>
  <c r="AB8" i="5"/>
  <c r="W8" i="5"/>
  <c r="V8" i="5"/>
  <c r="R8" i="5"/>
  <c r="M8" i="5"/>
  <c r="H8" i="5"/>
  <c r="W6" i="5"/>
  <c r="R6" i="5"/>
  <c r="M6" i="5"/>
  <c r="H6" i="5"/>
  <c r="I66" i="4"/>
  <c r="J66" i="4"/>
  <c r="K66" i="4"/>
  <c r="L66" i="4"/>
  <c r="M66" i="4"/>
  <c r="H66" i="4"/>
  <c r="I57" i="4"/>
  <c r="J57" i="4"/>
  <c r="K57" i="4"/>
  <c r="L57" i="4"/>
  <c r="M57" i="4"/>
  <c r="H57" i="4"/>
  <c r="I52" i="4"/>
  <c r="J52" i="4"/>
  <c r="K52" i="4"/>
  <c r="L52" i="4"/>
  <c r="M52" i="4"/>
  <c r="H52" i="4"/>
  <c r="O184" i="1"/>
  <c r="P184" i="1"/>
  <c r="Q184" i="1"/>
  <c r="R184" i="1"/>
  <c r="S184" i="1"/>
  <c r="T184" i="1"/>
  <c r="U184" i="1"/>
  <c r="V184" i="1"/>
  <c r="W184" i="1"/>
  <c r="N184" i="1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F18" i="3"/>
  <c r="I195" i="1"/>
  <c r="J195" i="1"/>
  <c r="K195" i="1"/>
  <c r="L195" i="1"/>
  <c r="M195" i="1"/>
  <c r="N194" i="1" s="1"/>
  <c r="H195" i="1"/>
  <c r="N187" i="1"/>
  <c r="O187" i="1" s="1"/>
  <c r="I188" i="1"/>
  <c r="L188" i="1"/>
  <c r="O67" i="1"/>
  <c r="P67" i="1" s="1"/>
  <c r="Q67" i="1" s="1"/>
  <c r="P66" i="1"/>
  <c r="Q66" i="1" s="1"/>
  <c r="R66" i="1" s="1"/>
  <c r="S66" i="1" s="1"/>
  <c r="T66" i="1" s="1"/>
  <c r="N179" i="1"/>
  <c r="O179" i="1" s="1"/>
  <c r="N178" i="1"/>
  <c r="L42" i="3"/>
  <c r="M42" i="3" s="1"/>
  <c r="Q45" i="3"/>
  <c r="R45" i="3"/>
  <c r="S45" i="3"/>
  <c r="T45" i="3"/>
  <c r="K45" i="3"/>
  <c r="J42" i="3"/>
  <c r="Q65" i="1"/>
  <c r="R65" i="1" s="1"/>
  <c r="S65" i="1" s="1"/>
  <c r="P58" i="1"/>
  <c r="Q58" i="1" s="1"/>
  <c r="P59" i="1"/>
  <c r="Q59" i="1" s="1"/>
  <c r="K4" i="3"/>
  <c r="L4" i="3"/>
  <c r="M4" i="3"/>
  <c r="N4" i="3"/>
  <c r="O4" i="3"/>
  <c r="P4" i="3"/>
  <c r="Q4" i="3"/>
  <c r="R4" i="3"/>
  <c r="S4" i="3"/>
  <c r="T4" i="3"/>
  <c r="E4" i="3"/>
  <c r="J188" i="1"/>
  <c r="K188" i="1"/>
  <c r="M188" i="1"/>
  <c r="H188" i="1"/>
  <c r="N22" i="7" l="1"/>
  <c r="O22" i="7"/>
  <c r="E22" i="7"/>
  <c r="E19" i="9"/>
  <c r="J19" i="9" s="1"/>
  <c r="G16" i="9"/>
  <c r="D19" i="9"/>
  <c r="E16" i="9"/>
  <c r="F16" i="9" s="1"/>
  <c r="N20" i="7"/>
  <c r="B19" i="9"/>
  <c r="K18" i="9"/>
  <c r="L18" i="9" s="1"/>
  <c r="D16" i="9"/>
  <c r="L16" i="9" s="1"/>
  <c r="F31" i="5"/>
  <c r="G31" i="5" s="1"/>
  <c r="H81" i="5" s="1"/>
  <c r="F33" i="5"/>
  <c r="G69" i="5" s="1"/>
  <c r="H102" i="5" s="1"/>
  <c r="E32" i="5"/>
  <c r="H74" i="5" s="1"/>
  <c r="H89" i="5" s="1"/>
  <c r="B22" i="6"/>
  <c r="G10" i="4"/>
  <c r="I52" i="10"/>
  <c r="J52" i="10"/>
  <c r="H52" i="10"/>
  <c r="K52" i="10"/>
  <c r="L52" i="10"/>
  <c r="Q52" i="10" s="1"/>
  <c r="E9" i="6"/>
  <c r="J17" i="9"/>
  <c r="J18" i="9"/>
  <c r="J15" i="9"/>
  <c r="D24" i="9"/>
  <c r="L34" i="9" s="1"/>
  <c r="E24" i="9"/>
  <c r="N22" i="6"/>
  <c r="G24" i="9"/>
  <c r="Q17" i="6"/>
  <c r="D16" i="6"/>
  <c r="H19" i="9"/>
  <c r="F19" i="9"/>
  <c r="H16" i="9"/>
  <c r="H18" i="9"/>
  <c r="F18" i="9"/>
  <c r="H15" i="9"/>
  <c r="AG85" i="5"/>
  <c r="F15" i="9"/>
  <c r="H17" i="9"/>
  <c r="AG90" i="5"/>
  <c r="F17" i="9"/>
  <c r="L15" i="9"/>
  <c r="L17" i="9"/>
  <c r="AG89" i="5"/>
  <c r="L19" i="9"/>
  <c r="F35" i="6"/>
  <c r="M37" i="6"/>
  <c r="F18" i="6"/>
  <c r="N20" i="6"/>
  <c r="T19" i="6"/>
  <c r="F39" i="6"/>
  <c r="M39" i="6"/>
  <c r="C29" i="9"/>
  <c r="AG69" i="5"/>
  <c r="AF69" i="5"/>
  <c r="AG102" i="5" s="1"/>
  <c r="AG62" i="5"/>
  <c r="AD67" i="5" s="1"/>
  <c r="AG92" i="5" s="1"/>
  <c r="AE69" i="5"/>
  <c r="AG98" i="5" s="1"/>
  <c r="AD69" i="5"/>
  <c r="AG94" i="5" s="1"/>
  <c r="G22" i="7"/>
  <c r="I11" i="7"/>
  <c r="N19" i="7"/>
  <c r="N18" i="7"/>
  <c r="N21" i="7"/>
  <c r="O18" i="7"/>
  <c r="O21" i="7"/>
  <c r="P18" i="7"/>
  <c r="P21" i="7"/>
  <c r="I15" i="7"/>
  <c r="H11" i="7"/>
  <c r="G19" i="7"/>
  <c r="P20" i="7"/>
  <c r="E18" i="7"/>
  <c r="G18" i="7"/>
  <c r="O19" i="7"/>
  <c r="P19" i="7"/>
  <c r="D17" i="6"/>
  <c r="N18" i="6"/>
  <c r="Q16" i="6"/>
  <c r="T20" i="6"/>
  <c r="F19" i="6"/>
  <c r="Q18" i="6"/>
  <c r="N16" i="6"/>
  <c r="D19" i="6"/>
  <c r="F16" i="6"/>
  <c r="F37" i="6"/>
  <c r="M41" i="6"/>
  <c r="F36" i="6"/>
  <c r="F17" i="6"/>
  <c r="N19" i="6"/>
  <c r="G22" i="6"/>
  <c r="M35" i="6"/>
  <c r="Q20" i="6"/>
  <c r="T18" i="6"/>
  <c r="H22" i="6"/>
  <c r="T22" i="6"/>
  <c r="F38" i="6"/>
  <c r="M38" i="6"/>
  <c r="F22" i="6"/>
  <c r="M36" i="6"/>
  <c r="N17" i="6"/>
  <c r="D20" i="6"/>
  <c r="I22" i="6"/>
  <c r="S27" i="6"/>
  <c r="T17" i="6"/>
  <c r="F41" i="6"/>
  <c r="E22" i="6"/>
  <c r="Q22" i="6"/>
  <c r="T16" i="6"/>
  <c r="Q19" i="6"/>
  <c r="F20" i="6"/>
  <c r="J22" i="6"/>
  <c r="D18" i="6"/>
  <c r="K22" i="6"/>
  <c r="L22" i="6"/>
  <c r="V27" i="6"/>
  <c r="B41" i="6"/>
  <c r="AB62" i="5"/>
  <c r="Z69" i="5"/>
  <c r="AB98" i="5" s="1"/>
  <c r="Y69" i="5"/>
  <c r="AB94" i="5" s="1"/>
  <c r="AA69" i="5"/>
  <c r="AB102" i="5" s="1"/>
  <c r="R69" i="5"/>
  <c r="O69" i="5"/>
  <c r="R94" i="5" s="1"/>
  <c r="R62" i="5"/>
  <c r="Q69" i="5"/>
  <c r="R102" i="5" s="1"/>
  <c r="P69" i="5"/>
  <c r="R98" i="5" s="1"/>
  <c r="T69" i="5"/>
  <c r="W94" i="5" s="1"/>
  <c r="W62" i="5"/>
  <c r="W69" i="5"/>
  <c r="V69" i="5"/>
  <c r="W102" i="5" s="1"/>
  <c r="U69" i="5"/>
  <c r="W98" i="5" s="1"/>
  <c r="Z32" i="5"/>
  <c r="AB78" i="5" s="1"/>
  <c r="AA31" i="5"/>
  <c r="AB77" i="5"/>
  <c r="AA33" i="5"/>
  <c r="AB83" i="5" s="1"/>
  <c r="AB79" i="5"/>
  <c r="H62" i="5"/>
  <c r="E69" i="5"/>
  <c r="H94" i="5" s="1"/>
  <c r="F69" i="5"/>
  <c r="H98" i="5" s="1"/>
  <c r="M62" i="5"/>
  <c r="L69" i="5"/>
  <c r="M102" i="5" s="1"/>
  <c r="K69" i="5"/>
  <c r="M98" i="5" s="1"/>
  <c r="M69" i="5"/>
  <c r="J69" i="5"/>
  <c r="M94" i="5" s="1"/>
  <c r="M92" i="5"/>
  <c r="R79" i="5"/>
  <c r="AG86" i="5"/>
  <c r="U32" i="5"/>
  <c r="W78" i="5" s="1"/>
  <c r="W79" i="5"/>
  <c r="V31" i="5"/>
  <c r="P32" i="5"/>
  <c r="R78" i="5" s="1"/>
  <c r="Y32" i="5"/>
  <c r="AB74" i="5" s="1"/>
  <c r="AB73" i="5"/>
  <c r="Q31" i="5"/>
  <c r="M86" i="5"/>
  <c r="P187" i="1"/>
  <c r="Q187" i="1" s="1"/>
  <c r="L45" i="3"/>
  <c r="M45" i="3"/>
  <c r="N42" i="3"/>
  <c r="P179" i="1"/>
  <c r="R59" i="1"/>
  <c r="R58" i="1"/>
  <c r="J16" i="9" l="1"/>
  <c r="G32" i="5"/>
  <c r="H82" i="5" s="1"/>
  <c r="F32" i="5"/>
  <c r="H78" i="5" s="1"/>
  <c r="H77" i="5"/>
  <c r="H85" i="5" s="1"/>
  <c r="G33" i="5"/>
  <c r="H79" i="5"/>
  <c r="F8" i="9"/>
  <c r="K40" i="10"/>
  <c r="P52" i="10"/>
  <c r="O52" i="10"/>
  <c r="J24" i="9"/>
  <c r="L24" i="9"/>
  <c r="D29" i="9" s="1"/>
  <c r="L29" i="9" s="1"/>
  <c r="L32" i="9" s="1"/>
  <c r="J40" i="10"/>
  <c r="AG68" i="5"/>
  <c r="M9" i="6"/>
  <c r="K22" i="9"/>
  <c r="L22" i="9"/>
  <c r="D30" i="9" s="1"/>
  <c r="F24" i="9"/>
  <c r="H24" i="9"/>
  <c r="AF68" i="5"/>
  <c r="AG101" i="5" s="1"/>
  <c r="AE67" i="5"/>
  <c r="AG96" i="5" s="1"/>
  <c r="AE68" i="5"/>
  <c r="AG97" i="5" s="1"/>
  <c r="AD68" i="5"/>
  <c r="AG93" i="5" s="1"/>
  <c r="AG67" i="5"/>
  <c r="AF67" i="5"/>
  <c r="AG100" i="5" s="1"/>
  <c r="H21" i="7"/>
  <c r="H18" i="7"/>
  <c r="H20" i="7"/>
  <c r="H22" i="7"/>
  <c r="H19" i="7"/>
  <c r="I22" i="7"/>
  <c r="I19" i="7"/>
  <c r="I20" i="7"/>
  <c r="I21" i="7"/>
  <c r="I18" i="7"/>
  <c r="AB67" i="5"/>
  <c r="AA67" i="5"/>
  <c r="AB100" i="5" s="1"/>
  <c r="AA68" i="5"/>
  <c r="AB101" i="5" s="1"/>
  <c r="Z68" i="5"/>
  <c r="AB97" i="5" s="1"/>
  <c r="Z67" i="5"/>
  <c r="AB96" i="5" s="1"/>
  <c r="Y68" i="5"/>
  <c r="AB93" i="5" s="1"/>
  <c r="Y67" i="5"/>
  <c r="AB92" i="5" s="1"/>
  <c r="U68" i="5"/>
  <c r="W97" i="5" s="1"/>
  <c r="T67" i="5"/>
  <c r="W92" i="5" s="1"/>
  <c r="U67" i="5"/>
  <c r="W96" i="5" s="1"/>
  <c r="T68" i="5"/>
  <c r="W93" i="5" s="1"/>
  <c r="W67" i="5"/>
  <c r="V68" i="5"/>
  <c r="W101" i="5" s="1"/>
  <c r="V67" i="5"/>
  <c r="W100" i="5" s="1"/>
  <c r="E67" i="5"/>
  <c r="H92" i="5" s="1"/>
  <c r="H67" i="5"/>
  <c r="G67" i="5"/>
  <c r="H100" i="5" s="1"/>
  <c r="F68" i="5"/>
  <c r="H97" i="5" s="1"/>
  <c r="F67" i="5"/>
  <c r="H96" i="5" s="1"/>
  <c r="E68" i="5"/>
  <c r="H93" i="5" s="1"/>
  <c r="Q32" i="5"/>
  <c r="R82" i="5" s="1"/>
  <c r="R81" i="5"/>
  <c r="R68" i="5"/>
  <c r="R67" i="5"/>
  <c r="Q67" i="5"/>
  <c r="R100" i="5" s="1"/>
  <c r="P68" i="5"/>
  <c r="R97" i="5" s="1"/>
  <c r="P67" i="5"/>
  <c r="R96" i="5" s="1"/>
  <c r="O67" i="5"/>
  <c r="R92" i="5" s="1"/>
  <c r="Q68" i="5"/>
  <c r="R101" i="5" s="1"/>
  <c r="O68" i="5"/>
  <c r="R93" i="5" s="1"/>
  <c r="AB89" i="5"/>
  <c r="K68" i="5"/>
  <c r="M97" i="5" s="1"/>
  <c r="K67" i="5"/>
  <c r="M96" i="5" s="1"/>
  <c r="M68" i="5"/>
  <c r="M67" i="5"/>
  <c r="J68" i="5"/>
  <c r="M93" i="5" s="1"/>
  <c r="L68" i="5"/>
  <c r="M101" i="5" s="1"/>
  <c r="L67" i="5"/>
  <c r="M100" i="5" s="1"/>
  <c r="AB85" i="5"/>
  <c r="R90" i="5"/>
  <c r="R86" i="5"/>
  <c r="AB81" i="5"/>
  <c r="AA32" i="5"/>
  <c r="AB82" i="5" s="1"/>
  <c r="W81" i="5"/>
  <c r="V32" i="5"/>
  <c r="W82" i="5" s="1"/>
  <c r="AB90" i="5"/>
  <c r="AB86" i="5"/>
  <c r="W86" i="5"/>
  <c r="W90" i="5"/>
  <c r="AB69" i="5"/>
  <c r="R187" i="1"/>
  <c r="S187" i="1" s="1"/>
  <c r="T187" i="1" s="1"/>
  <c r="N45" i="3"/>
  <c r="O42" i="3"/>
  <c r="Q179" i="1"/>
  <c r="R179" i="1" s="1"/>
  <c r="S58" i="1"/>
  <c r="S59" i="1"/>
  <c r="I39" i="10" l="1"/>
  <c r="L40" i="10"/>
  <c r="H90" i="5"/>
  <c r="H86" i="5"/>
  <c r="G68" i="5"/>
  <c r="H101" i="5" s="1"/>
  <c r="H68" i="5"/>
  <c r="J39" i="10"/>
  <c r="O39" i="10" s="1"/>
  <c r="K39" i="10"/>
  <c r="H83" i="5"/>
  <c r="H69" i="5"/>
  <c r="L39" i="10"/>
  <c r="H40" i="10"/>
  <c r="M40" i="10" s="1"/>
  <c r="I40" i="10"/>
  <c r="O40" i="10" s="1"/>
  <c r="H39" i="10"/>
  <c r="M39" i="10" s="1"/>
  <c r="P40" i="10"/>
  <c r="Q40" i="10"/>
  <c r="M18" i="6"/>
  <c r="M16" i="6"/>
  <c r="M19" i="6"/>
  <c r="M20" i="6"/>
  <c r="M17" i="6"/>
  <c r="J22" i="9"/>
  <c r="J30" i="9" s="1"/>
  <c r="I30" i="9" s="1"/>
  <c r="W68" i="5"/>
  <c r="AB68" i="5"/>
  <c r="U187" i="1"/>
  <c r="V187" i="1" s="1"/>
  <c r="W187" i="1" s="1"/>
  <c r="O45" i="3"/>
  <c r="P42" i="3"/>
  <c r="P45" i="3" s="1"/>
  <c r="S179" i="1"/>
  <c r="T179" i="1" s="1"/>
  <c r="U179" i="1" s="1"/>
  <c r="P39" i="10" l="1"/>
  <c r="Q39" i="10"/>
  <c r="N39" i="10"/>
  <c r="N40" i="10"/>
  <c r="I22" i="9"/>
  <c r="V179" i="1"/>
  <c r="W179" i="1" s="1"/>
  <c r="W41" i="1" l="1"/>
  <c r="V41" i="1"/>
  <c r="U41" i="1"/>
  <c r="T41" i="1"/>
  <c r="S41" i="1"/>
  <c r="R41" i="1"/>
  <c r="P13" i="12" s="1"/>
  <c r="Q41" i="1"/>
  <c r="O13" i="12" s="1"/>
  <c r="P41" i="1"/>
  <c r="N13" i="12" s="1"/>
  <c r="O41" i="1"/>
  <c r="M13" i="12" s="1"/>
  <c r="J43" i="1"/>
  <c r="H13" i="12" s="1"/>
  <c r="K43" i="1"/>
  <c r="I13" i="12" s="1"/>
  <c r="L43" i="1"/>
  <c r="J13" i="12" s="1"/>
  <c r="M43" i="1"/>
  <c r="K13" i="12" s="1"/>
  <c r="I43" i="1"/>
  <c r="G13" i="12" s="1"/>
  <c r="W35" i="1"/>
  <c r="V35" i="1"/>
  <c r="U35" i="1"/>
  <c r="T35" i="1"/>
  <c r="S35" i="1"/>
  <c r="R35" i="1"/>
  <c r="P11" i="12" s="1"/>
  <c r="Q35" i="1"/>
  <c r="O11" i="12" s="1"/>
  <c r="P35" i="1"/>
  <c r="N11" i="12" s="1"/>
  <c r="O35" i="1"/>
  <c r="M11" i="12" s="1"/>
  <c r="N35" i="1"/>
  <c r="W29" i="1"/>
  <c r="V29" i="1"/>
  <c r="U29" i="1"/>
  <c r="T29" i="1"/>
  <c r="S29" i="1"/>
  <c r="R29" i="1"/>
  <c r="P9" i="12" s="1"/>
  <c r="Q29" i="1"/>
  <c r="O9" i="12" s="1"/>
  <c r="P29" i="1"/>
  <c r="N9" i="12" s="1"/>
  <c r="O29" i="1"/>
  <c r="M9" i="12" s="1"/>
  <c r="N29" i="1"/>
  <c r="T23" i="1"/>
  <c r="N34" i="1" l="1"/>
  <c r="L10" i="12" s="1"/>
  <c r="L11" i="12"/>
  <c r="N28" i="1"/>
  <c r="L8" i="12" s="1"/>
  <c r="L9" i="12"/>
  <c r="G22" i="9"/>
  <c r="N43" i="1"/>
  <c r="N41" i="1" s="1"/>
  <c r="O28" i="1" l="1"/>
  <c r="M8" i="12" s="1"/>
  <c r="O34" i="1"/>
  <c r="P34" i="1" s="1"/>
  <c r="N40" i="1"/>
  <c r="L13" i="12"/>
  <c r="F22" i="9"/>
  <c r="F30" i="9" s="1"/>
  <c r="E30" i="9" s="1"/>
  <c r="L30" i="9" s="1"/>
  <c r="L33" i="9" s="1"/>
  <c r="P28" i="1" l="1"/>
  <c r="Q28" i="1" s="1"/>
  <c r="N10" i="12"/>
  <c r="Q34" i="1"/>
  <c r="O10" i="12" s="1"/>
  <c r="M10" i="12"/>
  <c r="O40" i="1"/>
  <c r="L12" i="12"/>
  <c r="E22" i="9"/>
  <c r="N8" i="12" l="1"/>
  <c r="R34" i="1"/>
  <c r="P10" i="12" s="1"/>
  <c r="R28" i="1"/>
  <c r="O8" i="12"/>
  <c r="P40" i="1"/>
  <c r="M12" i="12"/>
  <c r="D22" i="9"/>
  <c r="S34" i="1" l="1"/>
  <c r="T34" i="1" s="1"/>
  <c r="Q40" i="1"/>
  <c r="N12" i="12"/>
  <c r="S28" i="1"/>
  <c r="T28" i="1" s="1"/>
  <c r="U28" i="1" s="1"/>
  <c r="V28" i="1" s="1"/>
  <c r="W28" i="1" s="1"/>
  <c r="P8" i="12"/>
  <c r="O12" i="12" l="1"/>
  <c r="R40" i="1"/>
  <c r="U34" i="1"/>
  <c r="P12" i="12" l="1"/>
  <c r="S40" i="1"/>
  <c r="T40" i="1" s="1"/>
  <c r="U40" i="1" s="1"/>
  <c r="V40" i="1" s="1"/>
  <c r="W40" i="1" s="1"/>
  <c r="V34" i="1"/>
  <c r="W34" i="1" l="1"/>
  <c r="W23" i="1" l="1"/>
  <c r="V23" i="1"/>
  <c r="U23" i="1"/>
  <c r="S23" i="1"/>
  <c r="R23" i="1"/>
  <c r="P7" i="12" s="1"/>
  <c r="Q23" i="1"/>
  <c r="O7" i="12" s="1"/>
  <c r="P23" i="1"/>
  <c r="N7" i="12" s="1"/>
  <c r="O23" i="1"/>
  <c r="M7" i="12" s="1"/>
  <c r="N23" i="1"/>
  <c r="P24" i="1"/>
  <c r="Q24" i="1"/>
  <c r="R24" i="1"/>
  <c r="O24" i="1"/>
  <c r="J37" i="1"/>
  <c r="H11" i="12" s="1"/>
  <c r="K37" i="1"/>
  <c r="I11" i="12" s="1"/>
  <c r="L37" i="1"/>
  <c r="J11" i="12" s="1"/>
  <c r="M37" i="1"/>
  <c r="K11" i="12" s="1"/>
  <c r="I37" i="1"/>
  <c r="G11" i="12" s="1"/>
  <c r="J31" i="1"/>
  <c r="H9" i="12" s="1"/>
  <c r="K31" i="1"/>
  <c r="I9" i="12" s="1"/>
  <c r="L31" i="1"/>
  <c r="J9" i="12" s="1"/>
  <c r="M31" i="1"/>
  <c r="K9" i="12" s="1"/>
  <c r="I31" i="1"/>
  <c r="G9" i="12" s="1"/>
  <c r="J25" i="1"/>
  <c r="H7" i="12" s="1"/>
  <c r="K25" i="1"/>
  <c r="I7" i="12" s="1"/>
  <c r="L25" i="1"/>
  <c r="J7" i="12" s="1"/>
  <c r="M25" i="1"/>
  <c r="K7" i="12" s="1"/>
  <c r="I25" i="1"/>
  <c r="G7" i="12" s="1"/>
  <c r="I20" i="1"/>
  <c r="J20" i="1"/>
  <c r="K20" i="1"/>
  <c r="L20" i="1"/>
  <c r="M20" i="1"/>
  <c r="H20" i="1"/>
  <c r="G8" i="4"/>
  <c r="G7" i="4"/>
  <c r="N3" i="4"/>
  <c r="N47" i="4" s="1"/>
  <c r="O3" i="4"/>
  <c r="O47" i="4" s="1"/>
  <c r="P3" i="4"/>
  <c r="P47" i="4" s="1"/>
  <c r="Q3" i="4"/>
  <c r="Q47" i="4" s="1"/>
  <c r="R3" i="4"/>
  <c r="R47" i="4" s="1"/>
  <c r="S3" i="4"/>
  <c r="S47" i="4" s="1"/>
  <c r="T3" i="4"/>
  <c r="T47" i="4" s="1"/>
  <c r="U3" i="4"/>
  <c r="U47" i="4" s="1"/>
  <c r="V3" i="4"/>
  <c r="V47" i="4" s="1"/>
  <c r="W3" i="4"/>
  <c r="W47" i="4" s="1"/>
  <c r="H3" i="4"/>
  <c r="H47" i="4" s="1"/>
  <c r="Q38" i="4"/>
  <c r="L38" i="4"/>
  <c r="L34" i="4"/>
  <c r="Q34" i="4" s="1"/>
  <c r="L33" i="4"/>
  <c r="Q33" i="4" s="1"/>
  <c r="L32" i="4"/>
  <c r="Q32" i="4" s="1"/>
  <c r="L31" i="4"/>
  <c r="Q31" i="4" s="1"/>
  <c r="L30" i="4"/>
  <c r="Q30" i="4" s="1"/>
  <c r="L29" i="4"/>
  <c r="Q29" i="4" s="1"/>
  <c r="L28" i="4"/>
  <c r="Q28" i="4" s="1"/>
  <c r="Q13" i="4"/>
  <c r="N164" i="1"/>
  <c r="O164" i="1"/>
  <c r="P164" i="1"/>
  <c r="Q164" i="1"/>
  <c r="R164" i="1"/>
  <c r="S164" i="1"/>
  <c r="T164" i="1"/>
  <c r="U164" i="1"/>
  <c r="V164" i="1"/>
  <c r="W164" i="1"/>
  <c r="J161" i="1"/>
  <c r="K161" i="1"/>
  <c r="L161" i="1"/>
  <c r="M161" i="1"/>
  <c r="J162" i="1"/>
  <c r="K162" i="1"/>
  <c r="L162" i="1"/>
  <c r="M162" i="1"/>
  <c r="J163" i="1"/>
  <c r="K163" i="1"/>
  <c r="L163" i="1"/>
  <c r="M163" i="1"/>
  <c r="J164" i="1"/>
  <c r="K164" i="1"/>
  <c r="L164" i="1"/>
  <c r="M164" i="1"/>
  <c r="J165" i="1"/>
  <c r="K165" i="1"/>
  <c r="L165" i="1"/>
  <c r="M165" i="1"/>
  <c r="J166" i="1"/>
  <c r="K166" i="1"/>
  <c r="L166" i="1"/>
  <c r="M166" i="1"/>
  <c r="J167" i="1"/>
  <c r="K167" i="1"/>
  <c r="L167" i="1"/>
  <c r="M167" i="1"/>
  <c r="J168" i="1"/>
  <c r="K168" i="1"/>
  <c r="L168" i="1"/>
  <c r="M168" i="1"/>
  <c r="J169" i="1"/>
  <c r="K169" i="1"/>
  <c r="L169" i="1"/>
  <c r="M169" i="1"/>
  <c r="J170" i="1"/>
  <c r="K170" i="1"/>
  <c r="L170" i="1"/>
  <c r="M170" i="1"/>
  <c r="I170" i="1"/>
  <c r="I169" i="1"/>
  <c r="I168" i="1"/>
  <c r="I167" i="1"/>
  <c r="I166" i="1"/>
  <c r="I165" i="1"/>
  <c r="I164" i="1"/>
  <c r="I163" i="1"/>
  <c r="I162" i="1"/>
  <c r="I161" i="1"/>
  <c r="I157" i="1"/>
  <c r="I62" i="4" s="1"/>
  <c r="J157" i="1"/>
  <c r="J62" i="4" s="1"/>
  <c r="K157" i="1"/>
  <c r="K62" i="4" s="1"/>
  <c r="L157" i="1"/>
  <c r="L62" i="4" s="1"/>
  <c r="M157" i="1"/>
  <c r="M62" i="4" s="1"/>
  <c r="H157" i="1"/>
  <c r="H62" i="4" s="1"/>
  <c r="H193" i="1"/>
  <c r="I193" i="1"/>
  <c r="J193" i="1"/>
  <c r="K193" i="1"/>
  <c r="L193" i="1"/>
  <c r="M193" i="1"/>
  <c r="J39" i="3"/>
  <c r="I176" i="1"/>
  <c r="I180" i="1" s="1"/>
  <c r="J176" i="1"/>
  <c r="J180" i="1" s="1"/>
  <c r="K176" i="1"/>
  <c r="K180" i="1" s="1"/>
  <c r="L176" i="1"/>
  <c r="L180" i="1" s="1"/>
  <c r="M176" i="1"/>
  <c r="M180" i="1" s="1"/>
  <c r="H176" i="1"/>
  <c r="H180" i="1" s="1"/>
  <c r="H42" i="3"/>
  <c r="F42" i="3"/>
  <c r="E42" i="3"/>
  <c r="I39" i="3"/>
  <c r="H39" i="3"/>
  <c r="G39" i="3"/>
  <c r="F39" i="3"/>
  <c r="F32" i="3"/>
  <c r="G32" i="3" s="1"/>
  <c r="H32" i="3" s="1"/>
  <c r="I32" i="3" s="1"/>
  <c r="J32" i="3" s="1"/>
  <c r="K32" i="3" s="1"/>
  <c r="L32" i="3" s="1"/>
  <c r="M32" i="3" s="1"/>
  <c r="N32" i="3" s="1"/>
  <c r="O32" i="3" s="1"/>
  <c r="P32" i="3" s="1"/>
  <c r="Q32" i="3" s="1"/>
  <c r="R32" i="3" s="1"/>
  <c r="S32" i="3" s="1"/>
  <c r="T32" i="3" s="1"/>
  <c r="E16" i="3"/>
  <c r="D7" i="3"/>
  <c r="N22" i="1" l="1"/>
  <c r="O22" i="1" s="1"/>
  <c r="M6" i="12" s="1"/>
  <c r="L7" i="12"/>
  <c r="G56" i="3"/>
  <c r="I56" i="3"/>
  <c r="I42" i="3"/>
  <c r="G42" i="3"/>
  <c r="J56" i="3"/>
  <c r="F16" i="3"/>
  <c r="E56" i="3"/>
  <c r="H56" i="3"/>
  <c r="I118" i="1"/>
  <c r="J118" i="1"/>
  <c r="K118" i="1"/>
  <c r="L118" i="1"/>
  <c r="H118" i="1"/>
  <c r="M131" i="1"/>
  <c r="M137" i="1" s="1"/>
  <c r="L131" i="1"/>
  <c r="K131" i="1"/>
  <c r="J131" i="1"/>
  <c r="I131" i="1"/>
  <c r="H131" i="1"/>
  <c r="M118" i="1"/>
  <c r="K46" i="1"/>
  <c r="L46" i="1"/>
  <c r="M46" i="1"/>
  <c r="H46" i="1"/>
  <c r="H48" i="1" s="1"/>
  <c r="I18" i="1"/>
  <c r="N11" i="1"/>
  <c r="N12" i="1"/>
  <c r="H78" i="1"/>
  <c r="I3" i="1"/>
  <c r="J3" i="1" s="1"/>
  <c r="K3" i="1" s="1"/>
  <c r="L3" i="1" s="1"/>
  <c r="M3" i="1" s="1"/>
  <c r="N6" i="1"/>
  <c r="M92" i="1"/>
  <c r="M53" i="4" s="1"/>
  <c r="L92" i="1"/>
  <c r="L53" i="4" s="1"/>
  <c r="K92" i="1"/>
  <c r="K53" i="4" s="1"/>
  <c r="J92" i="1"/>
  <c r="J53" i="4" s="1"/>
  <c r="I92" i="1"/>
  <c r="I53" i="4" s="1"/>
  <c r="H92" i="1"/>
  <c r="H53" i="4" s="1"/>
  <c r="M85" i="1"/>
  <c r="L85" i="1"/>
  <c r="K85" i="1"/>
  <c r="J85" i="1"/>
  <c r="I85" i="1"/>
  <c r="H85" i="1"/>
  <c r="K44" i="4" l="1"/>
  <c r="K64" i="4" s="1"/>
  <c r="J44" i="4"/>
  <c r="J64" i="4" s="1"/>
  <c r="N20" i="1"/>
  <c r="N46" i="1" s="1"/>
  <c r="N80" i="1" s="1"/>
  <c r="L6" i="12"/>
  <c r="F18" i="12"/>
  <c r="F33" i="12"/>
  <c r="F26" i="12"/>
  <c r="F31" i="12"/>
  <c r="F17" i="12"/>
  <c r="F24" i="12"/>
  <c r="F30" i="12"/>
  <c r="F35" i="12"/>
  <c r="F34" i="12"/>
  <c r="M44" i="4"/>
  <c r="M64" i="4" s="1"/>
  <c r="F4" i="3"/>
  <c r="G3" i="12"/>
  <c r="L44" i="4"/>
  <c r="L64" i="4" s="1"/>
  <c r="I44" i="4"/>
  <c r="I64" i="4" s="1"/>
  <c r="H110" i="1"/>
  <c r="H152" i="1" s="1"/>
  <c r="N13" i="1"/>
  <c r="Q63" i="11" s="1"/>
  <c r="C89" i="5"/>
  <c r="Z5" i="6" s="1"/>
  <c r="O30" i="5"/>
  <c r="P66" i="5" s="1"/>
  <c r="Y30" i="5"/>
  <c r="Z66" i="5" s="1"/>
  <c r="E30" i="5"/>
  <c r="F66" i="5" s="1"/>
  <c r="C96" i="5"/>
  <c r="C75" i="5"/>
  <c r="U5" i="6" s="1"/>
  <c r="AD30" i="5"/>
  <c r="AE66" i="5" s="1"/>
  <c r="C74" i="5"/>
  <c r="C97" i="5"/>
  <c r="J30" i="5"/>
  <c r="K66" i="5" s="1"/>
  <c r="C98" i="5"/>
  <c r="U24" i="6" s="1"/>
  <c r="T30" i="5"/>
  <c r="U66" i="5" s="1"/>
  <c r="C73" i="5"/>
  <c r="I41" i="12"/>
  <c r="A39" i="10"/>
  <c r="A40" i="10"/>
  <c r="E35" i="3"/>
  <c r="H60" i="1"/>
  <c r="H66" i="1"/>
  <c r="G35" i="3"/>
  <c r="J66" i="1"/>
  <c r="J60" i="1"/>
  <c r="I60" i="1"/>
  <c r="I66" i="1"/>
  <c r="H35" i="3"/>
  <c r="K60" i="1"/>
  <c r="K66" i="1"/>
  <c r="J35" i="3"/>
  <c r="M60" i="1"/>
  <c r="M66" i="1"/>
  <c r="L60" i="1"/>
  <c r="L66" i="1"/>
  <c r="K80" i="1"/>
  <c r="K48" i="1"/>
  <c r="L80" i="1"/>
  <c r="L81" i="1" s="1"/>
  <c r="L48" i="1"/>
  <c r="M80" i="1"/>
  <c r="M48" i="1"/>
  <c r="P22" i="1"/>
  <c r="N6" i="12" s="1"/>
  <c r="O20" i="1"/>
  <c r="O46" i="1" s="1"/>
  <c r="O80" i="1" s="1"/>
  <c r="J18" i="1"/>
  <c r="I3" i="4"/>
  <c r="I47" i="4" s="1"/>
  <c r="M78" i="1"/>
  <c r="M110" i="1" s="1"/>
  <c r="N3" i="1"/>
  <c r="O3" i="1" s="1"/>
  <c r="P3" i="1" s="1"/>
  <c r="Q3" i="1" s="1"/>
  <c r="R3" i="1" s="1"/>
  <c r="S3" i="1" s="1"/>
  <c r="T3" i="1" s="1"/>
  <c r="U3" i="1" s="1"/>
  <c r="V3" i="1" s="1"/>
  <c r="W3" i="1" s="1"/>
  <c r="I35" i="3"/>
  <c r="G16" i="3"/>
  <c r="E17" i="3"/>
  <c r="E21" i="3" s="1"/>
  <c r="K137" i="1"/>
  <c r="L137" i="1"/>
  <c r="J137" i="1"/>
  <c r="I137" i="1"/>
  <c r="H137" i="1"/>
  <c r="M124" i="1"/>
  <c r="L124" i="1"/>
  <c r="K124" i="1"/>
  <c r="J124" i="1"/>
  <c r="H124" i="1"/>
  <c r="H80" i="1"/>
  <c r="J46" i="1"/>
  <c r="J48" i="1" s="1"/>
  <c r="K78" i="1"/>
  <c r="K110" i="1" s="1"/>
  <c r="J78" i="1"/>
  <c r="J110" i="1" s="1"/>
  <c r="I78" i="1"/>
  <c r="I110" i="1" s="1"/>
  <c r="L78" i="1"/>
  <c r="L110" i="1" s="1"/>
  <c r="Q60" i="11" l="1"/>
  <c r="Q62" i="11"/>
  <c r="Q65" i="11"/>
  <c r="Q66" i="11"/>
  <c r="Q59" i="11"/>
  <c r="N128" i="1"/>
  <c r="N166" i="1" s="1"/>
  <c r="N135" i="1"/>
  <c r="N169" i="1" s="1"/>
  <c r="N115" i="1"/>
  <c r="N161" i="1" s="1"/>
  <c r="N116" i="1"/>
  <c r="N162" i="1" s="1"/>
  <c r="N90" i="1"/>
  <c r="N89" i="1"/>
  <c r="N186" i="1"/>
  <c r="N130" i="1"/>
  <c r="N168" i="1" s="1"/>
  <c r="N49" i="4"/>
  <c r="N123" i="1"/>
  <c r="N165" i="1" s="1"/>
  <c r="F27" i="12"/>
  <c r="M81" i="1"/>
  <c r="N81" i="1"/>
  <c r="L18" i="12" s="1"/>
  <c r="M17" i="12"/>
  <c r="L17" i="12"/>
  <c r="G31" i="12"/>
  <c r="G30" i="12"/>
  <c r="G26" i="12"/>
  <c r="G24" i="12"/>
  <c r="G34" i="12"/>
  <c r="G35" i="12"/>
  <c r="O49" i="4"/>
  <c r="O81" i="1"/>
  <c r="M18" i="12" s="1"/>
  <c r="M75" i="1"/>
  <c r="M49" i="4"/>
  <c r="R24" i="6"/>
  <c r="AA33" i="11"/>
  <c r="K75" i="1"/>
  <c r="K49" i="4"/>
  <c r="R33" i="11"/>
  <c r="O5" i="6"/>
  <c r="N14" i="1"/>
  <c r="C79" i="5"/>
  <c r="V5" i="6" s="1"/>
  <c r="Z30" i="5"/>
  <c r="AA66" i="5" s="1"/>
  <c r="F30" i="5"/>
  <c r="G66" i="5" s="1"/>
  <c r="K30" i="5"/>
  <c r="L66" i="5" s="1"/>
  <c r="C102" i="5"/>
  <c r="V24" i="6" s="1"/>
  <c r="P30" i="5"/>
  <c r="Q66" i="5" s="1"/>
  <c r="AE30" i="5"/>
  <c r="AF66" i="5" s="1"/>
  <c r="C101" i="5"/>
  <c r="C78" i="5"/>
  <c r="C100" i="5"/>
  <c r="U30" i="5"/>
  <c r="V66" i="5" s="1"/>
  <c r="C77" i="5"/>
  <c r="C90" i="5"/>
  <c r="AA5" i="6" s="1"/>
  <c r="R5" i="6"/>
  <c r="U33" i="11"/>
  <c r="X33" i="11"/>
  <c r="O24" i="6"/>
  <c r="G4" i="3"/>
  <c r="H3" i="12"/>
  <c r="K86" i="1"/>
  <c r="L75" i="1"/>
  <c r="L49" i="4"/>
  <c r="L50" i="4" s="1"/>
  <c r="H75" i="1"/>
  <c r="H49" i="4"/>
  <c r="U13" i="6"/>
  <c r="U10" i="6"/>
  <c r="U12" i="6"/>
  <c r="U11" i="6"/>
  <c r="U9" i="6"/>
  <c r="U22" i="6"/>
  <c r="O185" i="1"/>
  <c r="O186" i="1"/>
  <c r="M74" i="1"/>
  <c r="L74" i="1"/>
  <c r="K74" i="1"/>
  <c r="H74" i="1"/>
  <c r="N66" i="1"/>
  <c r="O123" i="1"/>
  <c r="O135" i="1"/>
  <c r="O130" i="1"/>
  <c r="O128" i="1"/>
  <c r="O136" i="1"/>
  <c r="M65" i="1"/>
  <c r="L65" i="1"/>
  <c r="O116" i="1"/>
  <c r="O115" i="1"/>
  <c r="N60" i="1"/>
  <c r="M86" i="1"/>
  <c r="M70" i="1"/>
  <c r="M61" i="1"/>
  <c r="M69" i="1"/>
  <c r="M67" i="1"/>
  <c r="L61" i="1"/>
  <c r="L70" i="1"/>
  <c r="L69" i="1"/>
  <c r="L67" i="1"/>
  <c r="H58" i="1"/>
  <c r="H70" i="1"/>
  <c r="H69" i="1"/>
  <c r="H67" i="1"/>
  <c r="H61" i="1"/>
  <c r="H65" i="1"/>
  <c r="K61" i="1"/>
  <c r="K69" i="1"/>
  <c r="K67" i="1"/>
  <c r="K70" i="1"/>
  <c r="K65" i="1"/>
  <c r="L86" i="1"/>
  <c r="M152" i="1"/>
  <c r="M59" i="1"/>
  <c r="M58" i="1"/>
  <c r="H59" i="1"/>
  <c r="J152" i="1"/>
  <c r="K152" i="1"/>
  <c r="K59" i="1"/>
  <c r="K58" i="1"/>
  <c r="L152" i="1"/>
  <c r="L59" i="1"/>
  <c r="L58" i="1"/>
  <c r="I152" i="1"/>
  <c r="O89" i="1"/>
  <c r="O83" i="1"/>
  <c r="O90" i="1"/>
  <c r="M51" i="1"/>
  <c r="M50" i="1"/>
  <c r="H86" i="1"/>
  <c r="H87" i="1" s="1"/>
  <c r="F21" i="12" s="1"/>
  <c r="H51" i="1"/>
  <c r="H50" i="1"/>
  <c r="L51" i="1"/>
  <c r="L50" i="1"/>
  <c r="K51" i="1"/>
  <c r="K50" i="1"/>
  <c r="Q22" i="1"/>
  <c r="O6" i="12" s="1"/>
  <c r="P20" i="1"/>
  <c r="P46" i="1" s="1"/>
  <c r="P80" i="1" s="1"/>
  <c r="N17" i="12" s="1"/>
  <c r="K18" i="1"/>
  <c r="J3" i="4"/>
  <c r="J47" i="4" s="1"/>
  <c r="H16" i="3"/>
  <c r="G17" i="3"/>
  <c r="F17" i="3"/>
  <c r="E24" i="3"/>
  <c r="J80" i="1"/>
  <c r="K81" i="1" s="1"/>
  <c r="N92" i="1" l="1"/>
  <c r="N53" i="4" s="1"/>
  <c r="O166" i="1"/>
  <c r="O169" i="1"/>
  <c r="O168" i="1"/>
  <c r="K94" i="1"/>
  <c r="K87" i="1"/>
  <c r="K34" i="3"/>
  <c r="N66" i="4" s="1"/>
  <c r="O50" i="4"/>
  <c r="M94" i="1"/>
  <c r="M97" i="1" s="1"/>
  <c r="M100" i="1" s="1"/>
  <c r="M59" i="4" s="1"/>
  <c r="M68" i="4" s="1"/>
  <c r="M87" i="1"/>
  <c r="N117" i="1"/>
  <c r="N163" i="1" s="1"/>
  <c r="L94" i="1"/>
  <c r="L97" i="1" s="1"/>
  <c r="L100" i="1" s="1"/>
  <c r="L87" i="1"/>
  <c r="J49" i="4"/>
  <c r="K50" i="4" s="1"/>
  <c r="H34" i="12"/>
  <c r="H33" i="12"/>
  <c r="H31" i="12"/>
  <c r="H30" i="12"/>
  <c r="H17" i="12"/>
  <c r="H26" i="12"/>
  <c r="H35" i="12"/>
  <c r="H24" i="12"/>
  <c r="P49" i="4"/>
  <c r="P50" i="4" s="1"/>
  <c r="P81" i="1"/>
  <c r="N18" i="12" s="1"/>
  <c r="H94" i="1"/>
  <c r="H55" i="4" s="1"/>
  <c r="F20" i="12"/>
  <c r="C82" i="5"/>
  <c r="L30" i="5"/>
  <c r="M66" i="5" s="1"/>
  <c r="G30" i="5"/>
  <c r="H66" i="5" s="1"/>
  <c r="V30" i="5"/>
  <c r="W66" i="5" s="1"/>
  <c r="Q30" i="5"/>
  <c r="R66" i="5" s="1"/>
  <c r="AF30" i="5"/>
  <c r="AG66" i="5" s="1"/>
  <c r="AA30" i="5"/>
  <c r="AB66" i="5" s="1"/>
  <c r="C83" i="5"/>
  <c r="C81" i="5"/>
  <c r="R35" i="11"/>
  <c r="R38" i="11"/>
  <c r="R36" i="11"/>
  <c r="R39" i="11"/>
  <c r="R34" i="11"/>
  <c r="R37" i="11"/>
  <c r="V11" i="6"/>
  <c r="V22" i="6"/>
  <c r="V13" i="6"/>
  <c r="V12" i="6"/>
  <c r="V9" i="6"/>
  <c r="V10" i="6"/>
  <c r="S33" i="11"/>
  <c r="P5" i="6"/>
  <c r="H4" i="3"/>
  <c r="I3" i="12"/>
  <c r="U36" i="11"/>
  <c r="U37" i="11"/>
  <c r="U39" i="11"/>
  <c r="U38" i="11"/>
  <c r="U35" i="11"/>
  <c r="U34" i="11"/>
  <c r="P24" i="6"/>
  <c r="X43" i="11"/>
  <c r="Y33" i="11"/>
  <c r="O11" i="6"/>
  <c r="O13" i="6"/>
  <c r="O22" i="6"/>
  <c r="O10" i="6"/>
  <c r="O12" i="6"/>
  <c r="O9" i="6"/>
  <c r="R13" i="6"/>
  <c r="R22" i="6"/>
  <c r="R10" i="6"/>
  <c r="R9" i="6"/>
  <c r="R11" i="6"/>
  <c r="R12" i="6"/>
  <c r="V33" i="11"/>
  <c r="S5" i="6"/>
  <c r="S24" i="6"/>
  <c r="AA43" i="11"/>
  <c r="AB33" i="11"/>
  <c r="M50" i="4"/>
  <c r="N50" i="4"/>
  <c r="P46" i="3"/>
  <c r="O85" i="1"/>
  <c r="O86" i="1" s="1"/>
  <c r="O52" i="4"/>
  <c r="F24" i="3"/>
  <c r="F21" i="3"/>
  <c r="G24" i="3"/>
  <c r="G21" i="3"/>
  <c r="O162" i="1"/>
  <c r="O161" i="1"/>
  <c r="O165" i="1"/>
  <c r="P185" i="1"/>
  <c r="P186" i="1"/>
  <c r="J74" i="1"/>
  <c r="J75" i="1"/>
  <c r="R46" i="3"/>
  <c r="L53" i="1"/>
  <c r="M53" i="1"/>
  <c r="J65" i="1"/>
  <c r="P123" i="1"/>
  <c r="P165" i="1" s="1"/>
  <c r="P135" i="1"/>
  <c r="P169" i="1" s="1"/>
  <c r="P128" i="1"/>
  <c r="P166" i="1" s="1"/>
  <c r="P130" i="1"/>
  <c r="P168" i="1" s="1"/>
  <c r="P136" i="1"/>
  <c r="P170" i="1" s="1"/>
  <c r="P116" i="1"/>
  <c r="P115" i="1"/>
  <c r="P161" i="1" s="1"/>
  <c r="J59" i="1"/>
  <c r="J70" i="1"/>
  <c r="J67" i="1"/>
  <c r="J69" i="1"/>
  <c r="J61" i="1"/>
  <c r="J58" i="1"/>
  <c r="P83" i="1"/>
  <c r="P90" i="1"/>
  <c r="J86" i="1"/>
  <c r="J50" i="1"/>
  <c r="R50" i="1" s="1"/>
  <c r="J51" i="1"/>
  <c r="O92" i="1"/>
  <c r="O53" i="4" s="1"/>
  <c r="R22" i="1"/>
  <c r="P6" i="12" s="1"/>
  <c r="Q20" i="1"/>
  <c r="Q46" i="1" s="1"/>
  <c r="Q80" i="1" s="1"/>
  <c r="L18" i="1"/>
  <c r="K3" i="4"/>
  <c r="K47" i="4" s="1"/>
  <c r="H17" i="3"/>
  <c r="I16" i="3"/>
  <c r="T46" i="3" l="1"/>
  <c r="H27" i="12"/>
  <c r="N129" i="1"/>
  <c r="N131" i="1" s="1"/>
  <c r="K46" i="3"/>
  <c r="K56" i="3" s="1"/>
  <c r="K38" i="3" s="1"/>
  <c r="K39" i="3" s="1"/>
  <c r="S46" i="3"/>
  <c r="N176" i="1"/>
  <c r="N180" i="1" s="1"/>
  <c r="L30" i="12" s="1"/>
  <c r="L46" i="3"/>
  <c r="N46" i="3"/>
  <c r="H53" i="1"/>
  <c r="O46" i="3"/>
  <c r="H97" i="1"/>
  <c r="H100" i="1" s="1"/>
  <c r="H155" i="1" s="1"/>
  <c r="H171" i="1" s="1"/>
  <c r="F29" i="12" s="1"/>
  <c r="Q46" i="3"/>
  <c r="J94" i="1"/>
  <c r="J55" i="4" s="1"/>
  <c r="J87" i="1"/>
  <c r="H21" i="12" s="1"/>
  <c r="M46" i="3"/>
  <c r="L55" i="4"/>
  <c r="R10" i="12"/>
  <c r="R8" i="12"/>
  <c r="R12" i="12"/>
  <c r="R6" i="12"/>
  <c r="M20" i="12"/>
  <c r="O87" i="1"/>
  <c r="M21" i="12" s="1"/>
  <c r="M55" i="4"/>
  <c r="H59" i="4"/>
  <c r="H68" i="4" s="1"/>
  <c r="F23" i="12"/>
  <c r="K55" i="4"/>
  <c r="K97" i="1"/>
  <c r="K100" i="1" s="1"/>
  <c r="I23" i="12" s="1"/>
  <c r="K53" i="1"/>
  <c r="Q49" i="4"/>
  <c r="Q50" i="4" s="1"/>
  <c r="Q81" i="1"/>
  <c r="O18" i="12" s="1"/>
  <c r="O17" i="12"/>
  <c r="I35" i="12"/>
  <c r="I34" i="12"/>
  <c r="I21" i="12"/>
  <c r="I33" i="12"/>
  <c r="I20" i="12"/>
  <c r="I18" i="12"/>
  <c r="I26" i="12"/>
  <c r="I31" i="12"/>
  <c r="I30" i="12"/>
  <c r="I17" i="12"/>
  <c r="R17" i="12" s="1"/>
  <c r="I24" i="12"/>
  <c r="Z9" i="6"/>
  <c r="H20" i="12"/>
  <c r="R31" i="6"/>
  <c r="U44" i="11"/>
  <c r="AA10" i="6"/>
  <c r="AA13" i="6"/>
  <c r="AA11" i="6"/>
  <c r="X38" i="11"/>
  <c r="N31" i="6"/>
  <c r="X37" i="11"/>
  <c r="X39" i="11"/>
  <c r="AA34" i="11"/>
  <c r="T32" i="6"/>
  <c r="R46" i="11"/>
  <c r="U47" i="11"/>
  <c r="R48" i="11"/>
  <c r="Q30" i="6"/>
  <c r="AA36" i="11"/>
  <c r="AA35" i="11"/>
  <c r="Q31" i="6"/>
  <c r="T31" i="6"/>
  <c r="Z13" i="6"/>
  <c r="Z12" i="6"/>
  <c r="Y13" i="6"/>
  <c r="R47" i="11"/>
  <c r="Z11" i="6"/>
  <c r="AA9" i="6"/>
  <c r="X9" i="6"/>
  <c r="V30" i="6"/>
  <c r="V41" i="6"/>
  <c r="K53" i="12" s="1"/>
  <c r="R32" i="6"/>
  <c r="AA12" i="6"/>
  <c r="X34" i="11"/>
  <c r="O31" i="6"/>
  <c r="I4" i="3"/>
  <c r="J3" i="12"/>
  <c r="G10" i="1"/>
  <c r="G12" i="4" s="1"/>
  <c r="L155" i="1"/>
  <c r="L171" i="1" s="1"/>
  <c r="L59" i="4"/>
  <c r="L68" i="4" s="1"/>
  <c r="V29" i="6"/>
  <c r="O41" i="6"/>
  <c r="J43" i="12" s="1"/>
  <c r="L102" i="1"/>
  <c r="L70" i="4" s="1"/>
  <c r="L71" i="4" s="1"/>
  <c r="T28" i="6"/>
  <c r="Q29" i="6"/>
  <c r="U30" i="6"/>
  <c r="V32" i="6"/>
  <c r="U18" i="6"/>
  <c r="U20" i="6"/>
  <c r="U16" i="6"/>
  <c r="V16" i="6"/>
  <c r="U19" i="6"/>
  <c r="V19" i="6"/>
  <c r="V20" i="6"/>
  <c r="V18" i="6"/>
  <c r="V17" i="6"/>
  <c r="U17" i="6"/>
  <c r="O28" i="6"/>
  <c r="S30" i="6"/>
  <c r="S29" i="6"/>
  <c r="S41" i="6"/>
  <c r="S28" i="6"/>
  <c r="S31" i="6"/>
  <c r="S32" i="6"/>
  <c r="M102" i="1"/>
  <c r="M70" i="4" s="1"/>
  <c r="M71" i="4" s="1"/>
  <c r="S13" i="6"/>
  <c r="S12" i="6"/>
  <c r="S11" i="6"/>
  <c r="S9" i="6"/>
  <c r="S10" i="6"/>
  <c r="S22" i="6"/>
  <c r="R30" i="6"/>
  <c r="AA37" i="11"/>
  <c r="Y34" i="11"/>
  <c r="Y37" i="11"/>
  <c r="Y36" i="11"/>
  <c r="Y39" i="11"/>
  <c r="Y35" i="11"/>
  <c r="Y38" i="11"/>
  <c r="X36" i="11"/>
  <c r="W9" i="6"/>
  <c r="O30" i="6"/>
  <c r="R44" i="11"/>
  <c r="Z10" i="6"/>
  <c r="R41" i="6"/>
  <c r="J48" i="12" s="1"/>
  <c r="X47" i="11"/>
  <c r="X45" i="11"/>
  <c r="X46" i="11"/>
  <c r="X49" i="11"/>
  <c r="X48" i="11"/>
  <c r="X44" i="11"/>
  <c r="X35" i="11"/>
  <c r="P10" i="6"/>
  <c r="P9" i="6"/>
  <c r="P11" i="6"/>
  <c r="P13" i="6"/>
  <c r="P12" i="6"/>
  <c r="P22" i="6"/>
  <c r="O29" i="6"/>
  <c r="X13" i="6"/>
  <c r="AA46" i="11"/>
  <c r="AA45" i="11"/>
  <c r="AA47" i="11"/>
  <c r="AA49" i="11"/>
  <c r="AA44" i="11"/>
  <c r="AA48" i="11"/>
  <c r="M155" i="1"/>
  <c r="M171" i="1" s="1"/>
  <c r="V36" i="11"/>
  <c r="V35" i="11"/>
  <c r="V39" i="11"/>
  <c r="V37" i="11"/>
  <c r="V38" i="11"/>
  <c r="V34" i="11"/>
  <c r="AA38" i="11"/>
  <c r="R29" i="6"/>
  <c r="AA39" i="11"/>
  <c r="P28" i="6"/>
  <c r="P32" i="6"/>
  <c r="P31" i="6"/>
  <c r="P29" i="6"/>
  <c r="P30" i="6"/>
  <c r="P41" i="6"/>
  <c r="K43" i="12" s="1"/>
  <c r="V31" i="6"/>
  <c r="S35" i="11"/>
  <c r="S36" i="11"/>
  <c r="S37" i="11"/>
  <c r="S38" i="11"/>
  <c r="S34" i="11"/>
  <c r="S39" i="11"/>
  <c r="O32" i="6"/>
  <c r="W11" i="6"/>
  <c r="AB34" i="11"/>
  <c r="AB38" i="11"/>
  <c r="AB37" i="11"/>
  <c r="AB39" i="11"/>
  <c r="AB36" i="11"/>
  <c r="AB35" i="11"/>
  <c r="R28" i="6"/>
  <c r="W12" i="6"/>
  <c r="V28" i="6"/>
  <c r="N41" i="6"/>
  <c r="I43" i="12" s="1"/>
  <c r="U49" i="11"/>
  <c r="N28" i="6"/>
  <c r="N30" i="6"/>
  <c r="X12" i="6"/>
  <c r="Q32" i="6"/>
  <c r="Y11" i="6"/>
  <c r="U29" i="6"/>
  <c r="Y12" i="6"/>
  <c r="Q28" i="6"/>
  <c r="X10" i="6"/>
  <c r="U31" i="6"/>
  <c r="X11" i="6"/>
  <c r="U28" i="6"/>
  <c r="Q41" i="6"/>
  <c r="I48" i="12" s="1"/>
  <c r="W13" i="6"/>
  <c r="N29" i="6"/>
  <c r="T30" i="6"/>
  <c r="Y10" i="6"/>
  <c r="N32" i="6"/>
  <c r="W10" i="6"/>
  <c r="R49" i="11"/>
  <c r="U48" i="11"/>
  <c r="T41" i="6"/>
  <c r="I53" i="12" s="1"/>
  <c r="U45" i="11"/>
  <c r="T29" i="6"/>
  <c r="Y9" i="6"/>
  <c r="U41" i="6"/>
  <c r="J53" i="12" s="1"/>
  <c r="U32" i="6"/>
  <c r="R45" i="11"/>
  <c r="U46" i="11"/>
  <c r="P85" i="1"/>
  <c r="P86" i="1" s="1"/>
  <c r="P52" i="4"/>
  <c r="H24" i="3"/>
  <c r="H21" i="3"/>
  <c r="P162" i="1"/>
  <c r="Q185" i="1"/>
  <c r="Q186" i="1"/>
  <c r="Q123" i="1"/>
  <c r="Q128" i="1"/>
  <c r="Q166" i="1" s="1"/>
  <c r="Q130" i="1"/>
  <c r="Q168" i="1" s="1"/>
  <c r="Q136" i="1"/>
  <c r="Q170" i="1" s="1"/>
  <c r="Q135" i="1"/>
  <c r="Q169" i="1" s="1"/>
  <c r="L34" i="3"/>
  <c r="O66" i="4" s="1"/>
  <c r="O129" i="1"/>
  <c r="O94" i="1"/>
  <c r="O55" i="4" s="1"/>
  <c r="O117" i="1"/>
  <c r="Q116" i="1"/>
  <c r="Q162" i="1" s="1"/>
  <c r="Q115" i="1"/>
  <c r="Q83" i="1"/>
  <c r="H102" i="1"/>
  <c r="J53" i="1"/>
  <c r="S22" i="1"/>
  <c r="R20" i="1"/>
  <c r="R46" i="1" s="1"/>
  <c r="R80" i="1" s="1"/>
  <c r="M18" i="1"/>
  <c r="K3" i="12" s="1"/>
  <c r="L3" i="4"/>
  <c r="L47" i="4" s="1"/>
  <c r="I17" i="3"/>
  <c r="J16" i="3"/>
  <c r="C12" i="8" l="1" a="1"/>
  <c r="C12" i="8" s="1"/>
  <c r="N120" i="1"/>
  <c r="N167" i="1"/>
  <c r="N157" i="1"/>
  <c r="N62" i="4" s="1"/>
  <c r="L26" i="12"/>
  <c r="L27" i="12" s="1"/>
  <c r="J97" i="1"/>
  <c r="J100" i="1" s="1"/>
  <c r="K59" i="4"/>
  <c r="K68" i="4" s="1"/>
  <c r="K102" i="1"/>
  <c r="K155" i="1"/>
  <c r="K171" i="1" s="1"/>
  <c r="I29" i="12" s="1"/>
  <c r="J59" i="4"/>
  <c r="J68" i="4" s="1"/>
  <c r="H23" i="12"/>
  <c r="N20" i="12"/>
  <c r="R20" i="12" s="1"/>
  <c r="P87" i="1"/>
  <c r="N21" i="12" s="1"/>
  <c r="AA16" i="6"/>
  <c r="AA22" i="6" s="1"/>
  <c r="I27" i="12"/>
  <c r="L11" i="4"/>
  <c r="K48" i="12"/>
  <c r="AA20" i="6"/>
  <c r="K37" i="12"/>
  <c r="K24" i="12"/>
  <c r="K23" i="12"/>
  <c r="K35" i="12"/>
  <c r="K34" i="12"/>
  <c r="K21" i="12"/>
  <c r="K33" i="12"/>
  <c r="K20" i="12"/>
  <c r="K31" i="12"/>
  <c r="K30" i="12"/>
  <c r="K18" i="12"/>
  <c r="K29" i="12"/>
  <c r="K17" i="12"/>
  <c r="K26" i="12"/>
  <c r="H70" i="4"/>
  <c r="H71" i="4" s="1"/>
  <c r="F37" i="12"/>
  <c r="F38" i="12" s="1"/>
  <c r="R49" i="4"/>
  <c r="R50" i="4" s="1"/>
  <c r="R81" i="1"/>
  <c r="P18" i="12" s="1"/>
  <c r="P17" i="12"/>
  <c r="X20" i="6"/>
  <c r="J24" i="12"/>
  <c r="J23" i="12"/>
  <c r="J35" i="12"/>
  <c r="J34" i="12"/>
  <c r="J21" i="12"/>
  <c r="J33" i="12"/>
  <c r="J20" i="12"/>
  <c r="J31" i="12"/>
  <c r="J30" i="12"/>
  <c r="J18" i="12"/>
  <c r="J29" i="12"/>
  <c r="J17" i="12"/>
  <c r="J26" i="12"/>
  <c r="J37" i="12"/>
  <c r="AA19" i="6"/>
  <c r="Z19" i="6"/>
  <c r="H12" i="8" a="1"/>
  <c r="H12" i="8" s="1"/>
  <c r="AA18" i="6"/>
  <c r="AA17" i="6"/>
  <c r="X19" i="6"/>
  <c r="V37" i="6"/>
  <c r="K52" i="12" s="1"/>
  <c r="V38" i="6"/>
  <c r="V35" i="6"/>
  <c r="V39" i="6"/>
  <c r="V36" i="6"/>
  <c r="Z17" i="6"/>
  <c r="W17" i="6"/>
  <c r="W20" i="6"/>
  <c r="W16" i="6"/>
  <c r="W22" i="6" s="1"/>
  <c r="W18" i="6"/>
  <c r="K44" i="12" s="1"/>
  <c r="W19" i="6"/>
  <c r="T36" i="6"/>
  <c r="T39" i="6"/>
  <c r="T37" i="6"/>
  <c r="I52" i="12" s="1"/>
  <c r="T35" i="6"/>
  <c r="T38" i="6"/>
  <c r="Z16" i="6"/>
  <c r="Z22" i="6" s="1"/>
  <c r="R37" i="6"/>
  <c r="J47" i="12" s="1"/>
  <c r="R35" i="6"/>
  <c r="R36" i="6"/>
  <c r="R39" i="6"/>
  <c r="R38" i="6"/>
  <c r="R16" i="6"/>
  <c r="S17" i="6"/>
  <c r="R20" i="6"/>
  <c r="S16" i="6"/>
  <c r="S18" i="6"/>
  <c r="R17" i="6"/>
  <c r="S19" i="6"/>
  <c r="R19" i="6"/>
  <c r="S20" i="6"/>
  <c r="R18" i="6"/>
  <c r="Y19" i="6"/>
  <c r="Y20" i="6"/>
  <c r="Y16" i="6"/>
  <c r="Y22" i="6" s="1"/>
  <c r="Y17" i="6"/>
  <c r="Y18" i="6"/>
  <c r="N37" i="6"/>
  <c r="I42" i="12" s="1"/>
  <c r="N38" i="6"/>
  <c r="N35" i="6"/>
  <c r="N36" i="6"/>
  <c r="N39" i="6"/>
  <c r="O17" i="6"/>
  <c r="X16" i="6"/>
  <c r="X22" i="6" s="1"/>
  <c r="K50" i="12" s="1"/>
  <c r="Z18" i="6"/>
  <c r="U36" i="6"/>
  <c r="U39" i="6"/>
  <c r="U37" i="6"/>
  <c r="J52" i="12" s="1"/>
  <c r="U38" i="6"/>
  <c r="U35" i="6"/>
  <c r="O18" i="6"/>
  <c r="O16" i="6"/>
  <c r="P19" i="6"/>
  <c r="P18" i="6"/>
  <c r="P17" i="6"/>
  <c r="P16" i="6"/>
  <c r="P20" i="6"/>
  <c r="O20" i="6"/>
  <c r="O19" i="6"/>
  <c r="Z20" i="6"/>
  <c r="X18" i="6"/>
  <c r="K49" i="12" s="1"/>
  <c r="Q36" i="6"/>
  <c r="Q39" i="6"/>
  <c r="Q35" i="6"/>
  <c r="Q38" i="6"/>
  <c r="Q37" i="6"/>
  <c r="I47" i="12" s="1"/>
  <c r="X17" i="6"/>
  <c r="P37" i="6"/>
  <c r="K42" i="12" s="1"/>
  <c r="P36" i="6"/>
  <c r="P39" i="6"/>
  <c r="P38" i="6"/>
  <c r="P35" i="6"/>
  <c r="S35" i="6"/>
  <c r="S37" i="6"/>
  <c r="S38" i="6"/>
  <c r="S39" i="6"/>
  <c r="S36" i="6"/>
  <c r="M47" i="3"/>
  <c r="Q85" i="1"/>
  <c r="Q86" i="1" s="1"/>
  <c r="Q52" i="4"/>
  <c r="I24" i="3"/>
  <c r="I21" i="3"/>
  <c r="O163" i="1"/>
  <c r="O131" i="1"/>
  <c r="O167" i="1"/>
  <c r="Q165" i="1"/>
  <c r="Q161" i="1"/>
  <c r="T47" i="3"/>
  <c r="R185" i="1"/>
  <c r="R186" i="1"/>
  <c r="O176" i="1"/>
  <c r="L47" i="3"/>
  <c r="L56" i="3" s="1"/>
  <c r="O157" i="1" s="1"/>
  <c r="O62" i="4" s="1"/>
  <c r="R123" i="1"/>
  <c r="R136" i="1"/>
  <c r="R170" i="1" s="1"/>
  <c r="R128" i="1"/>
  <c r="R166" i="1" s="1"/>
  <c r="R135" i="1"/>
  <c r="R169" i="1" s="1"/>
  <c r="R130" i="1"/>
  <c r="R168" i="1" s="1"/>
  <c r="Q47" i="3"/>
  <c r="S47" i="3"/>
  <c r="R47" i="3"/>
  <c r="P47" i="3"/>
  <c r="O47" i="3"/>
  <c r="N47" i="3"/>
  <c r="R115" i="1"/>
  <c r="R116" i="1"/>
  <c r="R162" i="1" s="1"/>
  <c r="M3" i="4"/>
  <c r="M47" i="4" s="1"/>
  <c r="Q7" i="11" s="1" a="1"/>
  <c r="J4" i="3"/>
  <c r="J155" i="1"/>
  <c r="J171" i="1" s="1"/>
  <c r="H29" i="12" s="1"/>
  <c r="J102" i="1"/>
  <c r="R90" i="1"/>
  <c r="R89" i="1"/>
  <c r="R83" i="1"/>
  <c r="T22" i="1"/>
  <c r="S20" i="1"/>
  <c r="S46" i="1" s="1"/>
  <c r="S80" i="1" s="1"/>
  <c r="S81" i="1" l="1"/>
  <c r="S49" i="4"/>
  <c r="K45" i="12"/>
  <c r="K27" i="12"/>
  <c r="O180" i="1"/>
  <c r="M30" i="12" s="1"/>
  <c r="M26" i="12"/>
  <c r="M27" i="12" s="1"/>
  <c r="K70" i="4"/>
  <c r="K71" i="4" s="1"/>
  <c r="I37" i="12"/>
  <c r="I38" i="12" s="1"/>
  <c r="O20" i="12"/>
  <c r="Q87" i="1"/>
  <c r="O21" i="12" s="1"/>
  <c r="K38" i="12"/>
  <c r="J38" i="12"/>
  <c r="J27" i="12"/>
  <c r="L10" i="4"/>
  <c r="K47" i="12"/>
  <c r="J70" i="4"/>
  <c r="J71" i="4" s="1"/>
  <c r="H37" i="12"/>
  <c r="H38" i="12" s="1"/>
  <c r="Q25" i="11"/>
  <c r="Q27" i="11"/>
  <c r="Q26" i="11"/>
  <c r="Q30" i="11"/>
  <c r="Q7" i="11"/>
  <c r="Q24" i="11" s="1"/>
  <c r="R85" i="1"/>
  <c r="R86" i="1" s="1"/>
  <c r="R52" i="4"/>
  <c r="R165" i="1"/>
  <c r="R161" i="1"/>
  <c r="S185" i="1"/>
  <c r="S186" i="1"/>
  <c r="L38" i="3"/>
  <c r="O120" i="1" s="1"/>
  <c r="S123" i="1"/>
  <c r="S130" i="1"/>
  <c r="S168" i="1" s="1"/>
  <c r="S128" i="1"/>
  <c r="S166" i="1" s="1"/>
  <c r="S136" i="1"/>
  <c r="S170" i="1" s="1"/>
  <c r="S135" i="1"/>
  <c r="S169" i="1" s="1"/>
  <c r="S116" i="1"/>
  <c r="S115" i="1"/>
  <c r="R92" i="1"/>
  <c r="R53" i="4" s="1"/>
  <c r="S90" i="1"/>
  <c r="S83" i="1"/>
  <c r="S52" i="4" s="1"/>
  <c r="U22" i="1"/>
  <c r="T20" i="1"/>
  <c r="T46" i="1" s="1"/>
  <c r="T80" i="1" s="1"/>
  <c r="T81" i="1" s="1"/>
  <c r="J17" i="3"/>
  <c r="K11" i="3" s="1"/>
  <c r="K16" i="3" s="1"/>
  <c r="P20" i="12" l="1"/>
  <c r="R87" i="1"/>
  <c r="P21" i="12" s="1"/>
  <c r="S85" i="1"/>
  <c r="S86" i="1" s="1"/>
  <c r="S87" i="1" s="1"/>
  <c r="J24" i="3"/>
  <c r="J21" i="3"/>
  <c r="S165" i="1"/>
  <c r="S162" i="1"/>
  <c r="S161" i="1"/>
  <c r="T185" i="1"/>
  <c r="T186" i="1"/>
  <c r="L39" i="3"/>
  <c r="O34" i="3"/>
  <c r="R66" i="4" s="1"/>
  <c r="R129" i="1"/>
  <c r="T123" i="1"/>
  <c r="T135" i="1"/>
  <c r="T169" i="1" s="1"/>
  <c r="T130" i="1"/>
  <c r="T168" i="1" s="1"/>
  <c r="T128" i="1"/>
  <c r="T166" i="1" s="1"/>
  <c r="T136" i="1"/>
  <c r="T170" i="1" s="1"/>
  <c r="T116" i="1"/>
  <c r="T115" i="1"/>
  <c r="T161" i="1" s="1"/>
  <c r="R94" i="1"/>
  <c r="R55" i="4" s="1"/>
  <c r="R117" i="1"/>
  <c r="T90" i="1"/>
  <c r="T83" i="1"/>
  <c r="V22" i="1"/>
  <c r="U20" i="1"/>
  <c r="U46" i="1" s="1"/>
  <c r="U80" i="1" s="1"/>
  <c r="U81" i="1" s="1"/>
  <c r="R50" i="3" l="1"/>
  <c r="T85" i="1"/>
  <c r="T86" i="1" s="1"/>
  <c r="T87" i="1" s="1"/>
  <c r="K21" i="3"/>
  <c r="K20" i="3" s="1"/>
  <c r="K17" i="3" s="1"/>
  <c r="L11" i="3" s="1"/>
  <c r="L16" i="3" s="1"/>
  <c r="R131" i="1"/>
  <c r="T162" i="1"/>
  <c r="T165" i="1"/>
  <c r="U185" i="1"/>
  <c r="U186" i="1"/>
  <c r="Q50" i="3"/>
  <c r="O49" i="3"/>
  <c r="O50" i="3"/>
  <c r="P50" i="3"/>
  <c r="R176" i="1"/>
  <c r="T50" i="3"/>
  <c r="S50" i="3"/>
  <c r="U123" i="1"/>
  <c r="U165" i="1" s="1"/>
  <c r="U135" i="1"/>
  <c r="U169" i="1" s="1"/>
  <c r="U136" i="1"/>
  <c r="U170" i="1" s="1"/>
  <c r="U128" i="1"/>
  <c r="U166" i="1" s="1"/>
  <c r="U130" i="1"/>
  <c r="U168" i="1" s="1"/>
  <c r="U116" i="1"/>
  <c r="U162" i="1" s="1"/>
  <c r="U115" i="1"/>
  <c r="U161" i="1" s="1"/>
  <c r="U90" i="1"/>
  <c r="U83" i="1"/>
  <c r="W22" i="1"/>
  <c r="W20" i="1" s="1"/>
  <c r="W46" i="1" s="1"/>
  <c r="W80" i="1" s="1"/>
  <c r="V20" i="1"/>
  <c r="V46" i="1" s="1"/>
  <c r="V80" i="1" s="1"/>
  <c r="V81" i="1" s="1"/>
  <c r="R180" i="1" l="1"/>
  <c r="P30" i="12" s="1"/>
  <c r="P26" i="12"/>
  <c r="P27" i="12" s="1"/>
  <c r="W81" i="1"/>
  <c r="U85" i="1"/>
  <c r="U86" i="1" s="1"/>
  <c r="U87" i="1" s="1"/>
  <c r="L21" i="3"/>
  <c r="V185" i="1"/>
  <c r="V186" i="1"/>
  <c r="W185" i="1"/>
  <c r="W186" i="1"/>
  <c r="V123" i="1"/>
  <c r="V135" i="1"/>
  <c r="V169" i="1" s="1"/>
  <c r="V136" i="1"/>
  <c r="V170" i="1" s="1"/>
  <c r="V128" i="1"/>
  <c r="V166" i="1" s="1"/>
  <c r="V130" i="1"/>
  <c r="V168" i="1" s="1"/>
  <c r="W123" i="1"/>
  <c r="W128" i="1"/>
  <c r="W136" i="1"/>
  <c r="W135" i="1"/>
  <c r="W130" i="1"/>
  <c r="W115" i="1"/>
  <c r="W116" i="1"/>
  <c r="V115" i="1"/>
  <c r="V161" i="1" s="1"/>
  <c r="V116" i="1"/>
  <c r="V162" i="1" s="1"/>
  <c r="V90" i="1"/>
  <c r="V83" i="1"/>
  <c r="W90" i="1"/>
  <c r="W83" i="1"/>
  <c r="V85" i="1" l="1"/>
  <c r="V86" i="1" s="1"/>
  <c r="V87" i="1" s="1"/>
  <c r="W85" i="1"/>
  <c r="W86" i="1" s="1"/>
  <c r="W87" i="1" s="1"/>
  <c r="M21" i="3"/>
  <c r="L20" i="3"/>
  <c r="W168" i="1"/>
  <c r="W165" i="1"/>
  <c r="W166" i="1"/>
  <c r="W169" i="1"/>
  <c r="W170" i="1"/>
  <c r="W162" i="1"/>
  <c r="W161" i="1"/>
  <c r="V165" i="1"/>
  <c r="N21" i="3" l="1"/>
  <c r="O21" i="3" s="1"/>
  <c r="P21" i="3" s="1"/>
  <c r="Q21" i="3" s="1"/>
  <c r="K144" i="1"/>
  <c r="L144" i="1"/>
  <c r="M144" i="1"/>
  <c r="J144" i="1"/>
  <c r="I144" i="1"/>
  <c r="R21" i="3" l="1"/>
  <c r="S21" i="3" s="1"/>
  <c r="I146" i="1"/>
  <c r="I107" i="1"/>
  <c r="F29" i="3" s="1"/>
  <c r="J146" i="1"/>
  <c r="J148" i="1" s="1"/>
  <c r="J107" i="1"/>
  <c r="G29" i="3" s="1"/>
  <c r="M146" i="1"/>
  <c r="M148" i="1" s="1"/>
  <c r="M107" i="1"/>
  <c r="J29" i="3" s="1"/>
  <c r="L146" i="1"/>
  <c r="L148" i="1" s="1"/>
  <c r="L107" i="1"/>
  <c r="I29" i="3" s="1"/>
  <c r="K146" i="1"/>
  <c r="K148" i="1" s="1"/>
  <c r="K107" i="1"/>
  <c r="H29" i="3" s="1"/>
  <c r="T21" i="3" l="1"/>
  <c r="I124" i="1"/>
  <c r="I148" i="1" l="1"/>
  <c r="G33" i="12"/>
  <c r="F35" i="3"/>
  <c r="F56" i="3"/>
  <c r="I46" i="1"/>
  <c r="I80" i="1" l="1"/>
  <c r="I48" i="1"/>
  <c r="N48" i="1" s="1"/>
  <c r="N83" i="1" s="1"/>
  <c r="I81" i="1" l="1"/>
  <c r="G18" i="12" s="1"/>
  <c r="G17" i="12"/>
  <c r="G27" i="12" s="1"/>
  <c r="J81" i="1"/>
  <c r="H18" i="12" s="1"/>
  <c r="I75" i="1"/>
  <c r="I49" i="4"/>
  <c r="N85" i="1"/>
  <c r="N86" i="1" s="1"/>
  <c r="N87" i="1" s="1"/>
  <c r="L21" i="12" s="1"/>
  <c r="N52" i="4"/>
  <c r="I74" i="1"/>
  <c r="N74" i="1" s="1"/>
  <c r="N185" i="1" s="1"/>
  <c r="I61" i="1"/>
  <c r="I69" i="1"/>
  <c r="I70" i="1"/>
  <c r="N70" i="1" s="1"/>
  <c r="N136" i="1" s="1"/>
  <c r="I67" i="1"/>
  <c r="I65" i="1"/>
  <c r="I59" i="1"/>
  <c r="I58" i="1"/>
  <c r="I86" i="1"/>
  <c r="I87" i="1" s="1"/>
  <c r="G21" i="12" s="1"/>
  <c r="I50" i="1"/>
  <c r="I51" i="1"/>
  <c r="Q51" i="1" s="1"/>
  <c r="Q90" i="1" s="1"/>
  <c r="N94" i="1" l="1"/>
  <c r="N55" i="4" s="1"/>
  <c r="L20" i="12"/>
  <c r="I94" i="1"/>
  <c r="I55" i="4" s="1"/>
  <c r="G20" i="12"/>
  <c r="I50" i="4"/>
  <c r="J50" i="4"/>
  <c r="R7" i="11" a="1"/>
  <c r="N142" i="1"/>
  <c r="N170" i="1"/>
  <c r="O170" i="1"/>
  <c r="Q50" i="1"/>
  <c r="P50" i="1"/>
  <c r="I53" i="1" l="1"/>
  <c r="I97" i="1"/>
  <c r="I100" i="1" s="1"/>
  <c r="R27" i="11"/>
  <c r="R25" i="11"/>
  <c r="R26" i="11"/>
  <c r="R7" i="11"/>
  <c r="R24" i="11" s="1"/>
  <c r="O142" i="1"/>
  <c r="P142" i="1" s="1"/>
  <c r="Q142" i="1" s="1"/>
  <c r="R142" i="1" s="1"/>
  <c r="S142" i="1" s="1"/>
  <c r="T142" i="1" s="1"/>
  <c r="U142" i="1" s="1"/>
  <c r="V142" i="1" s="1"/>
  <c r="W142" i="1" s="1"/>
  <c r="N53" i="1"/>
  <c r="I102" i="1"/>
  <c r="I155" i="1"/>
  <c r="I171" i="1" s="1"/>
  <c r="G29" i="12" s="1"/>
  <c r="U50" i="1"/>
  <c r="U89" i="1" s="1"/>
  <c r="U92" i="1" s="1"/>
  <c r="P89" i="1"/>
  <c r="P92" i="1" s="1"/>
  <c r="P53" i="4" s="1"/>
  <c r="S50" i="1"/>
  <c r="S89" i="1" s="1"/>
  <c r="S92" i="1" s="1"/>
  <c r="S53" i="4" s="1"/>
  <c r="T50" i="1"/>
  <c r="T89" i="1" s="1"/>
  <c r="T92" i="1" s="1"/>
  <c r="Q89" i="1"/>
  <c r="Q92" i="1" s="1"/>
  <c r="Q53" i="4" s="1"/>
  <c r="I59" i="4" l="1"/>
  <c r="I68" i="4" s="1"/>
  <c r="G23" i="12"/>
  <c r="I70" i="4"/>
  <c r="I71" i="4" s="1"/>
  <c r="G37" i="12"/>
  <c r="G38" i="12" s="1"/>
  <c r="N34" i="3"/>
  <c r="Q66" i="4" s="1"/>
  <c r="Q129" i="1"/>
  <c r="Q34" i="3"/>
  <c r="T129" i="1"/>
  <c r="P34" i="3"/>
  <c r="S129" i="1"/>
  <c r="M34" i="3"/>
  <c r="P66" i="4" s="1"/>
  <c r="P129" i="1"/>
  <c r="R34" i="3"/>
  <c r="U129" i="1"/>
  <c r="Q94" i="1"/>
  <c r="Q55" i="4" s="1"/>
  <c r="Q117" i="1"/>
  <c r="R163" i="1" s="1"/>
  <c r="T94" i="1"/>
  <c r="T117" i="1"/>
  <c r="S94" i="1"/>
  <c r="S117" i="1"/>
  <c r="P94" i="1"/>
  <c r="P55" i="4" s="1"/>
  <c r="P117" i="1"/>
  <c r="U94" i="1"/>
  <c r="U117" i="1"/>
  <c r="W50" i="1"/>
  <c r="W89" i="1" s="1"/>
  <c r="W92" i="1" s="1"/>
  <c r="V50" i="1"/>
  <c r="V89" i="1" s="1"/>
  <c r="V92" i="1" s="1"/>
  <c r="N96" i="1"/>
  <c r="N97" i="1" s="1"/>
  <c r="O53" i="1"/>
  <c r="S53" i="3" l="1"/>
  <c r="R48" i="3"/>
  <c r="P51" i="3"/>
  <c r="Q52" i="3"/>
  <c r="N49" i="3"/>
  <c r="T131" i="1"/>
  <c r="T167" i="1"/>
  <c r="U163" i="1"/>
  <c r="Q131" i="1"/>
  <c r="Q167" i="1"/>
  <c r="R167" i="1"/>
  <c r="U131" i="1"/>
  <c r="U167" i="1"/>
  <c r="P131" i="1"/>
  <c r="P167" i="1"/>
  <c r="Q163" i="1"/>
  <c r="P163" i="1"/>
  <c r="S131" i="1"/>
  <c r="S167" i="1"/>
  <c r="T163" i="1"/>
  <c r="S163" i="1"/>
  <c r="T52" i="3"/>
  <c r="Q176" i="1"/>
  <c r="P49" i="3"/>
  <c r="Q51" i="3"/>
  <c r="R51" i="3"/>
  <c r="O48" i="3"/>
  <c r="O56" i="3" s="1"/>
  <c r="R157" i="1" s="1"/>
  <c r="R62" i="4" s="1"/>
  <c r="Q48" i="3"/>
  <c r="P48" i="3"/>
  <c r="Q49" i="3"/>
  <c r="R52" i="3"/>
  <c r="N48" i="3"/>
  <c r="M48" i="3"/>
  <c r="M56" i="3" s="1"/>
  <c r="P157" i="1" s="1"/>
  <c r="P62" i="4" s="1"/>
  <c r="U176" i="1"/>
  <c r="U180" i="1" s="1"/>
  <c r="P176" i="1"/>
  <c r="T51" i="3"/>
  <c r="R53" i="3"/>
  <c r="S51" i="3"/>
  <c r="S52" i="3"/>
  <c r="T34" i="3"/>
  <c r="W129" i="1"/>
  <c r="T176" i="1"/>
  <c r="T180" i="1" s="1"/>
  <c r="S176" i="1"/>
  <c r="S180" i="1" s="1"/>
  <c r="S34" i="3"/>
  <c r="V129" i="1"/>
  <c r="R49" i="3"/>
  <c r="T48" i="3"/>
  <c r="T53" i="3"/>
  <c r="S48" i="3"/>
  <c r="V94" i="1"/>
  <c r="V117" i="1"/>
  <c r="W94" i="1"/>
  <c r="W117" i="1"/>
  <c r="O96" i="1"/>
  <c r="O97" i="1" s="1"/>
  <c r="N99" i="1"/>
  <c r="P53" i="1"/>
  <c r="Q53" i="1" s="1"/>
  <c r="Q96" i="1" s="1"/>
  <c r="Q97" i="1" s="1"/>
  <c r="R56" i="3" l="1"/>
  <c r="U157" i="1" s="1"/>
  <c r="P180" i="1"/>
  <c r="N30" i="12" s="1"/>
  <c r="R30" i="12" s="1"/>
  <c r="N26" i="12"/>
  <c r="Q180" i="1"/>
  <c r="O30" i="12" s="1"/>
  <c r="O26" i="12"/>
  <c r="O27" i="12" s="1"/>
  <c r="W176" i="1"/>
  <c r="W180" i="1" s="1"/>
  <c r="V176" i="1"/>
  <c r="V180" i="1" s="1"/>
  <c r="N56" i="3"/>
  <c r="Q157" i="1" s="1"/>
  <c r="Q62" i="4" s="1"/>
  <c r="N100" i="1"/>
  <c r="N57" i="4"/>
  <c r="W163" i="1"/>
  <c r="V131" i="1"/>
  <c r="V167" i="1"/>
  <c r="W131" i="1"/>
  <c r="W167" i="1"/>
  <c r="V163" i="1"/>
  <c r="P56" i="3"/>
  <c r="S157" i="1" s="1"/>
  <c r="Q56" i="3"/>
  <c r="T157" i="1" s="1"/>
  <c r="M38" i="3"/>
  <c r="P120" i="1" s="1"/>
  <c r="T55" i="3"/>
  <c r="T49" i="3"/>
  <c r="T56" i="3" s="1"/>
  <c r="W157" i="1" s="1"/>
  <c r="S49" i="3"/>
  <c r="S56" i="3" s="1"/>
  <c r="V157" i="1" s="1"/>
  <c r="S54" i="3"/>
  <c r="T54" i="3"/>
  <c r="R53" i="1"/>
  <c r="R96" i="1" s="1"/>
  <c r="R97" i="1" s="1"/>
  <c r="R99" i="1" s="1"/>
  <c r="Q99" i="1"/>
  <c r="P96" i="1"/>
  <c r="P97" i="1" s="1"/>
  <c r="O99" i="1"/>
  <c r="N27" i="12" l="1"/>
  <c r="R26" i="12"/>
  <c r="N59" i="4"/>
  <c r="L23" i="12"/>
  <c r="N102" i="1"/>
  <c r="O100" i="1"/>
  <c r="O57" i="4"/>
  <c r="R100" i="1"/>
  <c r="R57" i="4"/>
  <c r="Q100" i="1"/>
  <c r="Q57" i="4"/>
  <c r="N155" i="1"/>
  <c r="N143" i="1" s="1"/>
  <c r="N144" i="1" s="1"/>
  <c r="M39" i="3"/>
  <c r="N38" i="3"/>
  <c r="Q120" i="1" s="1"/>
  <c r="S53" i="1"/>
  <c r="P99" i="1"/>
  <c r="N104" i="1" l="1"/>
  <c r="L24" i="12" s="1"/>
  <c r="Q59" i="4"/>
  <c r="O23" i="12"/>
  <c r="R59" i="4"/>
  <c r="P23" i="12"/>
  <c r="O59" i="4"/>
  <c r="M23" i="12"/>
  <c r="N70" i="4"/>
  <c r="N71" i="4" s="1"/>
  <c r="L37" i="12"/>
  <c r="L38" i="12" s="1"/>
  <c r="O155" i="1"/>
  <c r="O171" i="1" s="1"/>
  <c r="M29" i="12" s="1"/>
  <c r="O102" i="1"/>
  <c r="N171" i="1"/>
  <c r="L29" i="12" s="1"/>
  <c r="R102" i="1"/>
  <c r="R155" i="1"/>
  <c r="R171" i="1" s="1"/>
  <c r="P29" i="12" s="1"/>
  <c r="Q102" i="1"/>
  <c r="Q155" i="1"/>
  <c r="Q171" i="1" s="1"/>
  <c r="O29" i="12" s="1"/>
  <c r="P100" i="1"/>
  <c r="P57" i="4"/>
  <c r="O38" i="3"/>
  <c r="R120" i="1" s="1"/>
  <c r="N39" i="3"/>
  <c r="S96" i="1"/>
  <c r="S97" i="1" s="1"/>
  <c r="S99" i="1" s="1"/>
  <c r="T53" i="1"/>
  <c r="O104" i="1" l="1"/>
  <c r="M24" i="12" s="1"/>
  <c r="Q104" i="1"/>
  <c r="O24" i="12" s="1"/>
  <c r="R104" i="1"/>
  <c r="P24" i="12" s="1"/>
  <c r="P59" i="4"/>
  <c r="N23" i="12"/>
  <c r="R23" i="12" s="1"/>
  <c r="Q70" i="4"/>
  <c r="Q71" i="4" s="1"/>
  <c r="O37" i="12"/>
  <c r="O38" i="12" s="1"/>
  <c r="R70" i="4"/>
  <c r="R71" i="4" s="1"/>
  <c r="P37" i="12"/>
  <c r="P38" i="12" s="1"/>
  <c r="O70" i="4"/>
  <c r="O71" i="4" s="1"/>
  <c r="M37" i="12"/>
  <c r="M38" i="12" s="1"/>
  <c r="O143" i="1"/>
  <c r="O144" i="1" s="1"/>
  <c r="S100" i="1"/>
  <c r="P102" i="1"/>
  <c r="P155" i="1"/>
  <c r="P171" i="1" s="1"/>
  <c r="N29" i="12" s="1"/>
  <c r="R29" i="12" s="1"/>
  <c r="O39" i="3"/>
  <c r="P38" i="3"/>
  <c r="S120" i="1" s="1"/>
  <c r="T96" i="1"/>
  <c r="T97" i="1" s="1"/>
  <c r="U53" i="1"/>
  <c r="L19" i="4" l="1"/>
  <c r="P104" i="1"/>
  <c r="N24" i="12" s="1"/>
  <c r="P70" i="4"/>
  <c r="S7" i="11" s="1" a="1"/>
  <c r="N37" i="12"/>
  <c r="S102" i="1"/>
  <c r="S104" i="1" s="1"/>
  <c r="S155" i="1"/>
  <c r="S171" i="1" s="1"/>
  <c r="P143" i="1"/>
  <c r="Q143" i="1" s="1"/>
  <c r="R143" i="1" s="1"/>
  <c r="P39" i="3"/>
  <c r="Q38" i="3"/>
  <c r="T120" i="1" s="1"/>
  <c r="U96" i="1"/>
  <c r="U97" i="1" s="1"/>
  <c r="V53" i="1"/>
  <c r="V96" i="1" s="1"/>
  <c r="V97" i="1" s="1"/>
  <c r="T99" i="1"/>
  <c r="P71" i="4" l="1"/>
  <c r="T7" i="11" s="1" a="1"/>
  <c r="T27" i="11" s="1"/>
  <c r="N38" i="12"/>
  <c r="R37" i="12"/>
  <c r="S27" i="11"/>
  <c r="S26" i="11"/>
  <c r="S25" i="11"/>
  <c r="S7" i="11"/>
  <c r="S24" i="11" s="1"/>
  <c r="S143" i="1"/>
  <c r="P144" i="1"/>
  <c r="T100" i="1"/>
  <c r="Q144" i="1"/>
  <c r="R38" i="3"/>
  <c r="U120" i="1" s="1"/>
  <c r="Q39" i="3"/>
  <c r="W53" i="1"/>
  <c r="W96" i="1" s="1"/>
  <c r="W97" i="1" s="1"/>
  <c r="W99" i="1" s="1"/>
  <c r="V99" i="1"/>
  <c r="U99" i="1"/>
  <c r="T26" i="11" l="1"/>
  <c r="T7" i="11"/>
  <c r="T24" i="11" s="1"/>
  <c r="T25" i="11"/>
  <c r="T102" i="1"/>
  <c r="T104" i="1" s="1"/>
  <c r="T155" i="1"/>
  <c r="T143" i="1" s="1"/>
  <c r="U100" i="1"/>
  <c r="V100" i="1"/>
  <c r="W100" i="1"/>
  <c r="S144" i="1"/>
  <c r="R144" i="1"/>
  <c r="S38" i="3"/>
  <c r="V120" i="1" s="1"/>
  <c r="R39" i="3"/>
  <c r="T171" i="1" l="1"/>
  <c r="U155" i="1"/>
  <c r="U171" i="1" s="1"/>
  <c r="V102" i="1"/>
  <c r="V104" i="1" s="1"/>
  <c r="V155" i="1"/>
  <c r="V171" i="1" s="1"/>
  <c r="U102" i="1"/>
  <c r="U104" i="1" s="1"/>
  <c r="W102" i="1"/>
  <c r="W104" i="1" s="1"/>
  <c r="W155" i="1"/>
  <c r="W171" i="1" s="1"/>
  <c r="T144" i="1"/>
  <c r="T38" i="3"/>
  <c r="T39" i="3" s="1"/>
  <c r="S39" i="3"/>
  <c r="U143" i="1" l="1"/>
  <c r="V143" i="1" s="1"/>
  <c r="W143" i="1" s="1"/>
  <c r="W120" i="1"/>
  <c r="U144" i="1" l="1"/>
  <c r="V144" i="1"/>
  <c r="N134" i="1"/>
  <c r="L34" i="12" s="1"/>
  <c r="N188" i="1"/>
  <c r="L31" i="12" s="1"/>
  <c r="K24" i="3"/>
  <c r="N137" i="1" l="1"/>
  <c r="N146" i="1" s="1"/>
  <c r="N193" i="1"/>
  <c r="N195" i="1" s="1"/>
  <c r="W144" i="1"/>
  <c r="N107" i="1"/>
  <c r="K29" i="3" s="1"/>
  <c r="N114" i="1" l="1"/>
  <c r="O194" i="1"/>
  <c r="N118" i="1" l="1"/>
  <c r="N124" i="1" s="1"/>
  <c r="L35" i="12"/>
  <c r="H144" i="1"/>
  <c r="H107" i="1" s="1"/>
  <c r="E29" i="3" s="1"/>
  <c r="N44" i="4" l="1"/>
  <c r="N64" i="4" s="1"/>
  <c r="N68" i="4" s="1"/>
  <c r="N148" i="1"/>
  <c r="L33" i="12"/>
  <c r="H146" i="1"/>
  <c r="H148" i="1" s="1"/>
  <c r="L38" i="9" l="1"/>
  <c r="L36" i="9"/>
  <c r="L37" i="9"/>
  <c r="L40" i="9" l="1"/>
  <c r="G13" i="4" l="1"/>
  <c r="L22" i="4" s="1"/>
  <c r="L20" i="4" l="1"/>
  <c r="O188" i="1"/>
  <c r="M31" i="12" s="1"/>
  <c r="L17" i="3"/>
  <c r="O193" i="1" l="1"/>
  <c r="O195" i="1" s="1"/>
  <c r="L24" i="3"/>
  <c r="M11" i="3"/>
  <c r="M16" i="3" s="1"/>
  <c r="O134" i="1"/>
  <c r="O107" i="1" l="1"/>
  <c r="L29" i="3" s="1"/>
  <c r="M34" i="12"/>
  <c r="O114" i="1"/>
  <c r="P194" i="1"/>
  <c r="M20" i="3"/>
  <c r="O137" i="1"/>
  <c r="O146" i="1" s="1"/>
  <c r="O118" i="1" l="1"/>
  <c r="O124" i="1" s="1"/>
  <c r="M35" i="12"/>
  <c r="P188" i="1"/>
  <c r="N31" i="12" s="1"/>
  <c r="R31" i="12" s="1"/>
  <c r="M17" i="3"/>
  <c r="P134" i="1" s="1"/>
  <c r="N34" i="12" s="1"/>
  <c r="R34" i="12" s="1"/>
  <c r="O44" i="4" l="1"/>
  <c r="O64" i="4" s="1"/>
  <c r="O68" i="4" s="1"/>
  <c r="O148" i="1"/>
  <c r="M33" i="12"/>
  <c r="P193" i="1"/>
  <c r="P195" i="1" s="1"/>
  <c r="M24" i="3"/>
  <c r="N11" i="3"/>
  <c r="N16" i="3" s="1"/>
  <c r="N20" i="3" s="1"/>
  <c r="P137" i="1"/>
  <c r="P146" i="1" s="1"/>
  <c r="P107" i="1"/>
  <c r="M29" i="3" s="1"/>
  <c r="Q194" i="1" l="1"/>
  <c r="P114" i="1"/>
  <c r="Q188" i="1"/>
  <c r="O31" i="12" s="1"/>
  <c r="N17" i="3"/>
  <c r="Q134" i="1" s="1"/>
  <c r="O34" i="12" s="1"/>
  <c r="P118" i="1" l="1"/>
  <c r="P124" i="1" s="1"/>
  <c r="N35" i="12"/>
  <c r="R35" i="12" s="1"/>
  <c r="Q193" i="1"/>
  <c r="Q195" i="1" s="1"/>
  <c r="N24" i="3"/>
  <c r="O11" i="3"/>
  <c r="O16" i="3" s="1"/>
  <c r="Q107" i="1"/>
  <c r="N29" i="3" s="1"/>
  <c r="Q137" i="1"/>
  <c r="Q146" i="1" s="1"/>
  <c r="P44" i="4" l="1"/>
  <c r="P64" i="4" s="1"/>
  <c r="P68" i="4" s="1"/>
  <c r="P148" i="1"/>
  <c r="N33" i="12"/>
  <c r="R33" i="12" s="1"/>
  <c r="Q114" i="1"/>
  <c r="R194" i="1"/>
  <c r="O20" i="3"/>
  <c r="O17" i="3" s="1"/>
  <c r="R188" i="1"/>
  <c r="P31" i="12" s="1"/>
  <c r="Q118" i="1" l="1"/>
  <c r="Q124" i="1" s="1"/>
  <c r="O35" i="12"/>
  <c r="R193" i="1"/>
  <c r="R195" i="1" s="1"/>
  <c r="R134" i="1"/>
  <c r="O24" i="3"/>
  <c r="P11" i="3"/>
  <c r="P16" i="3" s="1"/>
  <c r="P20" i="3"/>
  <c r="P17" i="3" s="1"/>
  <c r="R137" i="1"/>
  <c r="R146" i="1" s="1"/>
  <c r="Q44" i="4" l="1"/>
  <c r="Q64" i="4" s="1"/>
  <c r="Q68" i="4" s="1"/>
  <c r="R107" i="1"/>
  <c r="O29" i="3" s="1"/>
  <c r="P34" i="12"/>
  <c r="Q148" i="1"/>
  <c r="O33" i="12"/>
  <c r="R114" i="1"/>
  <c r="S194" i="1"/>
  <c r="S188" i="1"/>
  <c r="P24" i="3"/>
  <c r="Q11" i="3"/>
  <c r="Q16" i="3" s="1"/>
  <c r="S134" i="1"/>
  <c r="R118" i="1" l="1"/>
  <c r="R124" i="1" s="1"/>
  <c r="P35" i="12"/>
  <c r="S193" i="1"/>
  <c r="S195" i="1" s="1"/>
  <c r="S137" i="1"/>
  <c r="S146" i="1" s="1"/>
  <c r="S107" i="1"/>
  <c r="P29" i="3" s="1"/>
  <c r="Q20" i="3"/>
  <c r="Q17" i="3" s="1"/>
  <c r="R44" i="4" l="1"/>
  <c r="R64" i="4" s="1"/>
  <c r="R68" i="4" s="1"/>
  <c r="L23" i="4" s="1"/>
  <c r="L26" i="4" s="1"/>
  <c r="R148" i="1"/>
  <c r="P33" i="12"/>
  <c r="T194" i="1"/>
  <c r="S114" i="1"/>
  <c r="S118" i="1" s="1"/>
  <c r="T188" i="1"/>
  <c r="Q24" i="3"/>
  <c r="R11" i="3"/>
  <c r="R16" i="3" s="1"/>
  <c r="T134" i="1"/>
  <c r="Q23" i="4" l="1"/>
  <c r="Q19" i="4"/>
  <c r="Q22" i="4" s="1"/>
  <c r="L24" i="4"/>
  <c r="L36" i="4" s="1"/>
  <c r="L40" i="4" s="1"/>
  <c r="E76" i="4" s="1"/>
  <c r="S124" i="1"/>
  <c r="S148" i="1" s="1"/>
  <c r="S44" i="4"/>
  <c r="T193" i="1"/>
  <c r="T195" i="1" s="1"/>
  <c r="T137" i="1"/>
  <c r="T146" i="1" s="1"/>
  <c r="T107" i="1"/>
  <c r="Q29" i="3" s="1"/>
  <c r="R20" i="3"/>
  <c r="R17" i="3"/>
  <c r="Q24" i="4" l="1"/>
  <c r="Q20" i="4"/>
  <c r="L41" i="4"/>
  <c r="Q26" i="4"/>
  <c r="U194" i="1"/>
  <c r="T114" i="1"/>
  <c r="T118" i="1" s="1"/>
  <c r="U188" i="1"/>
  <c r="R24" i="3"/>
  <c r="S11" i="3"/>
  <c r="S16" i="3" s="1"/>
  <c r="U134" i="1"/>
  <c r="Q36" i="4" l="1"/>
  <c r="Q40" i="4" s="1"/>
  <c r="Q41" i="4" s="1"/>
  <c r="T124" i="1"/>
  <c r="T148" i="1" s="1"/>
  <c r="T44" i="4"/>
  <c r="U193" i="1"/>
  <c r="U195" i="1" s="1"/>
  <c r="U107" i="1"/>
  <c r="R29" i="3" s="1"/>
  <c r="U137" i="1"/>
  <c r="U146" i="1" s="1"/>
  <c r="S20" i="3"/>
  <c r="S17" i="3"/>
  <c r="E91" i="4" l="1"/>
  <c r="U114" i="1"/>
  <c r="U118" i="1" s="1"/>
  <c r="V194" i="1"/>
  <c r="V188" i="1"/>
  <c r="S24" i="3"/>
  <c r="T11" i="3"/>
  <c r="T16" i="3" s="1"/>
  <c r="V134" i="1"/>
  <c r="U124" i="1" l="1"/>
  <c r="U148" i="1" s="1"/>
  <c r="U44" i="4"/>
  <c r="V193" i="1"/>
  <c r="V195" i="1" s="1"/>
  <c r="V107" i="1"/>
  <c r="S29" i="3" s="1"/>
  <c r="V137" i="1"/>
  <c r="V146" i="1" s="1"/>
  <c r="T20" i="3"/>
  <c r="T17" i="3" s="1"/>
  <c r="V114" i="1" l="1"/>
  <c r="V118" i="1" s="1"/>
  <c r="W194" i="1"/>
  <c r="W188" i="1"/>
  <c r="T24" i="3"/>
  <c r="W134" i="1"/>
  <c r="V124" i="1" l="1"/>
  <c r="V148" i="1" s="1"/>
  <c r="V44" i="4"/>
  <c r="W193" i="1"/>
  <c r="W195" i="1" s="1"/>
  <c r="W114" i="1" s="1"/>
  <c r="W118" i="1" s="1"/>
  <c r="W137" i="1"/>
  <c r="W146" i="1" s="1"/>
  <c r="W107" i="1"/>
  <c r="T29" i="3" s="1"/>
  <c r="W124" i="1" l="1"/>
  <c r="W148" i="1" s="1"/>
  <c r="W44" i="4"/>
  <c r="G20" i="4" l="1"/>
  <c r="G28" i="4" s="1"/>
  <c r="H22" i="9"/>
  <c r="O39" i="6" l="1"/>
  <c r="O36" i="6"/>
  <c r="O38" i="6"/>
  <c r="O37" i="6"/>
  <c r="J42" i="12" s="1"/>
  <c r="O35" i="6"/>
  <c r="I28" i="8" l="1"/>
  <c r="I14" i="8" s="1"/>
  <c r="H48" i="10" l="1"/>
  <c r="M48" i="10" s="1"/>
  <c r="M28" i="8"/>
  <c r="M14" i="8" s="1"/>
  <c r="L48" i="10" s="1"/>
  <c r="M27" i="8"/>
  <c r="M13" i="8" s="1"/>
  <c r="L49" i="10" s="1"/>
  <c r="L33" i="8"/>
  <c r="L19" i="8" s="1"/>
  <c r="K43" i="10" s="1"/>
  <c r="J34" i="8"/>
  <c r="J20" i="8" s="1"/>
  <c r="I42" i="10" s="1"/>
  <c r="M32" i="8"/>
  <c r="M18" i="8" s="1"/>
  <c r="L44" i="10" s="1"/>
  <c r="J28" i="8"/>
  <c r="J14" i="8" s="1"/>
  <c r="I48" i="10" s="1"/>
  <c r="M33" i="8"/>
  <c r="M19" i="8" s="1"/>
  <c r="L31" i="8"/>
  <c r="L17" i="8" s="1"/>
  <c r="K45" i="10" s="1"/>
  <c r="K26" i="8"/>
  <c r="K12" i="8" s="1"/>
  <c r="J50" i="10" s="1"/>
  <c r="K31" i="8"/>
  <c r="K17" i="8" s="1"/>
  <c r="J45" i="10" s="1"/>
  <c r="I34" i="8"/>
  <c r="I20" i="8" s="1"/>
  <c r="J32" i="8"/>
  <c r="J18" i="8" s="1"/>
  <c r="I44" i="10" s="1"/>
  <c r="M34" i="8"/>
  <c r="M20" i="8" s="1"/>
  <c r="L42" i="10" s="1"/>
  <c r="M30" i="8"/>
  <c r="M16" i="8" s="1"/>
  <c r="L46" i="10" s="1"/>
  <c r="K27" i="8"/>
  <c r="K13" i="8" s="1"/>
  <c r="J49" i="10" s="1"/>
  <c r="I27" i="8"/>
  <c r="I13" i="8" s="1"/>
  <c r="K29" i="8"/>
  <c r="K15" i="8" s="1"/>
  <c r="J47" i="10" s="1"/>
  <c r="J27" i="8"/>
  <c r="J13" i="8" s="1"/>
  <c r="I49" i="10" s="1"/>
  <c r="J26" i="8"/>
  <c r="J12" i="8" s="1"/>
  <c r="I50" i="10" s="1"/>
  <c r="I26" i="8"/>
  <c r="I12" i="8" s="1"/>
  <c r="J31" i="8"/>
  <c r="J17" i="8" s="1"/>
  <c r="I45" i="10" s="1"/>
  <c r="L32" i="8"/>
  <c r="L18" i="8" s="1"/>
  <c r="K44" i="10" s="1"/>
  <c r="L26" i="8"/>
  <c r="L12" i="8" s="1"/>
  <c r="K50" i="10" s="1"/>
  <c r="K30" i="8"/>
  <c r="K16" i="8" s="1"/>
  <c r="J46" i="10" s="1"/>
  <c r="L30" i="8"/>
  <c r="L16" i="8" s="1"/>
  <c r="K46" i="10" s="1"/>
  <c r="L28" i="8"/>
  <c r="L14" i="8" s="1"/>
  <c r="K48" i="10" s="1"/>
  <c r="J33" i="8"/>
  <c r="J19" i="8" s="1"/>
  <c r="I43" i="10" s="1"/>
  <c r="I29" i="8"/>
  <c r="I15" i="8" s="1"/>
  <c r="J30" i="8"/>
  <c r="J16" i="8" s="1"/>
  <c r="I46" i="10" s="1"/>
  <c r="K33" i="8"/>
  <c r="K19" i="8" s="1"/>
  <c r="K28" i="8"/>
  <c r="K14" i="8" s="1"/>
  <c r="I30" i="8"/>
  <c r="I16" i="8" s="1"/>
  <c r="K32" i="8"/>
  <c r="K18" i="8" s="1"/>
  <c r="J44" i="10" s="1"/>
  <c r="I33" i="8"/>
  <c r="I19" i="8" s="1"/>
  <c r="L34" i="8"/>
  <c r="L20" i="8" s="1"/>
  <c r="K42" i="10" s="1"/>
  <c r="K34" i="8"/>
  <c r="K20" i="8" s="1"/>
  <c r="J42" i="10" s="1"/>
  <c r="I31" i="8"/>
  <c r="I17" i="8" s="1"/>
  <c r="M26" i="8"/>
  <c r="M12" i="8" s="1"/>
  <c r="L50" i="10" s="1"/>
  <c r="M29" i="8"/>
  <c r="M15" i="8" s="1"/>
  <c r="L47" i="10" s="1"/>
  <c r="L27" i="8"/>
  <c r="L13" i="8" s="1"/>
  <c r="K49" i="10" s="1"/>
  <c r="L29" i="8"/>
  <c r="L15" i="8" s="1"/>
  <c r="K47" i="10" s="1"/>
  <c r="J29" i="8"/>
  <c r="J15" i="8" s="1"/>
  <c r="M31" i="8"/>
  <c r="M17" i="8" s="1"/>
  <c r="L45" i="10" s="1"/>
  <c r="I32" i="8"/>
  <c r="I18" i="8" s="1"/>
  <c r="N48" i="10" l="1"/>
  <c r="L43" i="10"/>
  <c r="Q43" i="10" s="1"/>
  <c r="J48" i="10"/>
  <c r="O48" i="10" s="1"/>
  <c r="I47" i="10"/>
  <c r="O47" i="10" s="1"/>
  <c r="H49" i="10"/>
  <c r="N49" i="10" s="1"/>
  <c r="H45" i="10"/>
  <c r="N45" i="10" s="1"/>
  <c r="H43" i="10"/>
  <c r="M43" i="10" s="1"/>
  <c r="H44" i="10"/>
  <c r="N44" i="10" s="1"/>
  <c r="H50" i="10"/>
  <c r="M50" i="10" s="1"/>
  <c r="J43" i="10"/>
  <c r="O43" i="10" s="1"/>
  <c r="H46" i="10"/>
  <c r="N46" i="10" s="1"/>
  <c r="H47" i="10"/>
  <c r="M47" i="10" s="1"/>
  <c r="H42" i="10"/>
  <c r="N42" i="10" s="1"/>
  <c r="O50" i="10"/>
  <c r="E24" i="8"/>
  <c r="E32" i="8" s="1"/>
  <c r="E36" i="8" s="1"/>
  <c r="E37" i="8" s="1"/>
  <c r="P47" i="10"/>
  <c r="P50" i="10"/>
  <c r="P49" i="10"/>
  <c r="Q48" i="10"/>
  <c r="O45" i="10"/>
  <c r="P46" i="10"/>
  <c r="Q44" i="10"/>
  <c r="Q45" i="10"/>
  <c r="Q46" i="10"/>
  <c r="P45" i="10"/>
  <c r="Q50" i="10"/>
  <c r="O49" i="10"/>
  <c r="O44" i="10"/>
  <c r="O42" i="10"/>
  <c r="P44" i="10"/>
  <c r="O46" i="10"/>
  <c r="Q47" i="10"/>
  <c r="P42" i="10"/>
  <c r="Q49" i="10"/>
  <c r="Q42" i="10"/>
  <c r="P48" i="10" l="1"/>
  <c r="M44" i="10"/>
  <c r="P43" i="10"/>
  <c r="N50" i="10"/>
  <c r="M42" i="10"/>
  <c r="N43" i="10"/>
  <c r="M45" i="10"/>
  <c r="M46" i="10"/>
  <c r="N47" i="10"/>
  <c r="M49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glenn Rentrop</author>
  </authors>
  <commentList>
    <comment ref="B34" authorId="0" shapeId="0" xr:uid="{28CF5C2A-1EB0-4EFC-80C3-0B8AD0546FE8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Consolidated current portion</t>
        </r>
      </text>
    </comment>
    <comment ref="B35" authorId="0" shapeId="0" xr:uid="{D0E9385A-8712-4340-BFDE-89550EFA6DCC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Consolidated Cash, Cash equivalents and Investments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glenn Rentrop</author>
  </authors>
  <commentList>
    <comment ref="C114" authorId="0" shapeId="0" xr:uid="{96EEECE5-C8D2-4D78-B485-B2821BBA523D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Consolidated Cash, Cash equivalents and Investments</t>
        </r>
      </text>
    </comment>
    <comment ref="C120" authorId="0" shapeId="0" xr:uid="{3AD6B81C-3AED-415E-894A-A7FD9B5CED2B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Consolidated PP&amp;E, Intangibles
</t>
        </r>
      </text>
    </comment>
    <comment ref="C134" authorId="0" shapeId="0" xr:uid="{DAEA78C3-1650-4C6E-91CB-403F5860D8ED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Consolidated current portion</t>
        </r>
      </text>
    </comment>
    <comment ref="C144" authorId="0" shapeId="0" xr:uid="{90511499-4D2E-486F-B70A-D1FFF4E4A945}">
      <text>
        <r>
          <rPr>
            <b/>
            <sz val="9"/>
            <color indexed="81"/>
            <rFont val="Tahoma"/>
            <family val="2"/>
          </rPr>
          <t xml:space="preserve">glenn Rentrop:
</t>
        </r>
        <r>
          <rPr>
            <sz val="9"/>
            <color indexed="81"/>
            <rFont val="Tahoma"/>
            <family val="2"/>
          </rPr>
          <t xml:space="preserve">Consolidated Preferred, common, APIC, Accumulated loss,other items
</t>
        </r>
      </text>
    </comment>
    <comment ref="C178" authorId="0" shapeId="0" xr:uid="{8E9B6429-3DDC-48F7-A79C-ED5E8FF519F9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Consolidated Purchase, Sale, Maturities of available for sale securities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glenn Rentrop</author>
  </authors>
  <commentList>
    <comment ref="D14" authorId="0" shapeId="0" xr:uid="{A0B2D0C9-DD29-4C91-B680-8533FCBF918D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Deal scrapped due to lack of Chinese regulatory approval 
</t>
        </r>
      </text>
    </comment>
    <comment ref="N14" authorId="0" shapeId="0" xr:uid="{0CFEF9EA-CFEA-46E4-AFF2-BD6E3F077F41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Likely not useful as market was pricing in possibility of transaction failing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<sst xmlns="http://schemas.openxmlformats.org/spreadsheetml/2006/main" count="984" uniqueCount="470">
  <si>
    <t>Revenue</t>
  </si>
  <si>
    <t>Cost of goods sold</t>
  </si>
  <si>
    <t>Research and development</t>
  </si>
  <si>
    <t>Selling, general, and administrative</t>
  </si>
  <si>
    <t>Total operating expenses</t>
  </si>
  <si>
    <t>Income before income taxes</t>
  </si>
  <si>
    <t>Income tax expense</t>
  </si>
  <si>
    <t>Net income</t>
  </si>
  <si>
    <t>LRCX Three - Statement Model</t>
  </si>
  <si>
    <t>Units:</t>
  </si>
  <si>
    <t>Other income (expense), net</t>
  </si>
  <si>
    <t>Historical</t>
  </si>
  <si>
    <t>$M</t>
  </si>
  <si>
    <t>`</t>
  </si>
  <si>
    <t>Restructuring charges, net - cost of goods sold</t>
  </si>
  <si>
    <t>Total cost of goods sold</t>
  </si>
  <si>
    <t>Restructuring charges, net - operating expenses</t>
  </si>
  <si>
    <t>Net income per share: Diluted</t>
  </si>
  <si>
    <t>Company Name:</t>
  </si>
  <si>
    <t>Name</t>
  </si>
  <si>
    <t>Last Fiscal Year:</t>
  </si>
  <si>
    <t>Ticker:</t>
  </si>
  <si>
    <t>Next Fiscal Year:</t>
  </si>
  <si>
    <t>Current Share Price:</t>
  </si>
  <si>
    <t>$ / Share</t>
  </si>
  <si>
    <t>Most Recent Quarter End Date:</t>
  </si>
  <si>
    <t>Diluted Shares Outstanding:</t>
  </si>
  <si>
    <t>M Shares</t>
  </si>
  <si>
    <t>Valuation Date:</t>
  </si>
  <si>
    <t>Effective Tax Rate:</t>
  </si>
  <si>
    <t>%</t>
  </si>
  <si>
    <t>Discount Rate (WACC):</t>
  </si>
  <si>
    <t>LTM Period:</t>
  </si>
  <si>
    <t>Forward Year 1:</t>
  </si>
  <si>
    <t>Conversion Units:</t>
  </si>
  <si>
    <t>#</t>
  </si>
  <si>
    <t>Forward Year 2:</t>
  </si>
  <si>
    <t>Forward Year 3:</t>
  </si>
  <si>
    <t>Lam Research Corporation</t>
  </si>
  <si>
    <t>Operating income (EBIT)</t>
  </si>
  <si>
    <t>LRCX</t>
  </si>
  <si>
    <t>LRCX - Model Drivers &amp; Assumptions</t>
  </si>
  <si>
    <t>Systems Revenue</t>
  </si>
  <si>
    <t>Customer Support-Related Revenue and Other</t>
  </si>
  <si>
    <t>Total Revenue</t>
  </si>
  <si>
    <t>Memory</t>
  </si>
  <si>
    <t>Foundry</t>
  </si>
  <si>
    <t>Logic/Integrated Device Manufacturing</t>
  </si>
  <si>
    <t>LRCX Three - Balance Sheet</t>
  </si>
  <si>
    <t>ASSETS</t>
  </si>
  <si>
    <t>Cash and cash equivalents</t>
  </si>
  <si>
    <t>Inventories</t>
  </si>
  <si>
    <t>Prepaid expenses and other current assets</t>
  </si>
  <si>
    <t>Property and equipment, net</t>
  </si>
  <si>
    <t>Restricted cash and investments</t>
  </si>
  <si>
    <t>Goodwill</t>
  </si>
  <si>
    <t>LIABILITIES AND STOCKHOLDERS' EQUITY</t>
  </si>
  <si>
    <t>Accrued expenses and other current liabilities</t>
  </si>
  <si>
    <t>Deferred profit</t>
  </si>
  <si>
    <t>Income taxes payable</t>
  </si>
  <si>
    <t>Other long-term liabilities</t>
  </si>
  <si>
    <t>STOCKHOLDERS' EQUITY</t>
  </si>
  <si>
    <t>Retained earnings</t>
  </si>
  <si>
    <t>Accounts receivable, less allowance for doubtful accounts</t>
  </si>
  <si>
    <t>Total Current Assets</t>
  </si>
  <si>
    <t>Total Assets</t>
  </si>
  <si>
    <t>Total Current Liabilities</t>
  </si>
  <si>
    <t>Total Liabilities</t>
  </si>
  <si>
    <t>Treasury stock, at cost</t>
  </si>
  <si>
    <t>Total Stockholders' Equity</t>
  </si>
  <si>
    <t>Total Liabilities and Stockholders' Equity</t>
  </si>
  <si>
    <t>Balance Check:</t>
  </si>
  <si>
    <t>LRCX Three - Cash Flow Statement</t>
  </si>
  <si>
    <t>CASH FLOWS FROM OPERATING ACTIVITIES:</t>
  </si>
  <si>
    <t>Adjustments to reconcile net income to net cash provided</t>
  </si>
  <si>
    <t>Depreciation and amortization</t>
  </si>
  <si>
    <t>Equity-based compensation expense</t>
  </si>
  <si>
    <t>Other, net</t>
  </si>
  <si>
    <t>Changes in operating asset and liability accounts:</t>
  </si>
  <si>
    <t>Net cash provided by operating activities</t>
  </si>
  <si>
    <t>CASH FLOWS FROM INVESTING ACTIVITIES:</t>
  </si>
  <si>
    <t>Capital expenditures and intangible assets</t>
  </si>
  <si>
    <t>Business acquisitions, net of cash acquired</t>
  </si>
  <si>
    <t>Net cash provided by (used for) investing activities</t>
  </si>
  <si>
    <t>CASH FLOWS FROM FINANCING ACTIVITIES:</t>
  </si>
  <si>
    <t>Treasury stock purchases</t>
  </si>
  <si>
    <t>Dividends paid</t>
  </si>
  <si>
    <t>Net cash used for financing activities</t>
  </si>
  <si>
    <t>Effect of exchange rate changes on cash, cash equivalents and restricted cash</t>
  </si>
  <si>
    <t>Net (decrease) increase in cash, cash equivalents and restricted cash</t>
  </si>
  <si>
    <t>Cash, cash equivalents and restricted cash at beginning of year</t>
  </si>
  <si>
    <t>Cash, cash equivalents and restricted cash at end of year</t>
  </si>
  <si>
    <t>EBITDA:</t>
  </si>
  <si>
    <t>Long-Term Debt</t>
  </si>
  <si>
    <t>Accounts payable</t>
  </si>
  <si>
    <t>Debt Schedule:</t>
  </si>
  <si>
    <t>Bonds &amp; Senior Notes:</t>
  </si>
  <si>
    <t>Cash:</t>
  </si>
  <si>
    <t>Benchmark Interest Rate:</t>
  </si>
  <si>
    <t>Senior Notes - Beginning:</t>
  </si>
  <si>
    <t>Debt Repayments (Maturities):</t>
  </si>
  <si>
    <t>Debt Borrowings (Issuances):</t>
  </si>
  <si>
    <t>Senior Notes - Ending</t>
  </si>
  <si>
    <t>Long Term Debt:</t>
  </si>
  <si>
    <t>Senior Notes - Interest:</t>
  </si>
  <si>
    <t>% Principal:</t>
  </si>
  <si>
    <t>Cash - Interest Income:</t>
  </si>
  <si>
    <t>Debt / Total Capital:</t>
  </si>
  <si>
    <t>Depreciation &amp; CapEx:</t>
  </si>
  <si>
    <t>CapEx:</t>
  </si>
  <si>
    <t>CapEx % OpEx:</t>
  </si>
  <si>
    <t>Property, Plant and Equipment, Net:</t>
  </si>
  <si>
    <t>D&amp;A of Existing Net PP&amp;E and Intangibles:</t>
  </si>
  <si>
    <t>D&amp;A of NEW CapEx &amp; Intangible Purchases:</t>
  </si>
  <si>
    <t>D&amp;A - Existing PP&amp;E and Intangibles, Net:</t>
  </si>
  <si>
    <t>D&amp;A - Year 1 CapEx &amp; Intangible Purchases:</t>
  </si>
  <si>
    <t>D&amp;A - Year 2 CapEx &amp; Intangible Purchases:</t>
  </si>
  <si>
    <t>D&amp;A - Year 3 CapEx &amp; Intangible Purchases:</t>
  </si>
  <si>
    <t>D&amp;A - Year 4 CapEx &amp; Intangible Purchases:</t>
  </si>
  <si>
    <t>D&amp;A - Year 5 CapEx &amp; Intangible Purchases:</t>
  </si>
  <si>
    <t>Total Depreciation &amp; Amortisation:</t>
  </si>
  <si>
    <t>Other Assets</t>
  </si>
  <si>
    <t>Projected:</t>
  </si>
  <si>
    <t>Scenario:</t>
  </si>
  <si>
    <t>Downside</t>
  </si>
  <si>
    <t>Terminal Value - Multiples Method:</t>
  </si>
  <si>
    <t>Terminal Value - Perpetuity Growth Method:</t>
  </si>
  <si>
    <t>Median CY 26 TEV / EBITDA of Comps:</t>
  </si>
  <si>
    <t>Expected Long-Term GDP Growth:</t>
  </si>
  <si>
    <t>Median CY 26 TEV / EBITDA of Target:</t>
  </si>
  <si>
    <t>Baseline Terminal EBITDA Multiple:</t>
  </si>
  <si>
    <t>Baseline Terminal FCF Growth Rate:</t>
  </si>
  <si>
    <t>Upside</t>
  </si>
  <si>
    <t>Base</t>
  </si>
  <si>
    <t>Baseline Terminal Value:</t>
  </si>
  <si>
    <t>Current Equity Value:</t>
  </si>
  <si>
    <t>Implied Terminal FCF Growth Rate:</t>
  </si>
  <si>
    <t>Implied Terminal EBITDA Multiple:</t>
  </si>
  <si>
    <t>(-) Cash &amp; Investments:</t>
  </si>
  <si>
    <t>(-) Net Operating Losses:</t>
  </si>
  <si>
    <t xml:space="preserve">(+) Present Value of Terminal Value: </t>
  </si>
  <si>
    <t>(+) Debt &amp; Finance Leases:</t>
  </si>
  <si>
    <t>(+) Present Value of UFCF:</t>
  </si>
  <si>
    <t>(+) Preferred Stock:</t>
  </si>
  <si>
    <t xml:space="preserve">Implied Enterprise Value: </t>
  </si>
  <si>
    <t>(+) Operating Leases:</t>
  </si>
  <si>
    <t>(+) Noncontrolling Interests:</t>
  </si>
  <si>
    <t>% of implied TEV from Terminal Value:</t>
  </si>
  <si>
    <t>(+) Unfunded Pensions:</t>
  </si>
  <si>
    <t>Current Enterprise Value:</t>
  </si>
  <si>
    <t>(+) Cash and Investments:</t>
  </si>
  <si>
    <t>(+) Net Operating Losses:</t>
  </si>
  <si>
    <t>(-)Debt and Finance Leases:</t>
  </si>
  <si>
    <t>(-)Preferred Stock:</t>
  </si>
  <si>
    <t>(-) Operating Leases:</t>
  </si>
  <si>
    <t>(-) Noncontrolling Interests:</t>
  </si>
  <si>
    <t>(-)Unfunded Pensions:</t>
  </si>
  <si>
    <t xml:space="preserve">Implied Equity Value: </t>
  </si>
  <si>
    <t>Implied Share Price from DCF:</t>
  </si>
  <si>
    <t>Premium / (Discount) to Current:</t>
  </si>
  <si>
    <t>LRCX - Discounted Cash Flow Model</t>
  </si>
  <si>
    <t>% Growth</t>
  </si>
  <si>
    <t>COGS % Revenue</t>
  </si>
  <si>
    <t>Selling, general, and administrative % Revenue</t>
  </si>
  <si>
    <t>Research and development % Revenue</t>
  </si>
  <si>
    <t>Other income (expense), net % EBIT:</t>
  </si>
  <si>
    <t>Balance Sheet</t>
  </si>
  <si>
    <t>Days Recievables Outstanding</t>
  </si>
  <si>
    <t>Days</t>
  </si>
  <si>
    <t>Days Inventory Outstanding</t>
  </si>
  <si>
    <t>Assets</t>
  </si>
  <si>
    <t>Liabilities and Stockholder's Equity</t>
  </si>
  <si>
    <t>Days Payables Outstanding</t>
  </si>
  <si>
    <t>Deferred profit % Revenue</t>
  </si>
  <si>
    <t>Income taxes payable % Revenue</t>
  </si>
  <si>
    <t>Other long-term liabilities % Revenue</t>
  </si>
  <si>
    <t>Prepaid expenses and other current assets % OpEx</t>
  </si>
  <si>
    <t>Accrued expenses and other current liabilities % OpEx</t>
  </si>
  <si>
    <t>Other Assets % Revenue</t>
  </si>
  <si>
    <t>Debt / EBITDA:</t>
  </si>
  <si>
    <t># x</t>
  </si>
  <si>
    <t>D&amp;A - Year 6 CapEx &amp; Intangible Purchases:</t>
  </si>
  <si>
    <t>D&amp;A - Year 7 CapEx &amp; Intangible Purchases:</t>
  </si>
  <si>
    <t>D&amp;A - Year 8 CapEx &amp; Intangible Purchases:</t>
  </si>
  <si>
    <t>D&amp;A - Year 9 CapEx &amp; Intangible Purchases:</t>
  </si>
  <si>
    <t>D&amp;A - Year 10 CapEx &amp; Intangible Purchases:</t>
  </si>
  <si>
    <t>Increase (Decrease) in available for purchase securities</t>
  </si>
  <si>
    <t>Stock Repurchases % Revenue</t>
  </si>
  <si>
    <t>Cash Flow Statement</t>
  </si>
  <si>
    <t>Dividends paid % Revenue</t>
  </si>
  <si>
    <t>Non-Cash Transactions:</t>
  </si>
  <si>
    <t>Principal Payments % Debt</t>
  </si>
  <si>
    <t>Debt Related Expenses &amp; Principal Payments</t>
  </si>
  <si>
    <t>Debt Issuances, Principal Payments, Maturities</t>
  </si>
  <si>
    <t>Change in Long Term Debt:</t>
  </si>
  <si>
    <t>Revenue:</t>
  </si>
  <si>
    <t>% Change:</t>
  </si>
  <si>
    <t>Cost of Products Sold:</t>
  </si>
  <si>
    <t>Operating Expenses:</t>
  </si>
  <si>
    <t>Operating Income (EBIT):</t>
  </si>
  <si>
    <t>(-) Taxes, Excluding Effect of Interest:</t>
  </si>
  <si>
    <t>Net Operating Profit After Taxes (NOPAT):</t>
  </si>
  <si>
    <t>Adjustments for Non-Cash Charges:</t>
  </si>
  <si>
    <t>Depreciation and amortization:</t>
  </si>
  <si>
    <t>Net Change in Working Capital:</t>
  </si>
  <si>
    <t xml:space="preserve">Capital Expenditures: </t>
  </si>
  <si>
    <t>Unlevered Free Cash Flow:</t>
  </si>
  <si>
    <t>Sensitivity Analyses</t>
  </si>
  <si>
    <t>ASML</t>
  </si>
  <si>
    <t>KLAC</t>
  </si>
  <si>
    <t>AVGO</t>
  </si>
  <si>
    <t>QCOM</t>
  </si>
  <si>
    <t>AMAT</t>
  </si>
  <si>
    <t>Lam Research Corp.</t>
  </si>
  <si>
    <t>ASML Holding, N.V.</t>
  </si>
  <si>
    <t>KLA Corporation</t>
  </si>
  <si>
    <t>Broadcom Inc.</t>
  </si>
  <si>
    <t>Qualcomm Incorporated</t>
  </si>
  <si>
    <t>Applied Materials</t>
  </si>
  <si>
    <t>Calendarization:</t>
  </si>
  <si>
    <t>N/A</t>
  </si>
  <si>
    <t>Old Partial</t>
  </si>
  <si>
    <t>New Partial</t>
  </si>
  <si>
    <t>FY</t>
  </si>
  <si>
    <t>LTM</t>
  </si>
  <si>
    <t>LTM Revenue:</t>
  </si>
  <si>
    <t>LTM Reported Net Income:</t>
  </si>
  <si>
    <t>LTM Operating Income (EBIT):</t>
  </si>
  <si>
    <t>(+) Non-Recurring Items in EBIT:</t>
  </si>
  <si>
    <t>(+) Depreciation &amp; Amortization:</t>
  </si>
  <si>
    <t>LTM EBITDA:</t>
  </si>
  <si>
    <t>Balance Sheet Data:</t>
  </si>
  <si>
    <t>(-) Cash &amp; Cash-Equivalents:</t>
  </si>
  <si>
    <t>(-) Equity Investments:</t>
  </si>
  <si>
    <t>(-) Other Non-Core Assets, Net:</t>
  </si>
  <si>
    <t>(+) Debt &amp; Capital Leases:</t>
  </si>
  <si>
    <t>(+) Unfunded Pension Obligations:</t>
  </si>
  <si>
    <t>(+) Restructuring &amp; Other Liabilities:</t>
  </si>
  <si>
    <t>Projected Financials:</t>
  </si>
  <si>
    <t>Reported Net Income:</t>
  </si>
  <si>
    <t>Diluted Shares Calculations:</t>
  </si>
  <si>
    <t>Share Price:</t>
  </si>
  <si>
    <t>Common Shares Outstanding:</t>
  </si>
  <si>
    <t>Options and Warrants:</t>
  </si>
  <si>
    <t>Total</t>
  </si>
  <si>
    <t>Strike</t>
  </si>
  <si>
    <t>Dilution</t>
  </si>
  <si>
    <t>Convertible Bonds:</t>
  </si>
  <si>
    <t>$ Amount</t>
  </si>
  <si>
    <t>Par Value</t>
  </si>
  <si>
    <t>Conv. Price</t>
  </si>
  <si>
    <t># RSUs</t>
  </si>
  <si>
    <t>Restricted Stock Units (RSUs):</t>
  </si>
  <si>
    <t>Total Diluted Shares:</t>
  </si>
  <si>
    <t>Valuation Metrics:</t>
  </si>
  <si>
    <t>Equity Value:</t>
  </si>
  <si>
    <t>Enterprise Value:</t>
  </si>
  <si>
    <t>Levered Beta:</t>
  </si>
  <si>
    <t>Valuation Multiples:</t>
  </si>
  <si>
    <t>EV / Revenue:</t>
  </si>
  <si>
    <t>EV / EBITDA:</t>
  </si>
  <si>
    <t>P / E:</t>
  </si>
  <si>
    <t>Lookup Variables:</t>
  </si>
  <si>
    <t>Year 1 Projected Revenue Growth:</t>
  </si>
  <si>
    <t>Year 1 Projected EBITDA Growth:</t>
  </si>
  <si>
    <t>LTM EBITDA Margin:</t>
  </si>
  <si>
    <t>Corporate Website:</t>
  </si>
  <si>
    <t>https://www.lamresearch.com/</t>
  </si>
  <si>
    <t>https://www.asml.com/en</t>
  </si>
  <si>
    <t>https://www.kla.com/company</t>
  </si>
  <si>
    <t>https://www.broadcom.com/</t>
  </si>
  <si>
    <t>https://www.qualcomm.com/</t>
  </si>
  <si>
    <t>https://www.appliedmaterials.com/us/en.html</t>
  </si>
  <si>
    <t>Comparable Companies - Semiconductor Manufacturing Equipment Provisions and Servicing</t>
  </si>
  <si>
    <t>($ USD in Millions Except Per Share Amounts in USD as Stated)</t>
  </si>
  <si>
    <t>Operating Statistics:</t>
  </si>
  <si>
    <t>Capitalization</t>
  </si>
  <si>
    <t>Projected</t>
  </si>
  <si>
    <t>Share</t>
  </si>
  <si>
    <t>Diluted</t>
  </si>
  <si>
    <t>Equity</t>
  </si>
  <si>
    <t>Other &amp;</t>
  </si>
  <si>
    <t>Enterprise</t>
  </si>
  <si>
    <t>EBITDA</t>
  </si>
  <si>
    <t>Net Income</t>
  </si>
  <si>
    <t>EBITDA Margin</t>
  </si>
  <si>
    <t>Company Name</t>
  </si>
  <si>
    <t>Ticker</t>
  </si>
  <si>
    <t>Price</t>
  </si>
  <si>
    <t>Shares</t>
  </si>
  <si>
    <t xml:space="preserve">Value </t>
  </si>
  <si>
    <t>Beta</t>
  </si>
  <si>
    <t>Tax Rate</t>
  </si>
  <si>
    <t>Cash</t>
  </si>
  <si>
    <t>Debt</t>
  </si>
  <si>
    <t>Preferred</t>
  </si>
  <si>
    <t>NCI</t>
  </si>
  <si>
    <t>Value</t>
  </si>
  <si>
    <t>Growth</t>
  </si>
  <si>
    <t>Maximum</t>
  </si>
  <si>
    <t>75th Percentile</t>
  </si>
  <si>
    <t>Median</t>
  </si>
  <si>
    <t>25th Percentile</t>
  </si>
  <si>
    <t>Minimum</t>
  </si>
  <si>
    <t>LTM EV / Revenue:</t>
  </si>
  <si>
    <t>LTM EV / EBITDA:</t>
  </si>
  <si>
    <t>LTM P / E:</t>
  </si>
  <si>
    <t>Valuation Statistics:</t>
  </si>
  <si>
    <t>Enterprise Value /</t>
  </si>
  <si>
    <t>P / E Multiple</t>
  </si>
  <si>
    <t>Precedent Transactions - U.S.-Based Semiconductor Manufacturing Equipment Industry with Transaction Enterprise Value Above $1 Billion</t>
  </si>
  <si>
    <t>Announced Between January 1st, 2019 and November 1st, 2024</t>
  </si>
  <si>
    <t>Operating Metrics</t>
  </si>
  <si>
    <t>Valuation Multiples</t>
  </si>
  <si>
    <t>Share Prices</t>
  </si>
  <si>
    <t>Premiums Paid</t>
  </si>
  <si>
    <t>Transaction</t>
  </si>
  <si>
    <t xml:space="preserve">EV / </t>
  </si>
  <si>
    <t>Offer</t>
  </si>
  <si>
    <t>1-Day</t>
  </si>
  <si>
    <t>1-Week</t>
  </si>
  <si>
    <t>1-Month</t>
  </si>
  <si>
    <t>Acquirer Name</t>
  </si>
  <si>
    <t>Target Name</t>
  </si>
  <si>
    <t>Date</t>
  </si>
  <si>
    <t>Prior</t>
  </si>
  <si>
    <t>Orbotech Ltd.</t>
  </si>
  <si>
    <t>Analog Devices, Inc.</t>
  </si>
  <si>
    <t>Maxim Integrated Products, Inc.</t>
  </si>
  <si>
    <t>Advanced Micro Devices, Inc.</t>
  </si>
  <si>
    <t>Xilinx, Inc.</t>
  </si>
  <si>
    <t>Intel Corporation</t>
  </si>
  <si>
    <t>Tower Semiconductor</t>
  </si>
  <si>
    <t>Renesas Electronics Corporation</t>
  </si>
  <si>
    <t>Dialog Semiconductor</t>
  </si>
  <si>
    <t>75th</t>
  </si>
  <si>
    <t>25th</t>
  </si>
  <si>
    <t>Applicable</t>
  </si>
  <si>
    <t>Percentile</t>
  </si>
  <si>
    <t>Company</t>
  </si>
  <si>
    <t>Methodology Name</t>
  </si>
  <si>
    <t>Multiple</t>
  </si>
  <si>
    <t>Figure</t>
  </si>
  <si>
    <t>Public Company Comparables:</t>
  </si>
  <si>
    <t>LTM TEV / Revenue:</t>
  </si>
  <si>
    <t>LTM TEV / EBITDA:</t>
  </si>
  <si>
    <t>1-Day Premiums:</t>
  </si>
  <si>
    <t>1-Week Premiums:</t>
  </si>
  <si>
    <t>Discounted Cash Flow Analysis:</t>
  </si>
  <si>
    <t>(9.9% - 11.9% WACC, 5.5% - 8.5% Free Cash Flow Growth Rate</t>
  </si>
  <si>
    <t>Discount Rate Calculations - Assumptions:</t>
  </si>
  <si>
    <t>Risk-Free Rate:</t>
  </si>
  <si>
    <t>Equity Risk Premium:</t>
  </si>
  <si>
    <t>Pre-Tax Cost of Debt:</t>
  </si>
  <si>
    <t>Cost of Preferred Stock:</t>
  </si>
  <si>
    <t>Comparable Companies - Unlevered Beta Calculation:</t>
  </si>
  <si>
    <t>Levered</t>
  </si>
  <si>
    <t>Unlevered</t>
  </si>
  <si>
    <t>% Debt</t>
  </si>
  <si>
    <t>Stock</t>
  </si>
  <si>
    <t>% Preferred</t>
  </si>
  <si>
    <t>% Equity</t>
  </si>
  <si>
    <t>Median:</t>
  </si>
  <si>
    <t>Current Capital Structure:</t>
  </si>
  <si>
    <t>"Optimal" Capital Structure:</t>
  </si>
  <si>
    <t>Cost of Equity Based on Comparables, Current Capital Structure:</t>
  </si>
  <si>
    <t>Cost of Equity Based on Comparables, "Optimal" Capital Structure:</t>
  </si>
  <si>
    <t>Cost of Equity Based on Historical Beta:</t>
  </si>
  <si>
    <t>WACC, Current Capital Structure:</t>
  </si>
  <si>
    <t>WACC, "Optimal" Capital Structure:</t>
  </si>
  <si>
    <t>WACC, Current Capital Structure and Historical Cost of Equity:</t>
  </si>
  <si>
    <t>Average WACC Produced by All Methods:</t>
  </si>
  <si>
    <t>Discount Rate: (WACC)</t>
  </si>
  <si>
    <t>TEV / EBITDA Multiple:</t>
  </si>
  <si>
    <t xml:space="preserve">Terminal FCF Growth Rates: </t>
  </si>
  <si>
    <t>Implied Enterprise Value:</t>
  </si>
  <si>
    <t>Enterprise Value --&gt;</t>
  </si>
  <si>
    <t>Equity Value --&gt;</t>
  </si>
  <si>
    <t>Min</t>
  </si>
  <si>
    <t>Max</t>
  </si>
  <si>
    <t>Min Point</t>
  </si>
  <si>
    <t>25th Point</t>
  </si>
  <si>
    <t>Median Point</t>
  </si>
  <si>
    <t>75th Point</t>
  </si>
  <si>
    <t>Max Point</t>
  </si>
  <si>
    <t>Current Share Price</t>
  </si>
  <si>
    <t>Range of Valuation Multiples / Premiums</t>
  </si>
  <si>
    <t>Implied Per-Share Value Range</t>
  </si>
  <si>
    <t>Year</t>
  </si>
  <si>
    <t>EBITDA Margin:</t>
  </si>
  <si>
    <t>Current Region Selected:</t>
  </si>
  <si>
    <t>Status:</t>
  </si>
  <si>
    <t>Data for Graphs (Sorted by revenue growth in ascending order):</t>
  </si>
  <si>
    <t>Revenue Growth:</t>
  </si>
  <si>
    <t>EBITDA Growth:</t>
  </si>
  <si>
    <t>Year 2 Rev. Multiple:</t>
  </si>
  <si>
    <t>Year 2 EBITDA Multiple:</t>
  </si>
  <si>
    <t>Helper</t>
  </si>
  <si>
    <t>Rev. Multiples:</t>
  </si>
  <si>
    <t>EBITDA Multiples:</t>
  </si>
  <si>
    <t>Summary of Operational Performance:</t>
  </si>
  <si>
    <t>CAGR:</t>
  </si>
  <si>
    <t>Segment-Level Statistics:</t>
  </si>
  <si>
    <t>Segment</t>
  </si>
  <si>
    <t>$ M</t>
  </si>
  <si>
    <t>% Sales Growth:</t>
  </si>
  <si>
    <t>Company-Wide:</t>
  </si>
  <si>
    <t>$ as Stated</t>
  </si>
  <si>
    <t>% Revenue:</t>
  </si>
  <si>
    <t>Summary of Valuation Multiples:</t>
  </si>
  <si>
    <t>EV / Revenue - Comparables:</t>
  </si>
  <si>
    <t>x</t>
  </si>
  <si>
    <t>Projected Revenue Growth - Comparables:</t>
  </si>
  <si>
    <t>EV / EBITDA - Comparables:</t>
  </si>
  <si>
    <t>Projected EBITDA Growth - Comparables:</t>
  </si>
  <si>
    <t>P / E - Comparables:</t>
  </si>
  <si>
    <t>Gross Profit</t>
  </si>
  <si>
    <t>Profit Margin</t>
  </si>
  <si>
    <t>Revenue Growth</t>
  </si>
  <si>
    <t>Share Price</t>
  </si>
  <si>
    <t>Volume</t>
  </si>
  <si>
    <t>Model Name:</t>
  </si>
  <si>
    <t>Operating Model and Valuation (5-Year Forecast)</t>
  </si>
  <si>
    <t>Author:</t>
  </si>
  <si>
    <t>File Name:</t>
  </si>
  <si>
    <t>Analysis Date:</t>
  </si>
  <si>
    <t>Navigation, Summary, or Graph Worksheet:</t>
  </si>
  <si>
    <t>Financial Model Worksheet:</t>
  </si>
  <si>
    <t>Data and Back-End Calculation Worksheet:</t>
  </si>
  <si>
    <t>Sheet Name</t>
  </si>
  <si>
    <t>Link to Sheet</t>
  </si>
  <si>
    <t>Model and Valuation Summary</t>
  </si>
  <si>
    <t>Summary</t>
  </si>
  <si>
    <t>Graphs and Dashboard</t>
  </si>
  <si>
    <t>Graphs</t>
  </si>
  <si>
    <t>Operating Scenarios and 3-Statement Model</t>
  </si>
  <si>
    <t>Stub Period Results from Q1</t>
  </si>
  <si>
    <t>Discounted Cash Flow Analysis and Sensitivities</t>
  </si>
  <si>
    <t>DCF</t>
  </si>
  <si>
    <t>Weighted Average Cost of Capital (WACC) Calculations</t>
  </si>
  <si>
    <t>WACC</t>
  </si>
  <si>
    <t>Valuation Summary - Back-End Calculations</t>
  </si>
  <si>
    <t>ValSum</t>
  </si>
  <si>
    <t>Valuation "Football Field" Chart</t>
  </si>
  <si>
    <t>ValGraph</t>
  </si>
  <si>
    <t>Comparable Public Companies - Output</t>
  </si>
  <si>
    <t>Comparable Public Companies - Data and Calculations</t>
  </si>
  <si>
    <t>Precedent Transactions</t>
  </si>
  <si>
    <t>Glenn Rentrop</t>
  </si>
  <si>
    <t>Model</t>
  </si>
  <si>
    <t>PubComps</t>
  </si>
  <si>
    <t>PubCompsData</t>
  </si>
  <si>
    <t>MAComps</t>
  </si>
  <si>
    <t>Q3</t>
  </si>
  <si>
    <t>Annual Revenue Growth Rate:</t>
  </si>
  <si>
    <t>Annual Operating Margin:</t>
  </si>
  <si>
    <t>Net Operating Profit After Tax (NOPAT):</t>
  </si>
  <si>
    <t>(+/-) Deferred Income Taxes:</t>
  </si>
  <si>
    <t>(+/-) Other Operating Activities:</t>
  </si>
  <si>
    <t>Total Adjustments for Non-Cash Charges:</t>
  </si>
  <si>
    <t>Accounts Receivable:</t>
  </si>
  <si>
    <t>Inventories:</t>
  </si>
  <si>
    <t>Prepaid Expenses and Other Current Assets:</t>
  </si>
  <si>
    <t>Accounts Payable:</t>
  </si>
  <si>
    <t>Accrued Liabilities:</t>
  </si>
  <si>
    <t>Total Net Change in Working Capital:</t>
  </si>
  <si>
    <t>(-) Capital Expenditures and Acquisitions:</t>
  </si>
  <si>
    <t>Q1 Unlevered Free Cash Flow:</t>
  </si>
  <si>
    <t>Reported Income Statement and Cash Flow Statement Figures from Q3:</t>
  </si>
  <si>
    <t>FY24 - Q3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</si>
</sst>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4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FY&quot;\ yy"/>
    <numFmt numFmtId="165" formatCode="_([$$-409]* #,##0.00_);_([$$-409]* \(#,##0.00\);_([$$-409]* &quot;-&quot;??_);_(@_)"/>
    <numFmt numFmtId="166" formatCode="_(* #,##0_);_(* \(#,##0\);_(* &quot;-&quot;??_);_(@_)"/>
    <numFmt numFmtId="167" formatCode="_(* #,##0.0_);_(* \(#,##0.0\);_(* &quot;-&quot;?_);_(@_)"/>
    <numFmt numFmtId="168" formatCode="yyyy\-mm\-dd"/>
    <numFmt numFmtId="169" formatCode="0.0%;\(0.0%\)"/>
    <numFmt numFmtId="170" formatCode="_(#,##0.00%_);\(#,##0.00%\);_(&quot;–&quot;_)_%;_(@_)_%"/>
    <numFmt numFmtId="171" formatCode="_(* #,##0_);_(* \(#,##0\);_(* &quot;-&quot;????_);_(@_)"/>
    <numFmt numFmtId="172" formatCode="_(* #,##0_);_(* \(#,##0\);_(* &quot;-&quot;???_);_(@_)"/>
    <numFmt numFmtId="173" formatCode="#,##0_);\(#,##0\);&quot;OK!&quot;;&quot;Error&quot;"/>
    <numFmt numFmtId="174" formatCode="_(* #,##0_);_(* \(#,##0\);_(* &quot;-&quot;?_);_(@_)"/>
    <numFmt numFmtId="175" formatCode="&quot;B + &quot;\ ##"/>
    <numFmt numFmtId="176" formatCode="0.0%;\(0.0%\);&quot;–&quot;;@"/>
    <numFmt numFmtId="177" formatCode="&quot;Yes&quot;;&quot;ERROR&quot;;&quot;No&quot;;&quot;ERROR&quot;"/>
    <numFmt numFmtId="178" formatCode="_(#,##0.0%_);\(#,##0.0%\);_(&quot;–&quot;_)_%;_(@_)_%"/>
    <numFmt numFmtId="179" formatCode="0.0%"/>
    <numFmt numFmtId="180" formatCode="0.00%;\(0.00%\);&quot;–&quot;;@"/>
    <numFmt numFmtId="181" formatCode="_(0.0\ \x_);\(0.0\ \x\);_(&quot;–&quot;_);_(@_)"/>
    <numFmt numFmtId="182" formatCode="_(&quot;$&quot;* #,##0.0_);_(&quot;$&quot;* \(#,##0.0\);_(&quot;$&quot;* &quot;-&quot;?_);_(@_)"/>
    <numFmt numFmtId="183" formatCode="0.0\ \x"/>
    <numFmt numFmtId="184" formatCode="_(&quot;$&quot;* #,##0_);_(&quot;$&quot;* \(#,##0\);_(&quot;$&quot;* &quot;-&quot;?_);_(@_)"/>
    <numFmt numFmtId="185" formatCode="_([$$-409]* #,##0_);_([$$-409]* \(#,##0\);_([$$-409]* &quot;-&quot;??_);_(@_)"/>
    <numFmt numFmtId="186" formatCode="_(0.0%_);\(0.0%\);_(&quot;–&quot;_);_(@_)"/>
    <numFmt numFmtId="187" formatCode="_(* #,##0.0_);_(* \(#,##0.0\);_(* &quot;-&quot;_);_(@_)"/>
    <numFmt numFmtId="188" formatCode="_(&quot;$&quot;* #,##0.00_);_(&quot;$&quot;* \(#,##0.00\);_(&quot;$&quot;* &quot;-&quot;?_);_(@_)"/>
    <numFmt numFmtId="189" formatCode="_([$€-2]\ * #,##0.00_);_([$€-2]\ * \(#,##0.00\);_([$€-2]\ * &quot;-&quot;??_);_(@_)"/>
    <numFmt numFmtId="190" formatCode="_(0.0%_);\(0.0%\);_(&quot;–&quot;_)_%;_(@_)_%"/>
    <numFmt numFmtId="191" formatCode="#,##0.000"/>
    <numFmt numFmtId="192" formatCode="0.0\ \x;[Red]\ 0.0\ \x"/>
    <numFmt numFmtId="193" formatCode="&quot;FY&quot;yy"/>
    <numFmt numFmtId="194" formatCode="_(* #,##0.00_);_(* \(#,##0.00\);_(* &quot;-&quot;_);_(@_)"/>
    <numFmt numFmtId="195" formatCode="_(#,##0.00_)_%;\(#,##0.00\)_%;_(&quot;–&quot;_)_%;_(@_)_%"/>
    <numFmt numFmtId="196" formatCode="_(&quot;$&quot;* #,##0.0_);_(&quot;$&quot;* \(#,##0.0\);_(&quot;$&quot;* &quot;-&quot;??_);_(@_)"/>
    <numFmt numFmtId="197" formatCode="_(* #,##0.0_);_(* \(#,##0.0\);_(* &quot;-&quot;??_);_(@_)"/>
    <numFmt numFmtId="198" formatCode="0.0\ \x;\(0.0\ \x\)"/>
    <numFmt numFmtId="199" formatCode="0.0%;\(0.0%\);\-_)_%;@_)_%"/>
    <numFmt numFmtId="200" formatCode="m/d/yyyy;@"/>
    <numFmt numFmtId="201" formatCode="_(* #,##0_);[Red]_(* \(#,##0\);_(* &quot;-&quot;_);_(@_)"/>
    <numFmt numFmtId="202" formatCode="_(&quot;$&quot;* #,##0_);_(&quot;$&quot;* \(#,##0\);_(&quot;$&quot;* &quot;-&quot;??_);_(@_)"/>
    <numFmt numFmtId="203" formatCode="_(&quot;$&quot;* #,##0.00_);_(&quot;$&quot;* \(#,##0.00\);_(&quot;$&quot;* &quot;-&quot;_);_(@_)"/>
    <numFmt numFmtId="204" formatCode="_(0.00%_);\(0.00%\);_(&quot;–&quot;_)_%;_(@_)_%"/>
    <numFmt numFmtId="205" formatCode="0.00%;\(0.00%\)"/>
    <numFmt numFmtId="206" formatCode="_(#,##0.00_);\(#,##0.00\);_(&quot;–&quot;_);_(@_)"/>
    <numFmt numFmtId="207" formatCode="_(#,##0_)_%;\(#,##0\)_%;_(&quot;–&quot;_)_%;_(@_)_%"/>
    <numFmt numFmtId="208" formatCode="0.0%_);\(0.0%\);\-_%_);@_)"/>
    <numFmt numFmtId="209" formatCode="_(* #,##0.00_);_(* \(#,##0.00\);_(* &quot;-&quot;???_);_(@_)"/>
    <numFmt numFmtId="210" formatCode="m/d/yy;@"/>
    <numFmt numFmtId="211" formatCode="mm/dd/yy;@"/>
  </numFmts>
  <fonts count="6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2"/>
      <name val="Aptos Narrow"/>
      <family val="2"/>
      <scheme val="minor"/>
    </font>
    <font>
      <sz val="12"/>
      <color rgb="FF0000FF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2"/>
      <color theme="9"/>
      <name val="Aptos Narrow"/>
      <family val="2"/>
      <scheme val="minor"/>
    </font>
    <font>
      <sz val="12"/>
      <name val="Aptos Narrow"/>
      <family val="2"/>
      <scheme val="minor"/>
    </font>
    <font>
      <sz val="12"/>
      <color rgb="FF00B05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sz val="10"/>
      <name val="Arial"/>
      <family val="2"/>
    </font>
    <font>
      <i/>
      <strike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11"/>
      <color rgb="FFFF00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u/>
      <sz val="12"/>
      <color indexed="9"/>
      <name val="Aptos Narrow"/>
      <family val="2"/>
      <scheme val="minor"/>
    </font>
    <font>
      <u/>
      <sz val="12"/>
      <color indexed="9"/>
      <name val="Aptos Narrow"/>
      <family val="2"/>
      <scheme val="minor"/>
    </font>
    <font>
      <b/>
      <sz val="12"/>
      <color indexed="9"/>
      <name val="Aptos Narrow"/>
      <family val="2"/>
      <scheme val="minor"/>
    </font>
    <font>
      <b/>
      <sz val="12"/>
      <color theme="0" tint="-4.9989318521683403E-2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sz val="12"/>
      <color theme="1"/>
      <name val="Calibri"/>
      <family val="2"/>
    </font>
    <font>
      <u/>
      <sz val="12"/>
      <color theme="10"/>
      <name val="Calibri"/>
      <family val="2"/>
    </font>
    <font>
      <sz val="12"/>
      <color rgb="FF000000"/>
      <name val="Calibri"/>
      <family val="2"/>
    </font>
    <font>
      <sz val="12"/>
      <color indexed="9"/>
      <name val="Aptos Narrow"/>
      <family val="2"/>
      <scheme val="minor"/>
    </font>
    <font>
      <sz val="11"/>
      <name val="Aptos Narrow"/>
      <family val="2"/>
      <scheme val="minor"/>
    </font>
    <font>
      <sz val="7"/>
      <color rgb="FF232A31"/>
      <name val="Arial"/>
      <family val="2"/>
    </font>
    <font>
      <b/>
      <sz val="14"/>
      <color rgb="FF000000"/>
      <name val="Aptos Narrow"/>
      <family val="2"/>
      <scheme val="minor"/>
    </font>
    <font>
      <sz val="8"/>
      <color indexed="8"/>
      <name val="Arial"/>
      <family val="2"/>
    </font>
    <font>
      <sz val="12"/>
      <color theme="6"/>
      <name val="Aptos Narrow"/>
      <family val="2"/>
      <scheme val="minor"/>
    </font>
    <font>
      <sz val="10"/>
      <color rgb="FF000000"/>
      <name val="Times New Roman"/>
      <family val="1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rgb="FFFFFFFF"/>
      <name val="Calibri"/>
      <family val="2"/>
    </font>
    <font>
      <sz val="12"/>
      <color rgb="FFFFFFFF"/>
      <name val="Calibri"/>
      <family val="2"/>
    </font>
    <font>
      <sz val="12"/>
      <color rgb="FF0000FF"/>
      <name val="Calibri"/>
      <family val="2"/>
    </font>
    <font>
      <sz val="12"/>
      <color rgb="FFFF0000"/>
      <name val="Calibri"/>
      <family val="2"/>
    </font>
    <font>
      <sz val="12"/>
      <color rgb="FF00B050"/>
      <name val="Calibri"/>
      <family val="2"/>
    </font>
    <font>
      <b/>
      <sz val="12"/>
      <color theme="0"/>
      <name val="Aptos Narrow"/>
      <family val="2"/>
    </font>
    <font>
      <b/>
      <i/>
      <sz val="12"/>
      <color rgb="FF0000FF"/>
      <name val="Aptos Narrow"/>
      <family val="2"/>
      <scheme val="minor"/>
    </font>
    <font>
      <b/>
      <i/>
      <sz val="12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i/>
      <sz val="12"/>
      <color theme="0"/>
      <name val="Aptos Narrow"/>
      <family val="2"/>
      <scheme val="minor"/>
    </font>
    <font>
      <i/>
      <sz val="12"/>
      <color rgb="FF000000"/>
      <name val="Aptos Narrow"/>
      <family val="2"/>
      <scheme val="minor"/>
    </font>
    <font>
      <i/>
      <sz val="12"/>
      <color rgb="FF00B050"/>
      <name val="Aptos Narrow"/>
      <family val="2"/>
      <scheme val="minor"/>
    </font>
    <font>
      <b/>
      <sz val="12"/>
      <color rgb="FF00B050"/>
      <name val="Aptos Narrow"/>
      <family val="2"/>
      <scheme val="minor"/>
    </font>
    <font>
      <sz val="12"/>
      <color theme="7"/>
      <name val="Aptos Narrow"/>
      <family val="2"/>
      <scheme val="minor"/>
    </font>
    <font>
      <sz val="12"/>
      <color rgb="FFFFFF00"/>
      <name val="Aptos Narrow"/>
      <family val="2"/>
      <scheme val="minor"/>
    </font>
    <font>
      <b/>
      <i/>
      <sz val="12"/>
      <color rgb="FF00B050"/>
      <name val="Aptos Narrow"/>
      <family val="2"/>
      <scheme val="minor"/>
    </font>
    <font>
      <sz val="12"/>
      <color rgb="FF232A31"/>
      <name val="Aptos Narrow"/>
      <family val="2"/>
      <scheme val="minor"/>
    </font>
    <font>
      <sz val="14"/>
      <color theme="1"/>
      <name val="Aptos Narrow"/>
      <family val="2"/>
      <scheme val="minor"/>
    </font>
    <font>
      <i/>
      <sz val="14"/>
      <color theme="1"/>
      <name val="Aptos Narrow"/>
      <family val="2"/>
      <scheme val="minor"/>
    </font>
    <font>
      <sz val="14"/>
      <name val="Aptos Narrow"/>
      <family val="2"/>
      <scheme val="minor"/>
    </font>
    <font>
      <sz val="14"/>
      <color theme="0"/>
      <name val="Aptos Narrow"/>
      <family val="2"/>
      <scheme val="minor"/>
    </font>
    <font>
      <i/>
      <sz val="14"/>
      <color theme="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4"/>
      <color rgb="FF0000FF"/>
      <name val="Aptos Narrow"/>
      <family val="2"/>
      <scheme val="minor"/>
    </font>
    <font>
      <i/>
      <sz val="14"/>
      <name val="Aptos Narrow"/>
      <family val="2"/>
      <scheme val="minor"/>
    </font>
    <font>
      <b/>
      <sz val="14"/>
      <color rgb="FF0000FF"/>
      <name val="Aptos Narrow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3" tint="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0000FF"/>
        <bgColor indexed="64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13">
    <xf numFmtId="0" fontId="0" fillId="0" borderId="0"/>
    <xf numFmtId="0" fontId="1" fillId="2" borderId="1" applyNumberFormat="0" applyFont="0" applyAlignment="0" applyProtection="0"/>
    <xf numFmtId="0" fontId="3" fillId="0" borderId="0"/>
    <xf numFmtId="0" fontId="17" fillId="0" borderId="0"/>
    <xf numFmtId="9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" fillId="0" borderId="0"/>
    <xf numFmtId="0" fontId="36" fillId="0" borderId="0" applyAlignment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</cellStyleXfs>
  <cellXfs count="645">
    <xf numFmtId="0" fontId="0" fillId="0" borderId="0" xfId="0"/>
    <xf numFmtId="3" fontId="0" fillId="0" borderId="0" xfId="0" applyNumberFormat="1"/>
    <xf numFmtId="164" fontId="4" fillId="3" borderId="0" xfId="0" applyNumberFormat="1" applyFont="1" applyFill="1" applyAlignment="1">
      <alignment horizontal="center"/>
    </xf>
    <xf numFmtId="0" fontId="3" fillId="0" borderId="3" xfId="0" applyFont="1" applyBorder="1" applyAlignment="1">
      <alignment horizontal="left" vertical="center" indent="1"/>
    </xf>
    <xf numFmtId="0" fontId="3" fillId="0" borderId="0" xfId="0" applyFont="1" applyAlignment="1">
      <alignment vertical="center" wrapText="1"/>
    </xf>
    <xf numFmtId="0" fontId="3" fillId="0" borderId="0" xfId="0" applyFont="1"/>
    <xf numFmtId="41" fontId="3" fillId="0" borderId="0" xfId="0" applyNumberFormat="1" applyFont="1" applyAlignment="1">
      <alignment vertical="center" wrapText="1"/>
    </xf>
    <xf numFmtId="42" fontId="5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 indent="1"/>
    </xf>
    <xf numFmtId="41" fontId="3" fillId="0" borderId="3" xfId="0" applyNumberFormat="1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 indent="1"/>
    </xf>
    <xf numFmtId="0" fontId="6" fillId="0" borderId="0" xfId="2" applyFont="1"/>
    <xf numFmtId="0" fontId="7" fillId="5" borderId="0" xfId="1" applyFont="1" applyFill="1" applyBorder="1" applyAlignment="1">
      <alignment horizontal="left"/>
    </xf>
    <xf numFmtId="0" fontId="8" fillId="0" borderId="0" xfId="0" applyFont="1"/>
    <xf numFmtId="0" fontId="9" fillId="0" borderId="0" xfId="0" applyFont="1"/>
    <xf numFmtId="167" fontId="9" fillId="0" borderId="0" xfId="0" applyNumberFormat="1" applyFont="1"/>
    <xf numFmtId="14" fontId="7" fillId="5" borderId="1" xfId="0" applyNumberFormat="1" applyFont="1" applyFill="1" applyBorder="1" applyAlignment="1">
      <alignment horizontal="center"/>
    </xf>
    <xf numFmtId="0" fontId="7" fillId="5" borderId="0" xfId="1" applyFont="1" applyFill="1" applyBorder="1" applyAlignment="1">
      <alignment horizontal="centerContinuous"/>
    </xf>
    <xf numFmtId="0" fontId="10" fillId="0" borderId="0" xfId="2" applyFont="1"/>
    <xf numFmtId="165" fontId="10" fillId="5" borderId="0" xfId="2" applyNumberFormat="1" applyFont="1" applyFill="1"/>
    <xf numFmtId="169" fontId="10" fillId="5" borderId="0" xfId="1" applyNumberFormat="1" applyFont="1" applyFill="1" applyBorder="1" applyAlignment="1">
      <alignment horizontal="center"/>
    </xf>
    <xf numFmtId="170" fontId="11" fillId="5" borderId="0" xfId="0" applyNumberFormat="1" applyFont="1" applyFill="1" applyAlignment="1">
      <alignment horizontal="center"/>
    </xf>
    <xf numFmtId="171" fontId="7" fillId="5" borderId="0" xfId="0" applyNumberFormat="1" applyFont="1" applyFill="1" applyAlignment="1">
      <alignment horizontal="center"/>
    </xf>
    <xf numFmtId="0" fontId="3" fillId="5" borderId="0" xfId="0" applyFont="1" applyFill="1"/>
    <xf numFmtId="41" fontId="3" fillId="0" borderId="0" xfId="0" applyNumberFormat="1" applyFont="1" applyAlignment="1">
      <alignment vertical="center"/>
    </xf>
    <xf numFmtId="172" fontId="7" fillId="5" borderId="0" xfId="0" applyNumberFormat="1" applyFont="1" applyFill="1"/>
    <xf numFmtId="168" fontId="7" fillId="0" borderId="0" xfId="0" applyNumberFormat="1" applyFont="1" applyAlignment="1">
      <alignment horizontal="center"/>
    </xf>
    <xf numFmtId="14" fontId="7" fillId="0" borderId="0" xfId="0" applyNumberFormat="1" applyFont="1" applyAlignment="1">
      <alignment horizontal="center"/>
    </xf>
    <xf numFmtId="0" fontId="2" fillId="0" borderId="0" xfId="0" applyFont="1" applyAlignment="1">
      <alignment vertical="center"/>
    </xf>
    <xf numFmtId="3" fontId="0" fillId="0" borderId="0" xfId="0" applyNumberForma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 indent="1"/>
    </xf>
    <xf numFmtId="9" fontId="3" fillId="0" borderId="0" xfId="0" applyNumberFormat="1" applyFont="1" applyAlignment="1">
      <alignment vertical="center" wrapText="1"/>
    </xf>
    <xf numFmtId="0" fontId="5" fillId="0" borderId="0" xfId="0" applyFont="1" applyAlignment="1">
      <alignment horizontal="left" vertical="center"/>
    </xf>
    <xf numFmtId="42" fontId="5" fillId="0" borderId="0" xfId="0" applyNumberFormat="1" applyFont="1" applyAlignment="1">
      <alignment vertical="center"/>
    </xf>
    <xf numFmtId="42" fontId="10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 wrapText="1" indent="2"/>
    </xf>
    <xf numFmtId="0" fontId="0" fillId="0" borderId="0" xfId="0" applyAlignment="1">
      <alignment vertical="center"/>
    </xf>
    <xf numFmtId="41" fontId="3" fillId="0" borderId="3" xfId="0" applyNumberFormat="1" applyFont="1" applyBorder="1" applyAlignment="1">
      <alignment vertical="center"/>
    </xf>
    <xf numFmtId="173" fontId="14" fillId="0" borderId="0" xfId="0" applyNumberFormat="1" applyFont="1"/>
    <xf numFmtId="0" fontId="4" fillId="6" borderId="0" xfId="0" applyFont="1" applyFill="1" applyAlignment="1">
      <alignment vertical="center"/>
    </xf>
    <xf numFmtId="0" fontId="15" fillId="6" borderId="0" xfId="0" applyFont="1" applyFill="1" applyAlignment="1">
      <alignment vertical="center" wrapText="1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3" fillId="0" borderId="0" xfId="0" applyFont="1" applyAlignment="1">
      <alignment horizontal="left" indent="1"/>
    </xf>
    <xf numFmtId="0" fontId="16" fillId="0" borderId="0" xfId="0" applyFont="1" applyAlignment="1">
      <alignment horizontal="center"/>
    </xf>
    <xf numFmtId="174" fontId="7" fillId="0" borderId="0" xfId="0" applyNumberFormat="1" applyFont="1"/>
    <xf numFmtId="175" fontId="7" fillId="5" borderId="1" xfId="3" applyNumberFormat="1" applyFont="1" applyFill="1" applyBorder="1" applyAlignment="1">
      <alignment horizontal="center"/>
    </xf>
    <xf numFmtId="176" fontId="7" fillId="5" borderId="1" xfId="1" applyNumberFormat="1" applyFont="1" applyFill="1" applyAlignment="1">
      <alignment horizontal="center"/>
    </xf>
    <xf numFmtId="177" fontId="7" fillId="0" borderId="0" xfId="1" applyNumberFormat="1" applyFont="1" applyFill="1" applyBorder="1" applyAlignment="1">
      <alignment horizontal="center"/>
    </xf>
    <xf numFmtId="178" fontId="3" fillId="0" borderId="0" xfId="0" applyNumberFormat="1" applyFont="1"/>
    <xf numFmtId="174" fontId="10" fillId="0" borderId="0" xfId="0" applyNumberFormat="1" applyFont="1"/>
    <xf numFmtId="179" fontId="7" fillId="0" borderId="0" xfId="0" applyNumberFormat="1" applyFont="1"/>
    <xf numFmtId="179" fontId="7" fillId="5" borderId="0" xfId="0" applyNumberFormat="1" applyFont="1" applyFill="1"/>
    <xf numFmtId="180" fontId="10" fillId="0" borderId="0" xfId="0" applyNumberFormat="1" applyFont="1"/>
    <xf numFmtId="41" fontId="10" fillId="0" borderId="0" xfId="0" applyNumberFormat="1" applyFont="1"/>
    <xf numFmtId="41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 indent="2"/>
    </xf>
    <xf numFmtId="41" fontId="7" fillId="0" borderId="0" xfId="0" applyNumberFormat="1" applyFont="1" applyAlignment="1">
      <alignment horizontal="center"/>
    </xf>
    <xf numFmtId="0" fontId="5" fillId="0" borderId="6" xfId="0" applyFont="1" applyBorder="1" applyAlignment="1">
      <alignment horizontal="left" indent="1"/>
    </xf>
    <xf numFmtId="42" fontId="5" fillId="0" borderId="0" xfId="0" applyNumberFormat="1" applyFont="1"/>
    <xf numFmtId="174" fontId="3" fillId="0" borderId="0" xfId="0" applyNumberFormat="1" applyFont="1"/>
    <xf numFmtId="0" fontId="16" fillId="0" borderId="0" xfId="0" applyFont="1" applyAlignment="1">
      <alignment horizontal="left" indent="2"/>
    </xf>
    <xf numFmtId="0" fontId="18" fillId="0" borderId="0" xfId="0" applyFont="1" applyAlignment="1">
      <alignment horizontal="center"/>
    </xf>
    <xf numFmtId="179" fontId="6" fillId="4" borderId="0" xfId="0" applyNumberFormat="1" applyFont="1" applyFill="1" applyAlignment="1">
      <alignment vertical="center"/>
    </xf>
    <xf numFmtId="41" fontId="7" fillId="0" borderId="0" xfId="0" applyNumberFormat="1" applyFont="1"/>
    <xf numFmtId="41" fontId="10" fillId="5" borderId="0" xfId="1" applyNumberFormat="1" applyFont="1" applyFill="1" applyBorder="1" applyAlignment="1">
      <alignment horizontal="center"/>
    </xf>
    <xf numFmtId="179" fontId="10" fillId="0" borderId="0" xfId="0" applyNumberFormat="1" applyFont="1"/>
    <xf numFmtId="44" fontId="10" fillId="4" borderId="0" xfId="0" applyNumberFormat="1" applyFont="1" applyFill="1" applyAlignment="1">
      <alignment horizontal="left" vertical="center" indent="1"/>
    </xf>
    <xf numFmtId="44" fontId="10" fillId="4" borderId="0" xfId="0" applyNumberFormat="1" applyFont="1" applyFill="1" applyAlignment="1">
      <alignment horizontal="left" vertical="center" indent="2"/>
    </xf>
    <xf numFmtId="169" fontId="10" fillId="0" borderId="0" xfId="1" applyNumberFormat="1" applyFont="1" applyFill="1" applyBorder="1" applyAlignment="1">
      <alignment horizontal="center"/>
    </xf>
    <xf numFmtId="44" fontId="10" fillId="4" borderId="0" xfId="0" applyNumberFormat="1" applyFont="1" applyFill="1" applyAlignment="1">
      <alignment horizontal="left" vertical="center"/>
    </xf>
    <xf numFmtId="169" fontId="7" fillId="0" borderId="0" xfId="1" applyNumberFormat="1" applyFont="1" applyFill="1" applyBorder="1" applyAlignment="1">
      <alignment horizontal="center"/>
    </xf>
    <xf numFmtId="41" fontId="3" fillId="0" borderId="0" xfId="0" applyNumberFormat="1" applyFont="1"/>
    <xf numFmtId="0" fontId="5" fillId="0" borderId="6" xfId="0" applyFont="1" applyBorder="1"/>
    <xf numFmtId="41" fontId="5" fillId="0" borderId="6" xfId="0" applyNumberFormat="1" applyFont="1" applyBorder="1"/>
    <xf numFmtId="41" fontId="7" fillId="0" borderId="0" xfId="0" applyNumberFormat="1" applyFont="1" applyAlignment="1">
      <alignment vertical="center"/>
    </xf>
    <xf numFmtId="41" fontId="3" fillId="5" borderId="0" xfId="0" applyNumberFormat="1" applyFont="1" applyFill="1" applyAlignment="1">
      <alignment vertical="center"/>
    </xf>
    <xf numFmtId="41" fontId="7" fillId="5" borderId="0" xfId="0" applyNumberFormat="1" applyFont="1" applyFill="1" applyAlignment="1">
      <alignment vertical="center"/>
    </xf>
    <xf numFmtId="164" fontId="4" fillId="3" borderId="5" xfId="0" applyNumberFormat="1" applyFont="1" applyFill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164" fontId="4" fillId="3" borderId="7" xfId="0" applyNumberFormat="1" applyFont="1" applyFill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 indent="1"/>
    </xf>
    <xf numFmtId="0" fontId="19" fillId="0" borderId="0" xfId="0" applyFont="1"/>
    <xf numFmtId="0" fontId="10" fillId="5" borderId="0" xfId="0" applyFont="1" applyFill="1"/>
    <xf numFmtId="0" fontId="7" fillId="5" borderId="0" xfId="1" applyFont="1" applyFill="1" applyBorder="1" applyAlignment="1">
      <alignment horizontal="center"/>
    </xf>
    <xf numFmtId="0" fontId="5" fillId="7" borderId="3" xfId="0" applyFont="1" applyFill="1" applyBorder="1"/>
    <xf numFmtId="165" fontId="10" fillId="0" borderId="0" xfId="2" applyNumberFormat="1" applyFont="1"/>
    <xf numFmtId="181" fontId="11" fillId="0" borderId="0" xfId="0" applyNumberFormat="1" applyFont="1" applyAlignment="1">
      <alignment horizontal="center"/>
    </xf>
    <xf numFmtId="169" fontId="7" fillId="5" borderId="0" xfId="1" applyNumberFormat="1" applyFont="1" applyFill="1" applyBorder="1" applyAlignment="1">
      <alignment horizontal="center"/>
    </xf>
    <xf numFmtId="181" fontId="10" fillId="0" borderId="0" xfId="2" applyNumberFormat="1" applyFont="1"/>
    <xf numFmtId="179" fontId="11" fillId="5" borderId="0" xfId="0" applyNumberFormat="1" applyFont="1" applyFill="1" applyAlignment="1">
      <alignment horizontal="center"/>
    </xf>
    <xf numFmtId="182" fontId="19" fillId="0" borderId="0" xfId="2" applyNumberFormat="1" applyFont="1"/>
    <xf numFmtId="183" fontId="7" fillId="5" borderId="0" xfId="2" applyNumberFormat="1" applyFont="1" applyFill="1" applyAlignment="1">
      <alignment horizontal="center"/>
    </xf>
    <xf numFmtId="183" fontId="7" fillId="0" borderId="0" xfId="2" applyNumberFormat="1" applyFont="1" applyAlignment="1">
      <alignment horizontal="center"/>
    </xf>
    <xf numFmtId="170" fontId="11" fillId="0" borderId="0" xfId="0" applyNumberFormat="1" applyFont="1"/>
    <xf numFmtId="184" fontId="3" fillId="0" borderId="0" xfId="0" applyNumberFormat="1" applyFont="1"/>
    <xf numFmtId="0" fontId="19" fillId="7" borderId="0" xfId="2" applyFont="1" applyFill="1"/>
    <xf numFmtId="0" fontId="3" fillId="7" borderId="0" xfId="0" applyFont="1" applyFill="1"/>
    <xf numFmtId="0" fontId="6" fillId="7" borderId="0" xfId="2" applyFont="1" applyFill="1"/>
    <xf numFmtId="42" fontId="19" fillId="7" borderId="0" xfId="0" applyNumberFormat="1" applyFont="1" applyFill="1"/>
    <xf numFmtId="183" fontId="10" fillId="0" borderId="0" xfId="2" applyNumberFormat="1" applyFont="1"/>
    <xf numFmtId="0" fontId="10" fillId="0" borderId="0" xfId="2" applyFont="1" applyAlignment="1">
      <alignment horizontal="left" indent="1"/>
    </xf>
    <xf numFmtId="41" fontId="10" fillId="5" borderId="0" xfId="0" applyNumberFormat="1" applyFont="1" applyFill="1"/>
    <xf numFmtId="185" fontId="10" fillId="0" borderId="0" xfId="2" applyNumberFormat="1" applyFont="1"/>
    <xf numFmtId="6" fontId="10" fillId="0" borderId="0" xfId="2" applyNumberFormat="1" applyFont="1"/>
    <xf numFmtId="0" fontId="10" fillId="0" borderId="3" xfId="2" applyFont="1" applyBorder="1" applyAlignment="1">
      <alignment horizontal="left" indent="1"/>
    </xf>
    <xf numFmtId="0" fontId="10" fillId="0" borderId="3" xfId="2" applyFont="1" applyBorder="1"/>
    <xf numFmtId="185" fontId="10" fillId="0" borderId="3" xfId="2" applyNumberFormat="1" applyFont="1" applyBorder="1"/>
    <xf numFmtId="6" fontId="10" fillId="0" borderId="3" xfId="2" applyNumberFormat="1" applyFont="1" applyBorder="1"/>
    <xf numFmtId="0" fontId="19" fillId="7" borderId="0" xfId="2" applyFont="1" applyFill="1" applyAlignment="1">
      <alignment horizontal="left"/>
    </xf>
    <xf numFmtId="0" fontId="10" fillId="7" borderId="0" xfId="2" applyFont="1" applyFill="1"/>
    <xf numFmtId="185" fontId="5" fillId="7" borderId="0" xfId="0" applyNumberFormat="1" applyFont="1" applyFill="1"/>
    <xf numFmtId="167" fontId="3" fillId="0" borderId="0" xfId="0" applyNumberFormat="1" applyFont="1"/>
    <xf numFmtId="0" fontId="6" fillId="0" borderId="0" xfId="2" applyFont="1" applyAlignment="1">
      <alignment horizontal="left" indent="1"/>
    </xf>
    <xf numFmtId="186" fontId="6" fillId="0" borderId="0" xfId="2" applyNumberFormat="1" applyFont="1"/>
    <xf numFmtId="0" fontId="19" fillId="7" borderId="6" xfId="2" applyFont="1" applyFill="1" applyBorder="1"/>
    <xf numFmtId="42" fontId="19" fillId="7" borderId="6" xfId="2" applyNumberFormat="1" applyFont="1" applyFill="1" applyBorder="1"/>
    <xf numFmtId="174" fontId="10" fillId="5" borderId="0" xfId="2" applyNumberFormat="1" applyFont="1" applyFill="1"/>
    <xf numFmtId="0" fontId="10" fillId="0" borderId="0" xfId="2" applyFont="1" applyAlignment="1">
      <alignment horizontal="left"/>
    </xf>
    <xf numFmtId="167" fontId="10" fillId="0" borderId="0" xfId="2" applyNumberFormat="1" applyFont="1"/>
    <xf numFmtId="0" fontId="19" fillId="7" borderId="3" xfId="2" applyFont="1" applyFill="1" applyBorder="1" applyAlignment="1">
      <alignment horizontal="left"/>
    </xf>
    <xf numFmtId="0" fontId="10" fillId="7" borderId="3" xfId="2" applyFont="1" applyFill="1" applyBorder="1"/>
    <xf numFmtId="0" fontId="19" fillId="0" borderId="0" xfId="2" applyFont="1" applyAlignment="1">
      <alignment horizontal="left"/>
    </xf>
    <xf numFmtId="165" fontId="5" fillId="0" borderId="0" xfId="0" applyNumberFormat="1" applyFont="1"/>
    <xf numFmtId="187" fontId="3" fillId="0" borderId="0" xfId="0" applyNumberFormat="1" applyFont="1"/>
    <xf numFmtId="0" fontId="19" fillId="8" borderId="8" xfId="2" applyFont="1" applyFill="1" applyBorder="1"/>
    <xf numFmtId="0" fontId="19" fillId="8" borderId="6" xfId="2" applyFont="1" applyFill="1" applyBorder="1"/>
    <xf numFmtId="188" fontId="5" fillId="8" borderId="9" xfId="0" applyNumberFormat="1" applyFont="1" applyFill="1" applyBorder="1"/>
    <xf numFmtId="0" fontId="19" fillId="8" borderId="10" xfId="2" applyFont="1" applyFill="1" applyBorder="1"/>
    <xf numFmtId="0" fontId="19" fillId="8" borderId="3" xfId="2" applyFont="1" applyFill="1" applyBorder="1"/>
    <xf numFmtId="179" fontId="5" fillId="8" borderId="11" xfId="0" applyNumberFormat="1" applyFont="1" applyFill="1" applyBorder="1"/>
    <xf numFmtId="0" fontId="3" fillId="0" borderId="0" xfId="0" applyFont="1" applyAlignment="1">
      <alignment horizontal="left" indent="3"/>
    </xf>
    <xf numFmtId="9" fontId="10" fillId="0" borderId="0" xfId="0" applyNumberFormat="1" applyFont="1" applyAlignment="1">
      <alignment horizontal="center"/>
    </xf>
    <xf numFmtId="9" fontId="3" fillId="0" borderId="0" xfId="4" applyFont="1" applyAlignment="1">
      <alignment vertical="center"/>
    </xf>
    <xf numFmtId="9" fontId="10" fillId="5" borderId="0" xfId="0" applyNumberFormat="1" applyFont="1" applyFill="1" applyAlignment="1">
      <alignment horizontal="center"/>
    </xf>
    <xf numFmtId="9" fontId="3" fillId="0" borderId="0" xfId="4" applyFont="1" applyAlignment="1">
      <alignment horizontal="center" vertical="center"/>
    </xf>
    <xf numFmtId="41" fontId="3" fillId="5" borderId="3" xfId="0" applyNumberFormat="1" applyFont="1" applyFill="1" applyBorder="1" applyAlignment="1">
      <alignment vertical="center" wrapText="1"/>
    </xf>
    <xf numFmtId="9" fontId="3" fillId="0" borderId="0" xfId="4" applyFont="1"/>
    <xf numFmtId="9" fontId="3" fillId="5" borderId="0" xfId="0" applyNumberFormat="1" applyFont="1" applyFill="1" applyAlignment="1">
      <alignment vertical="center" wrapText="1"/>
    </xf>
    <xf numFmtId="9" fontId="3" fillId="5" borderId="0" xfId="4" applyFont="1" applyFill="1"/>
    <xf numFmtId="0" fontId="3" fillId="6" borderId="0" xfId="0" applyFont="1" applyFill="1"/>
    <xf numFmtId="168" fontId="7" fillId="6" borderId="0" xfId="0" applyNumberFormat="1" applyFont="1" applyFill="1" applyAlignment="1">
      <alignment horizontal="center"/>
    </xf>
    <xf numFmtId="0" fontId="8" fillId="6" borderId="0" xfId="0" applyFont="1" applyFill="1"/>
    <xf numFmtId="0" fontId="9" fillId="6" borderId="0" xfId="0" applyFont="1" applyFill="1"/>
    <xf numFmtId="14" fontId="7" fillId="6" borderId="0" xfId="0" applyNumberFormat="1" applyFont="1" applyFill="1" applyAlignment="1">
      <alignment horizontal="center"/>
    </xf>
    <xf numFmtId="0" fontId="15" fillId="6" borderId="0" xfId="0" applyFont="1" applyFill="1"/>
    <xf numFmtId="0" fontId="4" fillId="6" borderId="0" xfId="0" applyFont="1" applyFill="1"/>
    <xf numFmtId="0" fontId="4" fillId="3" borderId="0" xfId="0" applyFont="1" applyFill="1"/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3" fillId="3" borderId="2" xfId="0" applyFont="1" applyFill="1" applyBorder="1"/>
    <xf numFmtId="0" fontId="4" fillId="3" borderId="2" xfId="0" applyFont="1" applyFill="1" applyBorder="1"/>
    <xf numFmtId="0" fontId="3" fillId="3" borderId="4" xfId="0" applyFont="1" applyFill="1" applyBorder="1"/>
    <xf numFmtId="0" fontId="4" fillId="3" borderId="0" xfId="0" applyFont="1" applyFill="1" applyAlignment="1">
      <alignment horizontal="right"/>
    </xf>
    <xf numFmtId="0" fontId="14" fillId="0" borderId="0" xfId="0" applyFont="1" applyAlignment="1">
      <alignment horizontal="center"/>
    </xf>
    <xf numFmtId="9" fontId="3" fillId="5" borderId="0" xfId="0" applyNumberFormat="1" applyFont="1" applyFill="1"/>
    <xf numFmtId="0" fontId="3" fillId="0" borderId="0" xfId="0" applyFont="1" applyAlignment="1">
      <alignment horizontal="center"/>
    </xf>
    <xf numFmtId="0" fontId="14" fillId="0" borderId="0" xfId="0" applyFont="1" applyAlignment="1">
      <alignment horizontal="right"/>
    </xf>
    <xf numFmtId="0" fontId="16" fillId="0" borderId="0" xfId="0" applyFont="1" applyAlignment="1">
      <alignment horizontal="right"/>
    </xf>
    <xf numFmtId="0" fontId="5" fillId="0" borderId="0" xfId="0" applyFont="1"/>
    <xf numFmtId="43" fontId="3" fillId="0" borderId="0" xfId="0" applyNumberFormat="1" applyFont="1"/>
    <xf numFmtId="43" fontId="15" fillId="6" borderId="0" xfId="0" applyNumberFormat="1" applyFont="1" applyFill="1"/>
    <xf numFmtId="0" fontId="15" fillId="0" borderId="0" xfId="0" applyFont="1"/>
    <xf numFmtId="43" fontId="15" fillId="0" borderId="0" xfId="0" applyNumberFormat="1" applyFont="1"/>
    <xf numFmtId="3" fontId="3" fillId="0" borderId="0" xfId="0" applyNumberFormat="1" applyFont="1" applyAlignment="1">
      <alignment vertical="center" wrapText="1"/>
    </xf>
    <xf numFmtId="41" fontId="5" fillId="0" borderId="0" xfId="0" applyNumberFormat="1" applyFont="1" applyAlignment="1">
      <alignment vertical="center" wrapText="1"/>
    </xf>
    <xf numFmtId="41" fontId="3" fillId="5" borderId="0" xfId="0" applyNumberFormat="1" applyFont="1" applyFill="1" applyAlignment="1">
      <alignment vertical="center" wrapText="1"/>
    </xf>
    <xf numFmtId="0" fontId="3" fillId="0" borderId="3" xfId="0" applyFont="1" applyBorder="1" applyAlignment="1">
      <alignment vertical="center" wrapText="1"/>
    </xf>
    <xf numFmtId="3" fontId="3" fillId="0" borderId="0" xfId="0" applyNumberFormat="1" applyFont="1"/>
    <xf numFmtId="41" fontId="7" fillId="0" borderId="0" xfId="0" applyNumberFormat="1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1" fontId="3" fillId="0" borderId="0" xfId="0" applyNumberFormat="1" applyFont="1"/>
    <xf numFmtId="41" fontId="3" fillId="0" borderId="3" xfId="0" applyNumberFormat="1" applyFont="1" applyBorder="1"/>
    <xf numFmtId="0" fontId="16" fillId="0" borderId="0" xfId="0" applyFont="1"/>
    <xf numFmtId="183" fontId="6" fillId="0" borderId="0" xfId="0" applyNumberFormat="1" applyFont="1" applyAlignment="1">
      <alignment horizontal="center"/>
    </xf>
    <xf numFmtId="187" fontId="3" fillId="5" borderId="0" xfId="0" applyNumberFormat="1" applyFont="1" applyFill="1"/>
    <xf numFmtId="167" fontId="3" fillId="5" borderId="0" xfId="0" applyNumberFormat="1" applyFont="1" applyFill="1"/>
    <xf numFmtId="9" fontId="3" fillId="0" borderId="0" xfId="0" applyNumberFormat="1" applyFont="1"/>
    <xf numFmtId="169" fontId="10" fillId="0" borderId="0" xfId="1" applyNumberFormat="1" applyFont="1" applyFill="1" applyBorder="1" applyAlignment="1">
      <alignment horizontal="right"/>
    </xf>
    <xf numFmtId="169" fontId="10" fillId="5" borderId="0" xfId="1" applyNumberFormat="1" applyFont="1" applyFill="1" applyBorder="1" applyAlignment="1"/>
    <xf numFmtId="41" fontId="3" fillId="5" borderId="0" xfId="0" applyNumberFormat="1" applyFont="1" applyFill="1"/>
    <xf numFmtId="0" fontId="3" fillId="6" borderId="0" xfId="0" applyFont="1" applyFill="1" applyAlignment="1">
      <alignment horizontal="center"/>
    </xf>
    <xf numFmtId="9" fontId="3" fillId="6" borderId="0" xfId="4" applyFont="1" applyFill="1"/>
    <xf numFmtId="0" fontId="4" fillId="6" borderId="0" xfId="0" applyFont="1" applyFill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9" fontId="3" fillId="0" borderId="0" xfId="4" applyFont="1" applyFill="1"/>
    <xf numFmtId="41" fontId="3" fillId="5" borderId="3" xfId="0" applyNumberFormat="1" applyFont="1" applyFill="1" applyBorder="1"/>
    <xf numFmtId="166" fontId="3" fillId="5" borderId="0" xfId="0" applyNumberFormat="1" applyFont="1" applyFill="1"/>
    <xf numFmtId="9" fontId="5" fillId="0" borderId="0" xfId="4" applyFont="1" applyAlignment="1">
      <alignment vertical="center" wrapText="1"/>
    </xf>
    <xf numFmtId="166" fontId="3" fillId="5" borderId="3" xfId="0" applyNumberFormat="1" applyFont="1" applyFill="1" applyBorder="1"/>
    <xf numFmtId="0" fontId="5" fillId="0" borderId="0" xfId="0" applyFont="1" applyAlignment="1">
      <alignment horizontal="left" indent="1"/>
    </xf>
    <xf numFmtId="179" fontId="3" fillId="0" borderId="0" xfId="4" applyNumberFormat="1" applyFont="1"/>
    <xf numFmtId="0" fontId="7" fillId="0" borderId="0" xfId="0" applyFont="1"/>
    <xf numFmtId="42" fontId="3" fillId="0" borderId="0" xfId="0" applyNumberFormat="1" applyFont="1"/>
    <xf numFmtId="41" fontId="10" fillId="0" borderId="0" xfId="1" applyNumberFormat="1" applyFont="1" applyFill="1" applyBorder="1" applyAlignment="1">
      <alignment horizontal="center"/>
    </xf>
    <xf numFmtId="0" fontId="16" fillId="0" borderId="0" xfId="0" applyFont="1" applyAlignment="1">
      <alignment horizontal="left" indent="1"/>
    </xf>
    <xf numFmtId="0" fontId="10" fillId="4" borderId="0" xfId="0" applyFont="1" applyFill="1" applyAlignment="1">
      <alignment horizontal="left" vertical="center" indent="1"/>
    </xf>
    <xf numFmtId="0" fontId="19" fillId="0" borderId="0" xfId="2" applyFont="1"/>
    <xf numFmtId="42" fontId="0" fillId="0" borderId="0" xfId="0" applyNumberFormat="1"/>
    <xf numFmtId="0" fontId="22" fillId="0" borderId="0" xfId="6" applyFont="1" applyAlignment="1">
      <alignment horizontal="center"/>
    </xf>
    <xf numFmtId="0" fontId="8" fillId="0" borderId="0" xfId="6" applyFont="1"/>
    <xf numFmtId="0" fontId="22" fillId="0" borderId="0" xfId="6" applyFont="1"/>
    <xf numFmtId="0" fontId="23" fillId="3" borderId="0" xfId="6" applyFont="1" applyFill="1" applyAlignment="1">
      <alignment horizontal="left"/>
    </xf>
    <xf numFmtId="0" fontId="24" fillId="3" borderId="0" xfId="6" applyFont="1" applyFill="1" applyAlignment="1">
      <alignment horizontal="left"/>
    </xf>
    <xf numFmtId="0" fontId="25" fillId="3" borderId="0" xfId="6" applyFont="1" applyFill="1" applyAlignment="1">
      <alignment horizontal="right"/>
    </xf>
    <xf numFmtId="0" fontId="3" fillId="0" borderId="0" xfId="6" applyFont="1"/>
    <xf numFmtId="0" fontId="25" fillId="0" borderId="0" xfId="6" applyFont="1" applyAlignment="1">
      <alignment horizontal="right"/>
    </xf>
    <xf numFmtId="0" fontId="26" fillId="3" borderId="0" xfId="2" applyFont="1" applyFill="1" applyAlignment="1">
      <alignment horizontal="right"/>
    </xf>
    <xf numFmtId="0" fontId="26" fillId="0" borderId="0" xfId="2" applyFont="1" applyAlignment="1">
      <alignment horizontal="right"/>
    </xf>
    <xf numFmtId="0" fontId="19" fillId="6" borderId="0" xfId="6" applyFont="1" applyFill="1" applyAlignment="1">
      <alignment horizontal="centerContinuous"/>
    </xf>
    <xf numFmtId="0" fontId="3" fillId="6" borderId="0" xfId="6" applyFont="1" applyFill="1" applyAlignment="1">
      <alignment horizontal="centerContinuous"/>
    </xf>
    <xf numFmtId="0" fontId="3" fillId="0" borderId="0" xfId="6" applyFont="1" applyAlignment="1">
      <alignment horizontal="centerContinuous"/>
    </xf>
    <xf numFmtId="14" fontId="10" fillId="6" borderId="0" xfId="0" applyNumberFormat="1" applyFont="1" applyFill="1" applyAlignment="1">
      <alignment horizontal="center"/>
    </xf>
    <xf numFmtId="14" fontId="10" fillId="0" borderId="0" xfId="0" applyNumberFormat="1" applyFont="1" applyAlignment="1">
      <alignment horizontal="center"/>
    </xf>
    <xf numFmtId="168" fontId="8" fillId="0" borderId="0" xfId="0" applyNumberFormat="1" applyFont="1" applyAlignment="1">
      <alignment horizontal="center" vertical="center"/>
    </xf>
    <xf numFmtId="168" fontId="8" fillId="0" borderId="0" xfId="0" applyNumberFormat="1" applyFont="1" applyAlignment="1">
      <alignment horizontal="center"/>
    </xf>
    <xf numFmtId="174" fontId="7" fillId="0" borderId="0" xfId="6" applyNumberFormat="1" applyFont="1"/>
    <xf numFmtId="184" fontId="8" fillId="0" borderId="0" xfId="6" applyNumberFormat="1" applyFont="1"/>
    <xf numFmtId="189" fontId="8" fillId="0" borderId="0" xfId="6" applyNumberFormat="1" applyFont="1"/>
    <xf numFmtId="0" fontId="8" fillId="0" borderId="0" xfId="6" applyFont="1" applyAlignment="1">
      <alignment horizontal="left"/>
    </xf>
    <xf numFmtId="0" fontId="22" fillId="0" borderId="0" xfId="6" applyFont="1" applyAlignment="1">
      <alignment horizontal="left" indent="1"/>
    </xf>
    <xf numFmtId="174" fontId="8" fillId="0" borderId="0" xfId="6" applyNumberFormat="1" applyFont="1"/>
    <xf numFmtId="41" fontId="8" fillId="0" borderId="0" xfId="6" applyNumberFormat="1" applyFont="1"/>
    <xf numFmtId="9" fontId="22" fillId="0" borderId="0" xfId="4" applyFont="1" applyBorder="1"/>
    <xf numFmtId="174" fontId="22" fillId="0" borderId="0" xfId="6" applyNumberFormat="1" applyFont="1"/>
    <xf numFmtId="0" fontId="8" fillId="0" borderId="0" xfId="6" applyFont="1" applyAlignment="1">
      <alignment horizontal="left" indent="1"/>
    </xf>
    <xf numFmtId="174" fontId="8" fillId="0" borderId="3" xfId="6" applyNumberFormat="1" applyFont="1" applyBorder="1"/>
    <xf numFmtId="41" fontId="8" fillId="0" borderId="3" xfId="6" applyNumberFormat="1" applyFont="1" applyBorder="1"/>
    <xf numFmtId="0" fontId="27" fillId="0" borderId="6" xfId="6" applyFont="1" applyBorder="1" applyAlignment="1">
      <alignment horizontal="left"/>
    </xf>
    <xf numFmtId="0" fontId="22" fillId="0" borderId="6" xfId="6" applyFont="1" applyBorder="1" applyAlignment="1">
      <alignment horizontal="left" indent="1"/>
    </xf>
    <xf numFmtId="184" fontId="28" fillId="0" borderId="0" xfId="6" applyNumberFormat="1" applyFont="1"/>
    <xf numFmtId="184" fontId="27" fillId="0" borderId="0" xfId="6" applyNumberFormat="1" applyFont="1"/>
    <xf numFmtId="189" fontId="27" fillId="0" borderId="0" xfId="6" applyNumberFormat="1" applyFont="1"/>
    <xf numFmtId="0" fontId="22" fillId="0" borderId="0" xfId="6" applyFont="1" applyAlignment="1">
      <alignment horizontal="left"/>
    </xf>
    <xf numFmtId="167" fontId="22" fillId="0" borderId="0" xfId="6" applyNumberFormat="1" applyFont="1"/>
    <xf numFmtId="9" fontId="22" fillId="0" borderId="0" xfId="6" applyNumberFormat="1" applyFont="1"/>
    <xf numFmtId="190" fontId="8" fillId="0" borderId="0" xfId="6" applyNumberFormat="1" applyFont="1"/>
    <xf numFmtId="179" fontId="3" fillId="0" borderId="0" xfId="6" applyNumberFormat="1" applyFont="1"/>
    <xf numFmtId="6" fontId="22" fillId="0" borderId="0" xfId="6" applyNumberFormat="1" applyFont="1"/>
    <xf numFmtId="0" fontId="4" fillId="3" borderId="0" xfId="6" applyFont="1" applyFill="1" applyAlignment="1">
      <alignment horizontal="centerContinuous"/>
    </xf>
    <xf numFmtId="0" fontId="20" fillId="3" borderId="0" xfId="6" applyFont="1" applyFill="1" applyAlignment="1">
      <alignment horizontal="centerContinuous"/>
    </xf>
    <xf numFmtId="0" fontId="20" fillId="0" borderId="0" xfId="6" applyFont="1" applyAlignment="1">
      <alignment horizontal="centerContinuous"/>
    </xf>
    <xf numFmtId="0" fontId="28" fillId="0" borderId="0" xfId="6" applyFont="1" applyAlignment="1">
      <alignment horizontal="centerContinuous"/>
    </xf>
    <xf numFmtId="0" fontId="22" fillId="0" borderId="0" xfId="6" applyFont="1" applyAlignment="1">
      <alignment horizontal="centerContinuous"/>
    </xf>
    <xf numFmtId="184" fontId="7" fillId="0" borderId="0" xfId="6" applyNumberFormat="1" applyFont="1"/>
    <xf numFmtId="41" fontId="7" fillId="0" borderId="0" xfId="6" applyNumberFormat="1" applyFont="1"/>
    <xf numFmtId="167" fontId="3" fillId="0" borderId="0" xfId="6" applyNumberFormat="1" applyFont="1"/>
    <xf numFmtId="0" fontId="15" fillId="3" borderId="0" xfId="6" applyFont="1" applyFill="1" applyAlignment="1">
      <alignment horizontal="centerContinuous"/>
    </xf>
    <xf numFmtId="0" fontId="22" fillId="3" borderId="0" xfId="6" applyFont="1" applyFill="1" applyAlignment="1">
      <alignment horizontal="centerContinuous"/>
    </xf>
    <xf numFmtId="0" fontId="22" fillId="9" borderId="0" xfId="6" applyFont="1" applyFill="1" applyAlignment="1">
      <alignment horizontal="centerContinuous"/>
    </xf>
    <xf numFmtId="42" fontId="8" fillId="0" borderId="0" xfId="6" applyNumberFormat="1" applyFont="1"/>
    <xf numFmtId="0" fontId="3" fillId="0" borderId="0" xfId="6" applyFont="1" applyAlignment="1">
      <alignment horizontal="center"/>
    </xf>
    <xf numFmtId="9" fontId="3" fillId="0" borderId="0" xfId="4" applyFont="1" applyBorder="1"/>
    <xf numFmtId="0" fontId="15" fillId="0" borderId="0" xfId="6" applyFont="1" applyAlignment="1">
      <alignment horizontal="centerContinuous"/>
    </xf>
    <xf numFmtId="0" fontId="3" fillId="0" borderId="0" xfId="6" applyFont="1" applyAlignment="1">
      <alignment horizontal="left" indent="1"/>
    </xf>
    <xf numFmtId="0" fontId="5" fillId="0" borderId="0" xfId="6" applyFont="1" applyAlignment="1">
      <alignment horizontal="centerContinuous"/>
    </xf>
    <xf numFmtId="44" fontId="7" fillId="0" borderId="0" xfId="6" applyNumberFormat="1" applyFont="1"/>
    <xf numFmtId="3" fontId="7" fillId="0" borderId="0" xfId="6" applyNumberFormat="1" applyFont="1" applyAlignment="1">
      <alignment horizontal="right"/>
    </xf>
    <xf numFmtId="4" fontId="7" fillId="0" borderId="0" xfId="6" applyNumberFormat="1" applyFont="1" applyAlignment="1">
      <alignment horizontal="right"/>
    </xf>
    <xf numFmtId="0" fontId="5" fillId="6" borderId="0" xfId="6" applyFont="1" applyFill="1" applyAlignment="1">
      <alignment horizontal="center"/>
    </xf>
    <xf numFmtId="0" fontId="5" fillId="0" borderId="0" xfId="6" applyFont="1" applyAlignment="1">
      <alignment horizontal="center"/>
    </xf>
    <xf numFmtId="191" fontId="7" fillId="0" borderId="0" xfId="6" applyNumberFormat="1" applyFont="1"/>
    <xf numFmtId="44" fontId="7" fillId="0" borderId="0" xfId="6" applyNumberFormat="1" applyFont="1" applyAlignment="1">
      <alignment horizontal="right"/>
    </xf>
    <xf numFmtId="191" fontId="3" fillId="0" borderId="0" xfId="6" applyNumberFormat="1" applyFont="1"/>
    <xf numFmtId="4" fontId="3" fillId="0" borderId="0" xfId="6" applyNumberFormat="1" applyFont="1"/>
    <xf numFmtId="0" fontId="4" fillId="3" borderId="0" xfId="6" applyFont="1" applyFill="1" applyAlignment="1">
      <alignment horizontal="center"/>
    </xf>
    <xf numFmtId="0" fontId="4" fillId="0" borderId="0" xfId="6" applyFont="1" applyAlignment="1">
      <alignment horizontal="center"/>
    </xf>
    <xf numFmtId="182" fontId="7" fillId="0" borderId="0" xfId="6" applyNumberFormat="1" applyFont="1"/>
    <xf numFmtId="42" fontId="7" fillId="0" borderId="0" xfId="6" applyNumberFormat="1" applyFont="1"/>
    <xf numFmtId="44" fontId="3" fillId="0" borderId="0" xfId="6" applyNumberFormat="1" applyFont="1"/>
    <xf numFmtId="4" fontId="5" fillId="0" borderId="0" xfId="6" applyNumberFormat="1" applyFont="1"/>
    <xf numFmtId="44" fontId="3" fillId="0" borderId="0" xfId="6" applyNumberFormat="1" applyFont="1" applyAlignment="1">
      <alignment horizontal="centerContinuous"/>
    </xf>
    <xf numFmtId="42" fontId="3" fillId="0" borderId="0" xfId="6" applyNumberFormat="1" applyFont="1"/>
    <xf numFmtId="41" fontId="3" fillId="0" borderId="0" xfId="6" applyNumberFormat="1" applyFont="1"/>
    <xf numFmtId="4" fontId="7" fillId="0" borderId="0" xfId="6" applyNumberFormat="1" applyFont="1"/>
    <xf numFmtId="168" fontId="10" fillId="6" borderId="0" xfId="0" applyNumberFormat="1" applyFont="1" applyFill="1" applyAlignment="1">
      <alignment horizontal="center"/>
    </xf>
    <xf numFmtId="168" fontId="10" fillId="0" borderId="0" xfId="0" applyNumberFormat="1" applyFont="1" applyAlignment="1">
      <alignment horizontal="center"/>
    </xf>
    <xf numFmtId="192" fontId="10" fillId="0" borderId="0" xfId="6" applyNumberFormat="1" applyFont="1"/>
    <xf numFmtId="0" fontId="3" fillId="9" borderId="0" xfId="6" applyFont="1" applyFill="1"/>
    <xf numFmtId="184" fontId="10" fillId="0" borderId="0" xfId="6" applyNumberFormat="1" applyFont="1"/>
    <xf numFmtId="174" fontId="10" fillId="0" borderId="0" xfId="6" applyNumberFormat="1" applyFont="1"/>
    <xf numFmtId="41" fontId="10" fillId="0" borderId="0" xfId="6" applyNumberFormat="1" applyFont="1"/>
    <xf numFmtId="190" fontId="10" fillId="0" borderId="0" xfId="6" applyNumberFormat="1" applyFont="1"/>
    <xf numFmtId="0" fontId="29" fillId="0" borderId="0" xfId="0" applyFont="1"/>
    <xf numFmtId="0" fontId="30" fillId="0" borderId="0" xfId="5" applyFont="1"/>
    <xf numFmtId="0" fontId="30" fillId="0" borderId="0" xfId="5" applyFont="1" applyAlignment="1">
      <alignment horizontal="right"/>
    </xf>
    <xf numFmtId="0" fontId="30" fillId="0" borderId="0" xfId="5" applyFont="1" applyFill="1" applyBorder="1" applyAlignment="1">
      <alignment horizontal="right"/>
    </xf>
    <xf numFmtId="0" fontId="5" fillId="0" borderId="0" xfId="2" applyFont="1"/>
    <xf numFmtId="0" fontId="8" fillId="0" borderId="0" xfId="3" applyFont="1"/>
    <xf numFmtId="0" fontId="31" fillId="0" borderId="0" xfId="0" applyFont="1"/>
    <xf numFmtId="1" fontId="8" fillId="0" borderId="0" xfId="3" applyNumberFormat="1" applyFont="1"/>
    <xf numFmtId="0" fontId="25" fillId="3" borderId="0" xfId="6" applyFont="1" applyFill="1" applyAlignment="1">
      <alignment horizontal="left"/>
    </xf>
    <xf numFmtId="0" fontId="25" fillId="3" borderId="0" xfId="2" applyFont="1" applyFill="1"/>
    <xf numFmtId="0" fontId="23" fillId="3" borderId="0" xfId="2" applyFont="1" applyFill="1" applyAlignment="1">
      <alignment horizontal="centerContinuous"/>
    </xf>
    <xf numFmtId="0" fontId="24" fillId="3" borderId="0" xfId="2" applyFont="1" applyFill="1" applyAlignment="1">
      <alignment horizontal="centerContinuous"/>
    </xf>
    <xf numFmtId="0" fontId="32" fillId="3" borderId="0" xfId="2" applyFont="1" applyFill="1"/>
    <xf numFmtId="0" fontId="25" fillId="3" borderId="0" xfId="2" applyFont="1" applyFill="1" applyAlignment="1">
      <alignment horizontal="center"/>
    </xf>
    <xf numFmtId="0" fontId="32" fillId="3" borderId="0" xfId="2" applyFont="1" applyFill="1" applyAlignment="1">
      <alignment horizontal="centerContinuous"/>
    </xf>
    <xf numFmtId="0" fontId="25" fillId="3" borderId="3" xfId="2" applyFont="1" applyFill="1" applyBorder="1"/>
    <xf numFmtId="0" fontId="25" fillId="3" borderId="3" xfId="2" applyFont="1" applyFill="1" applyBorder="1" applyAlignment="1">
      <alignment horizontal="center"/>
    </xf>
    <xf numFmtId="14" fontId="25" fillId="3" borderId="3" xfId="2" applyNumberFormat="1" applyFont="1" applyFill="1" applyBorder="1" applyAlignment="1">
      <alignment horizontal="center"/>
    </xf>
    <xf numFmtId="193" fontId="4" fillId="3" borderId="3" xfId="0" applyNumberFormat="1" applyFont="1" applyFill="1" applyBorder="1" applyAlignment="1">
      <alignment horizontal="center"/>
    </xf>
    <xf numFmtId="42" fontId="8" fillId="0" borderId="0" xfId="3" applyNumberFormat="1" applyFont="1"/>
    <xf numFmtId="194" fontId="8" fillId="0" borderId="0" xfId="3" applyNumberFormat="1" applyFont="1"/>
    <xf numFmtId="179" fontId="8" fillId="0" borderId="0" xfId="4" applyNumberFormat="1" applyFont="1"/>
    <xf numFmtId="41" fontId="8" fillId="0" borderId="0" xfId="3" applyNumberFormat="1" applyFont="1"/>
    <xf numFmtId="43" fontId="7" fillId="0" borderId="0" xfId="2" applyNumberFormat="1" applyFont="1"/>
    <xf numFmtId="167" fontId="7" fillId="0" borderId="0" xfId="2" applyNumberFormat="1" applyFont="1"/>
    <xf numFmtId="195" fontId="7" fillId="0" borderId="0" xfId="0" applyNumberFormat="1" applyFont="1"/>
    <xf numFmtId="190" fontId="7" fillId="0" borderId="0" xfId="0" applyNumberFormat="1" applyFont="1" applyAlignment="1">
      <alignment horizontal="center" vertical="top" wrapText="1"/>
    </xf>
    <xf numFmtId="178" fontId="10" fillId="0" borderId="0" xfId="2" applyNumberFormat="1" applyFont="1"/>
    <xf numFmtId="0" fontId="10" fillId="0" borderId="8" xfId="2" applyFont="1" applyBorder="1"/>
    <xf numFmtId="0" fontId="10" fillId="0" borderId="6" xfId="2" applyFont="1" applyBorder="1"/>
    <xf numFmtId="44" fontId="10" fillId="0" borderId="6" xfId="2" applyNumberFormat="1" applyFont="1" applyBorder="1"/>
    <xf numFmtId="196" fontId="10" fillId="0" borderId="6" xfId="2" applyNumberFormat="1" applyFont="1" applyBorder="1"/>
    <xf numFmtId="178" fontId="10" fillId="0" borderId="6" xfId="2" applyNumberFormat="1" applyFont="1" applyBorder="1"/>
    <xf numFmtId="178" fontId="10" fillId="0" borderId="9" xfId="2" applyNumberFormat="1" applyFont="1" applyBorder="1"/>
    <xf numFmtId="0" fontId="10" fillId="0" borderId="12" xfId="2" applyFont="1" applyBorder="1"/>
    <xf numFmtId="43" fontId="10" fillId="0" borderId="0" xfId="2" applyNumberFormat="1" applyFont="1"/>
    <xf numFmtId="197" fontId="10" fillId="0" borderId="0" xfId="2" applyNumberFormat="1" applyFont="1"/>
    <xf numFmtId="178" fontId="10" fillId="0" borderId="13" xfId="2" applyNumberFormat="1" applyFont="1" applyBorder="1"/>
    <xf numFmtId="0" fontId="19" fillId="10" borderId="14" xfId="2" applyFont="1" applyFill="1" applyBorder="1"/>
    <xf numFmtId="0" fontId="19" fillId="10" borderId="15" xfId="2" applyFont="1" applyFill="1" applyBorder="1"/>
    <xf numFmtId="44" fontId="19" fillId="10" borderId="15" xfId="2" applyNumberFormat="1" applyFont="1" applyFill="1" applyBorder="1"/>
    <xf numFmtId="167" fontId="19" fillId="10" borderId="15" xfId="2" applyNumberFormat="1" applyFont="1" applyFill="1" applyBorder="1"/>
    <xf numFmtId="196" fontId="19" fillId="10" borderId="15" xfId="2" applyNumberFormat="1" applyFont="1" applyFill="1" applyBorder="1"/>
    <xf numFmtId="178" fontId="19" fillId="10" borderId="15" xfId="2" applyNumberFormat="1" applyFont="1" applyFill="1" applyBorder="1"/>
    <xf numFmtId="178" fontId="19" fillId="10" borderId="16" xfId="2" applyNumberFormat="1" applyFont="1" applyFill="1" applyBorder="1"/>
    <xf numFmtId="0" fontId="10" fillId="0" borderId="10" xfId="2" applyFont="1" applyBorder="1"/>
    <xf numFmtId="0" fontId="19" fillId="0" borderId="3" xfId="2" applyFont="1" applyBorder="1"/>
    <xf numFmtId="43" fontId="10" fillId="0" borderId="3" xfId="2" applyNumberFormat="1" applyFont="1" applyBorder="1"/>
    <xf numFmtId="197" fontId="10" fillId="0" borderId="3" xfId="2" applyNumberFormat="1" applyFont="1" applyBorder="1"/>
    <xf numFmtId="178" fontId="10" fillId="0" borderId="3" xfId="2" applyNumberFormat="1" applyFont="1" applyBorder="1"/>
    <xf numFmtId="178" fontId="10" fillId="0" borderId="11" xfId="2" applyNumberFormat="1" applyFont="1" applyBorder="1"/>
    <xf numFmtId="0" fontId="33" fillId="0" borderId="0" xfId="0" applyFont="1"/>
    <xf numFmtId="42" fontId="4" fillId="6" borderId="14" xfId="3" applyNumberFormat="1" applyFont="1" applyFill="1" applyBorder="1"/>
    <xf numFmtId="0" fontId="4" fillId="6" borderId="15" xfId="2" applyFont="1" applyFill="1" applyBorder="1"/>
    <xf numFmtId="42" fontId="4" fillId="6" borderId="15" xfId="3" applyNumberFormat="1" applyFont="1" applyFill="1" applyBorder="1"/>
    <xf numFmtId="178" fontId="4" fillId="6" borderId="15" xfId="2" applyNumberFormat="1" applyFont="1" applyFill="1" applyBorder="1"/>
    <xf numFmtId="178" fontId="4" fillId="6" borderId="16" xfId="2" applyNumberFormat="1" applyFont="1" applyFill="1" applyBorder="1"/>
    <xf numFmtId="0" fontId="4" fillId="0" borderId="0" xfId="2" applyFont="1"/>
    <xf numFmtId="44" fontId="4" fillId="0" borderId="0" xfId="2" applyNumberFormat="1" applyFont="1"/>
    <xf numFmtId="197" fontId="4" fillId="0" borderId="0" xfId="2" applyNumberFormat="1" applyFont="1"/>
    <xf numFmtId="182" fontId="4" fillId="0" borderId="0" xfId="2" applyNumberFormat="1" applyFont="1"/>
    <xf numFmtId="43" fontId="4" fillId="0" borderId="0" xfId="2" applyNumberFormat="1" applyFont="1" applyAlignment="1">
      <alignment horizontal="center"/>
    </xf>
    <xf numFmtId="178" fontId="4" fillId="0" borderId="0" xfId="2" applyNumberFormat="1" applyFont="1" applyAlignment="1">
      <alignment horizontal="center"/>
    </xf>
    <xf numFmtId="179" fontId="4" fillId="0" borderId="0" xfId="2" applyNumberFormat="1" applyFont="1"/>
    <xf numFmtId="0" fontId="10" fillId="0" borderId="0" xfId="2" applyFont="1" applyAlignment="1">
      <alignment horizontal="center"/>
    </xf>
    <xf numFmtId="43" fontId="10" fillId="0" borderId="0" xfId="2" applyNumberFormat="1" applyFont="1" applyAlignment="1">
      <alignment horizontal="center"/>
    </xf>
    <xf numFmtId="14" fontId="25" fillId="3" borderId="0" xfId="2" applyNumberFormat="1" applyFont="1" applyFill="1" applyAlignment="1">
      <alignment horizontal="center"/>
    </xf>
    <xf numFmtId="193" fontId="4" fillId="3" borderId="0" xfId="0" applyNumberFormat="1" applyFont="1" applyFill="1" applyAlignment="1">
      <alignment horizontal="center"/>
    </xf>
    <xf numFmtId="0" fontId="19" fillId="0" borderId="0" xfId="2" applyFont="1" applyAlignment="1">
      <alignment horizontal="center"/>
    </xf>
    <xf numFmtId="3" fontId="34" fillId="0" borderId="0" xfId="0" applyNumberFormat="1" applyFont="1" applyAlignment="1">
      <alignment vertical="center"/>
    </xf>
    <xf numFmtId="183" fontId="10" fillId="0" borderId="6" xfId="2" applyNumberFormat="1" applyFont="1" applyBorder="1"/>
    <xf numFmtId="183" fontId="10" fillId="0" borderId="9" xfId="2" applyNumberFormat="1" applyFont="1" applyBorder="1"/>
    <xf numFmtId="183" fontId="10" fillId="0" borderId="13" xfId="2" applyNumberFormat="1" applyFont="1" applyBorder="1"/>
    <xf numFmtId="0" fontId="19" fillId="6" borderId="14" xfId="2" applyFont="1" applyFill="1" applyBorder="1"/>
    <xf numFmtId="0" fontId="19" fillId="6" borderId="15" xfId="2" applyFont="1" applyFill="1" applyBorder="1"/>
    <xf numFmtId="44" fontId="19" fillId="6" borderId="15" xfId="2" applyNumberFormat="1" applyFont="1" applyFill="1" applyBorder="1"/>
    <xf numFmtId="167" fontId="19" fillId="6" borderId="15" xfId="2" applyNumberFormat="1" applyFont="1" applyFill="1" applyBorder="1"/>
    <xf numFmtId="196" fontId="19" fillId="6" borderId="15" xfId="2" applyNumberFormat="1" applyFont="1" applyFill="1" applyBorder="1"/>
    <xf numFmtId="183" fontId="19" fillId="6" borderId="15" xfId="2" applyNumberFormat="1" applyFont="1" applyFill="1" applyBorder="1"/>
    <xf numFmtId="183" fontId="19" fillId="6" borderId="16" xfId="2" applyNumberFormat="1" applyFont="1" applyFill="1" applyBorder="1"/>
    <xf numFmtId="183" fontId="10" fillId="0" borderId="3" xfId="2" applyNumberFormat="1" applyFont="1" applyBorder="1"/>
    <xf numFmtId="183" fontId="10" fillId="0" borderId="11" xfId="2" applyNumberFormat="1" applyFont="1" applyBorder="1"/>
    <xf numFmtId="198" fontId="4" fillId="6" borderId="14" xfId="3" applyNumberFormat="1" applyFont="1" applyFill="1" applyBorder="1"/>
    <xf numFmtId="44" fontId="4" fillId="6" borderId="15" xfId="2" applyNumberFormat="1" applyFont="1" applyFill="1" applyBorder="1"/>
    <xf numFmtId="198" fontId="4" fillId="6" borderId="15" xfId="3" applyNumberFormat="1" applyFont="1" applyFill="1" applyBorder="1"/>
    <xf numFmtId="198" fontId="4" fillId="6" borderId="16" xfId="3" applyNumberFormat="1" applyFont="1" applyFill="1" applyBorder="1"/>
    <xf numFmtId="9" fontId="4" fillId="6" borderId="15" xfId="4" applyFont="1" applyFill="1" applyBorder="1"/>
    <xf numFmtId="194" fontId="4" fillId="6" borderId="15" xfId="3" applyNumberFormat="1" applyFont="1" applyFill="1" applyBorder="1"/>
    <xf numFmtId="0" fontId="35" fillId="0" borderId="0" xfId="3" applyFont="1"/>
    <xf numFmtId="0" fontId="19" fillId="0" borderId="0" xfId="3" applyFont="1"/>
    <xf numFmtId="0" fontId="10" fillId="0" borderId="0" xfId="3" applyFont="1"/>
    <xf numFmtId="44" fontId="10" fillId="0" borderId="0" xfId="3" applyNumberFormat="1" applyFont="1"/>
    <xf numFmtId="0" fontId="25" fillId="3" borderId="0" xfId="3" applyFont="1" applyFill="1"/>
    <xf numFmtId="0" fontId="25" fillId="3" borderId="0" xfId="3" applyFont="1" applyFill="1" applyAlignment="1">
      <alignment horizontal="center"/>
    </xf>
    <xf numFmtId="0" fontId="23" fillId="3" borderId="0" xfId="3" applyFont="1" applyFill="1" applyAlignment="1">
      <alignment horizontal="centerContinuous"/>
    </xf>
    <xf numFmtId="0" fontId="25" fillId="3" borderId="0" xfId="3" applyFont="1" applyFill="1" applyAlignment="1">
      <alignment horizontal="centerContinuous"/>
    </xf>
    <xf numFmtId="0" fontId="23" fillId="3" borderId="0" xfId="3" applyFont="1" applyFill="1"/>
    <xf numFmtId="0" fontId="32" fillId="3" borderId="0" xfId="3" applyFont="1" applyFill="1"/>
    <xf numFmtId="0" fontId="25" fillId="3" borderId="3" xfId="3" applyFont="1" applyFill="1" applyBorder="1" applyAlignment="1">
      <alignment horizontal="center"/>
    </xf>
    <xf numFmtId="0" fontId="10" fillId="0" borderId="0" xfId="3" applyFont="1" applyAlignment="1">
      <alignment horizontal="left"/>
    </xf>
    <xf numFmtId="0" fontId="10" fillId="0" borderId="0" xfId="3" applyFont="1" applyAlignment="1">
      <alignment horizontal="center"/>
    </xf>
    <xf numFmtId="14" fontId="8" fillId="0" borderId="0" xfId="7" applyNumberFormat="1" applyFont="1" applyAlignment="1">
      <alignment horizontal="left" vertical="top"/>
    </xf>
    <xf numFmtId="174" fontId="7" fillId="0" borderId="0" xfId="0" applyNumberFormat="1" applyFont="1" applyAlignment="1">
      <alignment vertical="top" wrapText="1"/>
    </xf>
    <xf numFmtId="184" fontId="7" fillId="0" borderId="0" xfId="0" applyNumberFormat="1" applyFont="1" applyAlignment="1">
      <alignment vertical="top" wrapText="1"/>
    </xf>
    <xf numFmtId="192" fontId="8" fillId="0" borderId="0" xfId="8" applyNumberFormat="1" applyFont="1" applyAlignment="1">
      <alignment vertical="top" wrapText="1"/>
    </xf>
    <xf numFmtId="44" fontId="7" fillId="0" borderId="0" xfId="8" applyNumberFormat="1" applyFont="1" applyAlignment="1">
      <alignment vertical="top" wrapText="1"/>
    </xf>
    <xf numFmtId="199" fontId="8" fillId="0" borderId="0" xfId="8" applyNumberFormat="1" applyFont="1" applyAlignment="1">
      <alignment vertical="top" wrapText="1"/>
    </xf>
    <xf numFmtId="0" fontId="8" fillId="0" borderId="0" xfId="7" applyFont="1" applyAlignment="1">
      <alignment horizontal="left" vertical="top"/>
    </xf>
    <xf numFmtId="0" fontId="8" fillId="0" borderId="0" xfId="7" applyFont="1" applyAlignment="1">
      <alignment horizontal="center" vertical="top"/>
    </xf>
    <xf numFmtId="185" fontId="7" fillId="0" borderId="0" xfId="0" applyNumberFormat="1" applyFont="1" applyAlignment="1">
      <alignment vertical="top" wrapText="1"/>
    </xf>
    <xf numFmtId="43" fontId="7" fillId="0" borderId="0" xfId="8" applyNumberFormat="1" applyFont="1" applyAlignment="1">
      <alignment vertical="top" wrapText="1"/>
    </xf>
    <xf numFmtId="0" fontId="37" fillId="0" borderId="0" xfId="3" applyFont="1"/>
    <xf numFmtId="200" fontId="37" fillId="0" borderId="0" xfId="3" applyNumberFormat="1" applyFont="1" applyAlignment="1">
      <alignment horizontal="right"/>
    </xf>
    <xf numFmtId="201" fontId="37" fillId="0" borderId="0" xfId="3" applyNumberFormat="1" applyFont="1"/>
    <xf numFmtId="192" fontId="37" fillId="0" borderId="0" xfId="3" applyNumberFormat="1" applyFont="1" applyAlignment="1">
      <alignment horizontal="right"/>
    </xf>
    <xf numFmtId="0" fontId="8" fillId="0" borderId="8" xfId="3" applyFont="1" applyBorder="1" applyAlignment="1">
      <alignment horizontal="left"/>
    </xf>
    <xf numFmtId="0" fontId="8" fillId="0" borderId="6" xfId="3" applyFont="1" applyBorder="1" applyAlignment="1">
      <alignment horizontal="left"/>
    </xf>
    <xf numFmtId="0" fontId="37" fillId="0" borderId="6" xfId="3" applyFont="1" applyBorder="1" applyAlignment="1">
      <alignment horizontal="right"/>
    </xf>
    <xf numFmtId="42" fontId="8" fillId="0" borderId="6" xfId="3" applyNumberFormat="1" applyFont="1" applyBorder="1"/>
    <xf numFmtId="192" fontId="8" fillId="0" borderId="6" xfId="3" applyNumberFormat="1" applyFont="1" applyBorder="1"/>
    <xf numFmtId="192" fontId="37" fillId="0" borderId="6" xfId="3" applyNumberFormat="1" applyFont="1" applyBorder="1"/>
    <xf numFmtId="199" fontId="8" fillId="0" borderId="6" xfId="3" applyNumberFormat="1" applyFont="1" applyBorder="1"/>
    <xf numFmtId="199" fontId="8" fillId="0" borderId="9" xfId="3" applyNumberFormat="1" applyFont="1" applyBorder="1"/>
    <xf numFmtId="0" fontId="8" fillId="0" borderId="12" xfId="3" applyFont="1" applyBorder="1" applyAlignment="1">
      <alignment horizontal="left"/>
    </xf>
    <xf numFmtId="0" fontId="8" fillId="0" borderId="0" xfId="3" applyFont="1" applyAlignment="1">
      <alignment horizontal="left"/>
    </xf>
    <xf numFmtId="0" fontId="37" fillId="0" borderId="0" xfId="3" applyFont="1" applyAlignment="1">
      <alignment horizontal="right"/>
    </xf>
    <xf numFmtId="174" fontId="8" fillId="0" borderId="0" xfId="3" applyNumberFormat="1" applyFont="1"/>
    <xf numFmtId="192" fontId="8" fillId="0" borderId="0" xfId="3" applyNumberFormat="1" applyFont="1"/>
    <xf numFmtId="192" fontId="37" fillId="0" borderId="0" xfId="3" applyNumberFormat="1" applyFont="1"/>
    <xf numFmtId="199" fontId="8" fillId="0" borderId="0" xfId="3" applyNumberFormat="1" applyFont="1"/>
    <xf numFmtId="199" fontId="8" fillId="0" borderId="13" xfId="3" applyNumberFormat="1" applyFont="1" applyBorder="1"/>
    <xf numFmtId="0" fontId="19" fillId="6" borderId="14" xfId="3" applyFont="1" applyFill="1" applyBorder="1" applyAlignment="1">
      <alignment horizontal="left"/>
    </xf>
    <xf numFmtId="0" fontId="19" fillId="6" borderId="15" xfId="3" applyFont="1" applyFill="1" applyBorder="1" applyAlignment="1">
      <alignment horizontal="left"/>
    </xf>
    <xf numFmtId="0" fontId="19" fillId="6" borderId="15" xfId="3" applyFont="1" applyFill="1" applyBorder="1" applyAlignment="1">
      <alignment horizontal="right"/>
    </xf>
    <xf numFmtId="174" fontId="19" fillId="6" borderId="15" xfId="3" applyNumberFormat="1" applyFont="1" applyFill="1" applyBorder="1"/>
    <xf numFmtId="192" fontId="19" fillId="6" borderId="15" xfId="3" applyNumberFormat="1" applyFont="1" applyFill="1" applyBorder="1"/>
    <xf numFmtId="199" fontId="19" fillId="6" borderId="15" xfId="3" applyNumberFormat="1" applyFont="1" applyFill="1" applyBorder="1"/>
    <xf numFmtId="199" fontId="19" fillId="6" borderId="16" xfId="3" applyNumberFormat="1" applyFont="1" applyFill="1" applyBorder="1"/>
    <xf numFmtId="0" fontId="8" fillId="0" borderId="10" xfId="3" applyFont="1" applyBorder="1" applyAlignment="1">
      <alignment horizontal="left"/>
    </xf>
    <xf numFmtId="0" fontId="8" fillId="0" borderId="3" xfId="3" applyFont="1" applyBorder="1" applyAlignment="1">
      <alignment horizontal="left"/>
    </xf>
    <xf numFmtId="0" fontId="37" fillId="0" borderId="3" xfId="3" applyFont="1" applyBorder="1" applyAlignment="1">
      <alignment horizontal="right"/>
    </xf>
    <xf numFmtId="174" fontId="8" fillId="0" borderId="3" xfId="3" applyNumberFormat="1" applyFont="1" applyBorder="1"/>
    <xf numFmtId="192" fontId="8" fillId="0" borderId="3" xfId="3" applyNumberFormat="1" applyFont="1" applyBorder="1"/>
    <xf numFmtId="192" fontId="37" fillId="0" borderId="3" xfId="3" applyNumberFormat="1" applyFont="1" applyBorder="1"/>
    <xf numFmtId="199" fontId="8" fillId="0" borderId="3" xfId="3" applyNumberFormat="1" applyFont="1" applyBorder="1"/>
    <xf numFmtId="199" fontId="8" fillId="0" borderId="11" xfId="3" applyNumberFormat="1" applyFont="1" applyBorder="1"/>
    <xf numFmtId="3" fontId="38" fillId="0" borderId="0" xfId="0" applyNumberFormat="1" applyFont="1"/>
    <xf numFmtId="0" fontId="39" fillId="0" borderId="0" xfId="9" applyFont="1"/>
    <xf numFmtId="0" fontId="3" fillId="0" borderId="0" xfId="9" applyFont="1"/>
    <xf numFmtId="183" fontId="19" fillId="0" borderId="0" xfId="2" applyNumberFormat="1" applyFont="1"/>
    <xf numFmtId="44" fontId="0" fillId="0" borderId="0" xfId="0" applyNumberFormat="1"/>
    <xf numFmtId="183" fontId="11" fillId="0" borderId="0" xfId="0" applyNumberFormat="1" applyFont="1" applyAlignment="1">
      <alignment horizontal="center"/>
    </xf>
    <xf numFmtId="42" fontId="11" fillId="0" borderId="0" xfId="0" applyNumberFormat="1" applyFont="1" applyAlignment="1">
      <alignment horizontal="center"/>
    </xf>
    <xf numFmtId="41" fontId="11" fillId="0" borderId="0" xfId="0" applyNumberFormat="1" applyFont="1" applyAlignment="1">
      <alignment horizontal="center"/>
    </xf>
    <xf numFmtId="0" fontId="4" fillId="6" borderId="15" xfId="3" applyFont="1" applyFill="1" applyBorder="1"/>
    <xf numFmtId="203" fontId="4" fillId="6" borderId="15" xfId="3" applyNumberFormat="1" applyFont="1" applyFill="1" applyBorder="1"/>
    <xf numFmtId="0" fontId="0" fillId="0" borderId="0" xfId="0" applyAlignment="1">
      <alignment wrapText="1"/>
    </xf>
    <xf numFmtId="0" fontId="39" fillId="0" borderId="0" xfId="0" applyFont="1"/>
    <xf numFmtId="0" fontId="40" fillId="0" borderId="0" xfId="0" applyFont="1"/>
    <xf numFmtId="0" fontId="41" fillId="11" borderId="0" xfId="0" applyFont="1" applyFill="1"/>
    <xf numFmtId="0" fontId="42" fillId="11" borderId="0" xfId="0" applyFont="1" applyFill="1"/>
    <xf numFmtId="0" fontId="42" fillId="0" borderId="0" xfId="0" applyFont="1"/>
    <xf numFmtId="204" fontId="7" fillId="5" borderId="0" xfId="0" applyNumberFormat="1" applyFont="1" applyFill="1" applyAlignment="1">
      <alignment horizontal="center"/>
    </xf>
    <xf numFmtId="204" fontId="43" fillId="0" borderId="0" xfId="0" applyNumberFormat="1" applyFont="1"/>
    <xf numFmtId="204" fontId="10" fillId="5" borderId="0" xfId="0" applyNumberFormat="1" applyFont="1" applyFill="1" applyAlignment="1">
      <alignment horizontal="center"/>
    </xf>
    <xf numFmtId="0" fontId="44" fillId="0" borderId="0" xfId="0" applyFont="1"/>
    <xf numFmtId="0" fontId="45" fillId="0" borderId="0" xfId="0" applyFont="1"/>
    <xf numFmtId="1" fontId="45" fillId="0" borderId="0" xfId="0" applyNumberFormat="1" applyFont="1"/>
    <xf numFmtId="0" fontId="25" fillId="11" borderId="0" xfId="2" applyFont="1" applyFill="1"/>
    <xf numFmtId="0" fontId="25" fillId="11" borderId="0" xfId="2" applyFont="1" applyFill="1" applyAlignment="1">
      <alignment horizontal="center"/>
    </xf>
    <xf numFmtId="179" fontId="10" fillId="0" borderId="0" xfId="2" applyNumberFormat="1" applyFont="1"/>
    <xf numFmtId="2" fontId="10" fillId="0" borderId="0" xfId="2" applyNumberFormat="1" applyFont="1" applyAlignment="1">
      <alignment horizontal="center"/>
    </xf>
    <xf numFmtId="0" fontId="19" fillId="10" borderId="0" xfId="2" applyFont="1" applyFill="1" applyAlignment="1">
      <alignment horizontal="left"/>
    </xf>
    <xf numFmtId="0" fontId="19" fillId="10" borderId="0" xfId="2" applyFont="1" applyFill="1"/>
    <xf numFmtId="195" fontId="19" fillId="10" borderId="0" xfId="2" applyNumberFormat="1" applyFont="1" applyFill="1"/>
    <xf numFmtId="195" fontId="19" fillId="10" borderId="0" xfId="2" applyNumberFormat="1" applyFont="1" applyFill="1" applyAlignment="1">
      <alignment horizontal="right"/>
    </xf>
    <xf numFmtId="179" fontId="19" fillId="10" borderId="0" xfId="4" applyNumberFormat="1" applyFont="1" applyFill="1"/>
    <xf numFmtId="9" fontId="19" fillId="10" borderId="0" xfId="4" applyFont="1" applyFill="1"/>
    <xf numFmtId="0" fontId="4" fillId="6" borderId="0" xfId="2" applyFont="1" applyFill="1"/>
    <xf numFmtId="43" fontId="4" fillId="6" borderId="0" xfId="2" applyNumberFormat="1" applyFont="1" applyFill="1"/>
    <xf numFmtId="179" fontId="4" fillId="6" borderId="0" xfId="2" applyNumberFormat="1" applyFont="1" applyFill="1"/>
    <xf numFmtId="195" fontId="10" fillId="0" borderId="0" xfId="2" applyNumberFormat="1" applyFont="1"/>
    <xf numFmtId="190" fontId="10" fillId="0" borderId="0" xfId="2" applyNumberFormat="1" applyFont="1"/>
    <xf numFmtId="179" fontId="10" fillId="0" borderId="0" xfId="2" applyNumberFormat="1" applyFont="1" applyAlignment="1">
      <alignment horizontal="center"/>
    </xf>
    <xf numFmtId="190" fontId="10" fillId="0" borderId="0" xfId="2" applyNumberFormat="1" applyFont="1" applyAlignment="1">
      <alignment horizontal="center"/>
    </xf>
    <xf numFmtId="195" fontId="3" fillId="0" borderId="0" xfId="0" applyNumberFormat="1" applyFont="1"/>
    <xf numFmtId="0" fontId="4" fillId="10" borderId="0" xfId="2" applyFont="1" applyFill="1"/>
    <xf numFmtId="205" fontId="4" fillId="10" borderId="0" xfId="2" applyNumberFormat="1" applyFont="1" applyFill="1"/>
    <xf numFmtId="204" fontId="4" fillId="10" borderId="0" xfId="2" applyNumberFormat="1" applyFont="1" applyFill="1"/>
    <xf numFmtId="202" fontId="10" fillId="0" borderId="0" xfId="2" applyNumberFormat="1" applyFont="1"/>
    <xf numFmtId="9" fontId="10" fillId="0" borderId="0" xfId="4" applyFont="1"/>
    <xf numFmtId="179" fontId="10" fillId="0" borderId="0" xfId="4" applyNumberFormat="1" applyFont="1"/>
    <xf numFmtId="1" fontId="10" fillId="0" borderId="0" xfId="2" applyNumberFormat="1" applyFont="1"/>
    <xf numFmtId="9" fontId="4" fillId="6" borderId="0" xfId="4" applyFont="1" applyFill="1"/>
    <xf numFmtId="179" fontId="4" fillId="6" borderId="0" xfId="4" applyNumberFormat="1" applyFont="1" applyFill="1"/>
    <xf numFmtId="42" fontId="4" fillId="6" borderId="0" xfId="2" applyNumberFormat="1" applyFont="1" applyFill="1"/>
    <xf numFmtId="206" fontId="31" fillId="0" borderId="0" xfId="0" applyNumberFormat="1" applyFont="1"/>
    <xf numFmtId="207" fontId="19" fillId="10" borderId="0" xfId="2" applyNumberFormat="1" applyFont="1" applyFill="1"/>
    <xf numFmtId="207" fontId="19" fillId="10" borderId="0" xfId="2" applyNumberFormat="1" applyFont="1" applyFill="1" applyAlignment="1">
      <alignment horizontal="right"/>
    </xf>
    <xf numFmtId="0" fontId="27" fillId="0" borderId="0" xfId="6" applyFont="1" applyAlignment="1">
      <alignment horizontal="left"/>
    </xf>
    <xf numFmtId="179" fontId="11" fillId="0" borderId="0" xfId="0" applyNumberFormat="1" applyFont="1" applyAlignment="1">
      <alignment horizontal="center"/>
    </xf>
    <xf numFmtId="205" fontId="8" fillId="0" borderId="0" xfId="3" applyNumberFormat="1" applyFont="1" applyAlignment="1">
      <alignment horizontal="center"/>
    </xf>
    <xf numFmtId="185" fontId="5" fillId="7" borderId="3" xfId="0" applyNumberFormat="1" applyFont="1" applyFill="1" applyBorder="1"/>
    <xf numFmtId="184" fontId="8" fillId="0" borderId="0" xfId="0" applyNumberFormat="1" applyFont="1"/>
    <xf numFmtId="0" fontId="3" fillId="10" borderId="8" xfId="0" applyFont="1" applyFill="1" applyBorder="1"/>
    <xf numFmtId="0" fontId="3" fillId="10" borderId="6" xfId="0" applyFont="1" applyFill="1" applyBorder="1"/>
    <xf numFmtId="0" fontId="46" fillId="10" borderId="6" xfId="2" applyFont="1" applyFill="1" applyBorder="1" applyAlignment="1">
      <alignment horizontal="center"/>
    </xf>
    <xf numFmtId="0" fontId="4" fillId="10" borderId="6" xfId="0" applyFont="1" applyFill="1" applyBorder="1"/>
    <xf numFmtId="0" fontId="3" fillId="10" borderId="9" xfId="0" applyFont="1" applyFill="1" applyBorder="1"/>
    <xf numFmtId="188" fontId="4" fillId="10" borderId="12" xfId="0" applyNumberFormat="1" applyFont="1" applyFill="1" applyBorder="1" applyAlignment="1">
      <alignment horizontal="center"/>
    </xf>
    <xf numFmtId="208" fontId="47" fillId="10" borderId="0" xfId="0" applyNumberFormat="1" applyFont="1" applyFill="1"/>
    <xf numFmtId="208" fontId="48" fillId="10" borderId="0" xfId="0" applyNumberFormat="1" applyFont="1" applyFill="1"/>
    <xf numFmtId="198" fontId="47" fillId="10" borderId="12" xfId="2" applyNumberFormat="1" applyFont="1" applyFill="1" applyBorder="1" applyAlignment="1">
      <alignment horizontal="center"/>
    </xf>
    <xf numFmtId="43" fontId="5" fillId="7" borderId="0" xfId="0" applyNumberFormat="1" applyFont="1" applyFill="1"/>
    <xf numFmtId="43" fontId="3" fillId="0" borderId="13" xfId="0" applyNumberFormat="1" applyFont="1" applyBorder="1"/>
    <xf numFmtId="198" fontId="48" fillId="10" borderId="12" xfId="2" applyNumberFormat="1" applyFont="1" applyFill="1" applyBorder="1" applyAlignment="1">
      <alignment horizontal="center"/>
    </xf>
    <xf numFmtId="0" fontId="49" fillId="0" borderId="0" xfId="0" applyFont="1"/>
    <xf numFmtId="43" fontId="5" fillId="7" borderId="13" xfId="0" applyNumberFormat="1" applyFont="1" applyFill="1" applyBorder="1"/>
    <xf numFmtId="43" fontId="3" fillId="0" borderId="3" xfId="0" applyNumberFormat="1" applyFont="1" applyBorder="1"/>
    <xf numFmtId="43" fontId="5" fillId="7" borderId="3" xfId="0" applyNumberFormat="1" applyFont="1" applyFill="1" applyBorder="1"/>
    <xf numFmtId="43" fontId="3" fillId="0" borderId="11" xfId="0" applyNumberFormat="1" applyFont="1" applyBorder="1"/>
    <xf numFmtId="179" fontId="47" fillId="10" borderId="0" xfId="0" applyNumberFormat="1" applyFont="1" applyFill="1"/>
    <xf numFmtId="179" fontId="48" fillId="10" borderId="0" xfId="0" applyNumberFormat="1" applyFont="1" applyFill="1"/>
    <xf numFmtId="179" fontId="47" fillId="10" borderId="12" xfId="0" applyNumberFormat="1" applyFont="1" applyFill="1" applyBorder="1" applyAlignment="1">
      <alignment horizontal="center"/>
    </xf>
    <xf numFmtId="179" fontId="48" fillId="10" borderId="12" xfId="0" applyNumberFormat="1" applyFont="1" applyFill="1" applyBorder="1" applyAlignment="1">
      <alignment horizontal="center"/>
    </xf>
    <xf numFmtId="179" fontId="48" fillId="10" borderId="10" xfId="0" applyNumberFormat="1" applyFont="1" applyFill="1" applyBorder="1" applyAlignment="1">
      <alignment horizontal="center"/>
    </xf>
    <xf numFmtId="0" fontId="19" fillId="7" borderId="3" xfId="2" applyFont="1" applyFill="1" applyBorder="1"/>
    <xf numFmtId="0" fontId="3" fillId="7" borderId="3" xfId="0" applyFont="1" applyFill="1" applyBorder="1"/>
    <xf numFmtId="182" fontId="5" fillId="7" borderId="3" xfId="0" applyNumberFormat="1" applyFont="1" applyFill="1" applyBorder="1"/>
    <xf numFmtId="167" fontId="11" fillId="0" borderId="0" xfId="0" applyNumberFormat="1" applyFont="1"/>
    <xf numFmtId="167" fontId="11" fillId="0" borderId="3" xfId="0" applyNumberFormat="1" applyFont="1" applyBorder="1"/>
    <xf numFmtId="0" fontId="19" fillId="7" borderId="6" xfId="2" applyFont="1" applyFill="1" applyBorder="1" applyAlignment="1">
      <alignment horizontal="left"/>
    </xf>
    <xf numFmtId="0" fontId="10" fillId="7" borderId="6" xfId="2" applyFont="1" applyFill="1" applyBorder="1"/>
    <xf numFmtId="167" fontId="19" fillId="7" borderId="0" xfId="2" applyNumberFormat="1" applyFont="1" applyFill="1"/>
    <xf numFmtId="0" fontId="19" fillId="12" borderId="8" xfId="2" applyFont="1" applyFill="1" applyBorder="1"/>
    <xf numFmtId="0" fontId="10" fillId="12" borderId="6" xfId="2" applyFont="1" applyFill="1" applyBorder="1"/>
    <xf numFmtId="44" fontId="19" fillId="12" borderId="9" xfId="2" applyNumberFormat="1" applyFont="1" applyFill="1" applyBorder="1"/>
    <xf numFmtId="0" fontId="19" fillId="12" borderId="10" xfId="2" applyFont="1" applyFill="1" applyBorder="1"/>
    <xf numFmtId="0" fontId="10" fillId="12" borderId="3" xfId="2" applyFont="1" applyFill="1" applyBorder="1"/>
    <xf numFmtId="169" fontId="19" fillId="12" borderId="11" xfId="2" applyNumberFormat="1" applyFont="1" applyFill="1" applyBorder="1"/>
    <xf numFmtId="0" fontId="3" fillId="0" borderId="0" xfId="0" applyFont="1" applyAlignment="1">
      <alignment wrapText="1"/>
    </xf>
    <xf numFmtId="209" fontId="11" fillId="0" borderId="0" xfId="0" applyNumberFormat="1" applyFont="1"/>
    <xf numFmtId="44" fontId="8" fillId="0" borderId="0" xfId="3" applyNumberFormat="1" applyFont="1"/>
    <xf numFmtId="182" fontId="10" fillId="0" borderId="0" xfId="2" applyNumberFormat="1" applyFont="1"/>
    <xf numFmtId="0" fontId="3" fillId="0" borderId="0" xfId="10" applyFont="1"/>
    <xf numFmtId="0" fontId="3" fillId="0" borderId="0" xfId="10" applyFont="1" applyAlignment="1">
      <alignment horizontal="center"/>
    </xf>
    <xf numFmtId="43" fontId="0" fillId="0" borderId="0" xfId="0" applyNumberFormat="1"/>
    <xf numFmtId="165" fontId="11" fillId="0" borderId="0" xfId="0" applyNumberFormat="1" applyFont="1" applyAlignment="1">
      <alignment horizontal="center"/>
    </xf>
    <xf numFmtId="0" fontId="11" fillId="0" borderId="0" xfId="10" applyFont="1"/>
    <xf numFmtId="165" fontId="0" fillId="0" borderId="0" xfId="0" applyNumberFormat="1"/>
    <xf numFmtId="0" fontId="5" fillId="0" borderId="3" xfId="11" applyFont="1" applyBorder="1" applyAlignment="1">
      <alignment horizontal="center"/>
    </xf>
    <xf numFmtId="210" fontId="0" fillId="0" borderId="0" xfId="0" applyNumberFormat="1"/>
    <xf numFmtId="9" fontId="16" fillId="0" borderId="0" xfId="4" applyFont="1"/>
    <xf numFmtId="0" fontId="5" fillId="0" borderId="0" xfId="11" applyFont="1"/>
    <xf numFmtId="0" fontId="3" fillId="0" borderId="0" xfId="11" applyFont="1"/>
    <xf numFmtId="0" fontId="3" fillId="0" borderId="14" xfId="11" applyFont="1" applyBorder="1"/>
    <xf numFmtId="0" fontId="3" fillId="0" borderId="17" xfId="11" applyFont="1" applyBorder="1"/>
    <xf numFmtId="0" fontId="3" fillId="0" borderId="16" xfId="11" applyFont="1" applyBorder="1"/>
    <xf numFmtId="168" fontId="3" fillId="0" borderId="0" xfId="11" applyNumberFormat="1" applyFont="1" applyAlignment="1">
      <alignment horizontal="center"/>
    </xf>
    <xf numFmtId="210" fontId="0" fillId="0" borderId="0" xfId="0" applyNumberFormat="1" applyAlignment="1">
      <alignment horizontal="center"/>
    </xf>
    <xf numFmtId="0" fontId="25" fillId="3" borderId="3" xfId="11" applyFont="1" applyFill="1" applyBorder="1" applyAlignment="1">
      <alignment horizontal="left"/>
    </xf>
    <xf numFmtId="0" fontId="25" fillId="0" borderId="0" xfId="11" applyFont="1" applyAlignment="1">
      <alignment horizontal="left"/>
    </xf>
    <xf numFmtId="42" fontId="0" fillId="0" borderId="0" xfId="0" applyNumberFormat="1" applyAlignment="1">
      <alignment horizontal="center"/>
    </xf>
    <xf numFmtId="179" fontId="0" fillId="0" borderId="0" xfId="0" applyNumberFormat="1" applyAlignment="1">
      <alignment horizontal="center"/>
    </xf>
    <xf numFmtId="0" fontId="3" fillId="0" borderId="0" xfId="11" applyFont="1" applyAlignment="1">
      <alignment horizontal="center"/>
    </xf>
    <xf numFmtId="14" fontId="11" fillId="0" borderId="3" xfId="11" applyNumberFormat="1" applyFont="1" applyBorder="1"/>
    <xf numFmtId="1" fontId="11" fillId="0" borderId="3" xfId="3" applyNumberFormat="1" applyFont="1" applyBorder="1"/>
    <xf numFmtId="42" fontId="3" fillId="0" borderId="0" xfId="11" applyNumberFormat="1" applyFont="1"/>
    <xf numFmtId="9" fontId="3" fillId="0" borderId="0" xfId="11" applyNumberFormat="1" applyFont="1"/>
    <xf numFmtId="0" fontId="5" fillId="0" borderId="0" xfId="11" applyFont="1" applyAlignment="1">
      <alignment horizontal="centerContinuous"/>
    </xf>
    <xf numFmtId="0" fontId="3" fillId="0" borderId="0" xfId="11" applyFont="1" applyAlignment="1">
      <alignment horizontal="centerContinuous"/>
    </xf>
    <xf numFmtId="0" fontId="11" fillId="0" borderId="3" xfId="3" applyFont="1" applyBorder="1"/>
    <xf numFmtId="0" fontId="3" fillId="0" borderId="3" xfId="11" applyFont="1" applyBorder="1" applyAlignment="1">
      <alignment horizontal="center"/>
    </xf>
    <xf numFmtId="190" fontId="10" fillId="0" borderId="0" xfId="6" applyNumberFormat="1" applyFont="1" applyAlignment="1">
      <alignment horizontal="center"/>
    </xf>
    <xf numFmtId="183" fontId="10" fillId="0" borderId="0" xfId="12" applyNumberFormat="1" applyFont="1" applyAlignment="1">
      <alignment horizontal="center"/>
    </xf>
    <xf numFmtId="0" fontId="15" fillId="3" borderId="0" xfId="0" applyFont="1" applyFill="1"/>
    <xf numFmtId="0" fontId="50" fillId="3" borderId="0" xfId="0" applyFont="1" applyFill="1"/>
    <xf numFmtId="0" fontId="4" fillId="3" borderId="2" xfId="0" applyFont="1" applyFill="1" applyBorder="1" applyAlignment="1">
      <alignment horizontal="centerContinuous"/>
    </xf>
    <xf numFmtId="0" fontId="4" fillId="3" borderId="4" xfId="0" applyFont="1" applyFill="1" applyBorder="1" applyAlignment="1">
      <alignment horizontal="centerContinuous"/>
    </xf>
    <xf numFmtId="0" fontId="4" fillId="3" borderId="0" xfId="0" applyFont="1" applyFill="1" applyAlignment="1">
      <alignment horizontal="centerContinuous"/>
    </xf>
    <xf numFmtId="0" fontId="10" fillId="0" borderId="0" xfId="11" applyFont="1"/>
    <xf numFmtId="0" fontId="48" fillId="3" borderId="0" xfId="0" applyFont="1" applyFill="1" applyAlignment="1">
      <alignment horizontal="center"/>
    </xf>
    <xf numFmtId="0" fontId="19" fillId="13" borderId="0" xfId="0" applyFont="1" applyFill="1"/>
    <xf numFmtId="0" fontId="6" fillId="13" borderId="0" xfId="0" applyFont="1" applyFill="1"/>
    <xf numFmtId="193" fontId="19" fillId="13" borderId="0" xfId="0" applyNumberFormat="1" applyFont="1" applyFill="1" applyAlignment="1">
      <alignment horizontal="center"/>
    </xf>
    <xf numFmtId="0" fontId="10" fillId="4" borderId="0" xfId="0" applyFont="1" applyFill="1" applyAlignment="1">
      <alignment horizontal="center" vertical="center"/>
    </xf>
    <xf numFmtId="42" fontId="8" fillId="0" borderId="0" xfId="0" applyNumberFormat="1" applyFont="1"/>
    <xf numFmtId="0" fontId="51" fillId="0" borderId="0" xfId="0" applyFont="1" applyAlignment="1">
      <alignment horizontal="center"/>
    </xf>
    <xf numFmtId="190" fontId="16" fillId="0" borderId="0" xfId="0" applyNumberFormat="1" applyFont="1" applyAlignment="1">
      <alignment horizontal="center"/>
    </xf>
    <xf numFmtId="0" fontId="6" fillId="4" borderId="0" xfId="0" applyFont="1" applyFill="1" applyAlignment="1">
      <alignment horizontal="left" vertical="center" indent="1"/>
    </xf>
    <xf numFmtId="9" fontId="52" fillId="0" borderId="0" xfId="4" applyFont="1"/>
    <xf numFmtId="0" fontId="22" fillId="0" borderId="0" xfId="11" applyFont="1"/>
    <xf numFmtId="41" fontId="8" fillId="0" borderId="0" xfId="0" applyNumberFormat="1" applyFont="1"/>
    <xf numFmtId="0" fontId="6" fillId="0" borderId="0" xfId="0" applyFont="1"/>
    <xf numFmtId="193" fontId="19" fillId="0" borderId="0" xfId="0" applyNumberFormat="1" applyFont="1" applyAlignment="1">
      <alignment horizontal="center"/>
    </xf>
    <xf numFmtId="0" fontId="27" fillId="0" borderId="0" xfId="11" applyFont="1"/>
    <xf numFmtId="42" fontId="53" fillId="0" borderId="0" xfId="0" applyNumberFormat="1" applyFont="1"/>
    <xf numFmtId="0" fontId="51" fillId="0" borderId="0" xfId="11" applyFont="1" applyAlignment="1">
      <alignment horizontal="left" indent="1"/>
    </xf>
    <xf numFmtId="0" fontId="54" fillId="0" borderId="0" xfId="11" applyFont="1"/>
    <xf numFmtId="0" fontId="55" fillId="0" borderId="0" xfId="11" applyFont="1"/>
    <xf numFmtId="0" fontId="8" fillId="0" borderId="0" xfId="11" applyFont="1"/>
    <xf numFmtId="0" fontId="4" fillId="3" borderId="18" xfId="0" applyFont="1" applyFill="1" applyBorder="1" applyAlignment="1">
      <alignment horizontal="centerContinuous"/>
    </xf>
    <xf numFmtId="0" fontId="4" fillId="0" borderId="0" xfId="0" applyFont="1" applyAlignment="1">
      <alignment horizontal="centerContinuous"/>
    </xf>
    <xf numFmtId="0" fontId="4" fillId="3" borderId="3" xfId="0" applyFont="1" applyFill="1" applyBorder="1"/>
    <xf numFmtId="0" fontId="48" fillId="3" borderId="3" xfId="0" applyFont="1" applyFill="1" applyBorder="1" applyAlignment="1">
      <alignment horizontal="center"/>
    </xf>
    <xf numFmtId="193" fontId="4" fillId="0" borderId="0" xfId="0" applyNumberFormat="1" applyFont="1" applyAlignment="1">
      <alignment horizontal="center"/>
    </xf>
    <xf numFmtId="0" fontId="51" fillId="0" borderId="0" xfId="11" applyFont="1" applyAlignment="1">
      <alignment horizontal="center"/>
    </xf>
    <xf numFmtId="183" fontId="11" fillId="0" borderId="0" xfId="3" applyNumberFormat="1" applyFont="1"/>
    <xf numFmtId="190" fontId="52" fillId="0" borderId="0" xfId="0" applyNumberFormat="1" applyFont="1" applyAlignment="1">
      <alignment horizontal="right"/>
    </xf>
    <xf numFmtId="0" fontId="3" fillId="0" borderId="0" xfId="11" applyFont="1" applyAlignment="1">
      <alignment horizontal="right"/>
    </xf>
    <xf numFmtId="0" fontId="16" fillId="0" borderId="0" xfId="0" applyFont="1" applyAlignment="1">
      <alignment horizontal="left" vertical="center" wrapText="1" indent="1"/>
    </xf>
    <xf numFmtId="0" fontId="5" fillId="0" borderId="0" xfId="0" applyFont="1" applyAlignment="1">
      <alignment horizontal="center"/>
    </xf>
    <xf numFmtId="9" fontId="3" fillId="0" borderId="0" xfId="4" applyFont="1" applyAlignment="1">
      <alignment vertical="center" wrapText="1"/>
    </xf>
    <xf numFmtId="9" fontId="16" fillId="0" borderId="0" xfId="4" applyFont="1" applyAlignment="1">
      <alignment vertical="center" wrapText="1"/>
    </xf>
    <xf numFmtId="179" fontId="53" fillId="0" borderId="0" xfId="4" applyNumberFormat="1" applyFont="1"/>
    <xf numFmtId="42" fontId="53" fillId="0" borderId="0" xfId="4" applyNumberFormat="1" applyFont="1"/>
    <xf numFmtId="0" fontId="3" fillId="0" borderId="0" xfId="0" applyFont="1" applyAlignment="1">
      <alignment horizontal="left" vertical="center"/>
    </xf>
    <xf numFmtId="179" fontId="6" fillId="0" borderId="0" xfId="4" applyNumberFormat="1" applyFont="1"/>
    <xf numFmtId="179" fontId="56" fillId="0" borderId="0" xfId="4" applyNumberFormat="1" applyFont="1"/>
    <xf numFmtId="42" fontId="11" fillId="0" borderId="0" xfId="4" applyNumberFormat="1" applyFont="1"/>
    <xf numFmtId="9" fontId="11" fillId="0" borderId="0" xfId="4" applyFont="1"/>
    <xf numFmtId="202" fontId="53" fillId="0" borderId="0" xfId="0" applyNumberFormat="1" applyFont="1" applyAlignment="1">
      <alignment horizontal="right"/>
    </xf>
    <xf numFmtId="203" fontId="53" fillId="0" borderId="0" xfId="4" applyNumberFormat="1" applyFont="1"/>
    <xf numFmtId="44" fontId="57" fillId="4" borderId="0" xfId="0" applyNumberFormat="1" applyFont="1" applyFill="1" applyAlignment="1">
      <alignment horizontal="right" vertical="center"/>
    </xf>
    <xf numFmtId="211" fontId="57" fillId="4" borderId="0" xfId="0" applyNumberFormat="1" applyFont="1" applyFill="1" applyAlignment="1">
      <alignment horizontal="left" vertical="center"/>
    </xf>
    <xf numFmtId="41" fontId="57" fillId="4" borderId="0" xfId="0" applyNumberFormat="1" applyFont="1" applyFill="1" applyAlignment="1">
      <alignment horizontal="right" vertical="center"/>
    </xf>
    <xf numFmtId="0" fontId="10" fillId="0" borderId="0" xfId="0" applyFont="1"/>
    <xf numFmtId="4" fontId="3" fillId="0" borderId="0" xfId="11" applyNumberFormat="1" applyFont="1"/>
    <xf numFmtId="168" fontId="10" fillId="0" borderId="0" xfId="0" applyNumberFormat="1" applyFont="1" applyAlignment="1">
      <alignment horizontal="left"/>
    </xf>
    <xf numFmtId="0" fontId="3" fillId="14" borderId="0" xfId="11" applyFont="1" applyFill="1"/>
    <xf numFmtId="0" fontId="3" fillId="5" borderId="0" xfId="11" applyFont="1" applyFill="1"/>
    <xf numFmtId="0" fontId="3" fillId="15" borderId="0" xfId="11" applyFont="1" applyFill="1"/>
    <xf numFmtId="0" fontId="5" fillId="13" borderId="3" xfId="11" applyFont="1" applyFill="1" applyBorder="1" applyAlignment="1">
      <alignment horizontal="center"/>
    </xf>
    <xf numFmtId="0" fontId="5" fillId="13" borderId="3" xfId="11" applyFont="1" applyFill="1" applyBorder="1"/>
    <xf numFmtId="0" fontId="58" fillId="0" borderId="0" xfId="0" applyFont="1"/>
    <xf numFmtId="0" fontId="59" fillId="0" borderId="0" xfId="0" applyFont="1"/>
    <xf numFmtId="0" fontId="60" fillId="0" borderId="0" xfId="3" applyFont="1"/>
    <xf numFmtId="5" fontId="64" fillId="0" borderId="0" xfId="10" applyNumberFormat="1" applyFont="1"/>
    <xf numFmtId="0" fontId="59" fillId="0" borderId="0" xfId="0" applyFont="1" applyAlignment="1">
      <alignment horizontal="left" indent="1"/>
    </xf>
    <xf numFmtId="169" fontId="65" fillId="0" borderId="0" xfId="0" applyNumberFormat="1" applyFont="1"/>
    <xf numFmtId="174" fontId="64" fillId="0" borderId="0" xfId="10" applyNumberFormat="1" applyFont="1"/>
    <xf numFmtId="174" fontId="64" fillId="0" borderId="0" xfId="0" applyNumberFormat="1" applyFont="1"/>
    <xf numFmtId="174" fontId="35" fillId="0" borderId="0" xfId="0" applyNumberFormat="1" applyFont="1"/>
    <xf numFmtId="0" fontId="58" fillId="0" borderId="0" xfId="0" applyFont="1" applyAlignment="1">
      <alignment horizontal="left" indent="1"/>
    </xf>
    <xf numFmtId="41" fontId="64" fillId="0" borderId="0" xfId="10" applyNumberFormat="1" applyFont="1"/>
    <xf numFmtId="0" fontId="49" fillId="0" borderId="6" xfId="0" applyFont="1" applyBorder="1"/>
    <xf numFmtId="0" fontId="59" fillId="0" borderId="6" xfId="0" applyFont="1" applyBorder="1"/>
    <xf numFmtId="0" fontId="58" fillId="0" borderId="6" xfId="0" applyFont="1" applyBorder="1"/>
    <xf numFmtId="174" fontId="49" fillId="0" borderId="6" xfId="0" applyNumberFormat="1" applyFont="1" applyBorder="1"/>
    <xf numFmtId="43" fontId="58" fillId="0" borderId="0" xfId="0" applyNumberFormat="1" applyFont="1"/>
    <xf numFmtId="41" fontId="66" fillId="0" borderId="0" xfId="10" applyNumberFormat="1" applyFont="1"/>
    <xf numFmtId="174" fontId="49" fillId="0" borderId="0" xfId="0" applyNumberFormat="1" applyFont="1"/>
    <xf numFmtId="0" fontId="61" fillId="3" borderId="0" xfId="0" applyFont="1" applyFill="1"/>
    <xf numFmtId="0" fontId="62" fillId="3" borderId="0" xfId="0" applyFont="1" applyFill="1"/>
    <xf numFmtId="0" fontId="63" fillId="3" borderId="3" xfId="0" applyFont="1" applyFill="1" applyBorder="1"/>
    <xf numFmtId="0" fontId="61" fillId="3" borderId="3" xfId="0" applyFont="1" applyFill="1" applyBorder="1"/>
    <xf numFmtId="0" fontId="62" fillId="3" borderId="3" xfId="0" applyFont="1" applyFill="1" applyBorder="1"/>
    <xf numFmtId="193" fontId="63" fillId="3" borderId="3" xfId="0" applyNumberFormat="1" applyFont="1" applyFill="1" applyBorder="1" applyAlignment="1">
      <alignment horizontal="center"/>
    </xf>
  </cellXfs>
  <cellStyles count="13">
    <cellStyle name="Hyperlink" xfId="5" builtinId="8"/>
    <cellStyle name="Normal" xfId="0" builtinId="0"/>
    <cellStyle name="Normal 2" xfId="2" xr:uid="{E175E947-CE2E-4C54-B70C-0B3BE979A5AE}"/>
    <cellStyle name="Normal 2 2" xfId="3" xr:uid="{4615A260-B03C-40A2-9873-7CF47E9177A2}"/>
    <cellStyle name="Normal 2 2 2" xfId="12" xr:uid="{07052571-2634-4F04-8C90-AB1C74FB0EB0}"/>
    <cellStyle name="Normal 3 2" xfId="6" xr:uid="{77CB14C9-D575-4F5B-BDE0-7A6F4983B2CF}"/>
    <cellStyle name="Normal 3 2 2" xfId="11" xr:uid="{0C01CB22-D776-4548-88AE-147EB20FD12A}"/>
    <cellStyle name="Normal 3 3" xfId="8" xr:uid="{55BD60C8-2DC4-457D-9F30-6A0BA56BC1B6}"/>
    <cellStyle name="Normal 3 4" xfId="10" xr:uid="{F50020A0-8EEC-43BD-8F81-4B47D9C04583}"/>
    <cellStyle name="Normal 5 2" xfId="9" xr:uid="{427306E9-2E01-4808-A4DF-0D44B6669A8A}"/>
    <cellStyle name="Note" xfId="1" builtinId="10"/>
    <cellStyle name="Percent" xfId="4" builtinId="5"/>
    <cellStyle name="TextNormal" xfId="7" xr:uid="{DAF2E357-D85C-40B5-B91D-DCDCE960CB79}"/>
  </cellStyles>
  <dxfs count="0"/>
  <tableStyles count="0" defaultTableStyle="TableStyleMedium2" defaultPivotStyle="PivotStyleLight16"/>
  <colors>
    <mruColors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Graphs!$Q$30</c:f>
          <c:strCache>
            <c:ptCount val="1"/>
            <c:pt idx="0">
              <c:v>Lam Research Corporation: Revenue, EBITDA, and Margins, FYYear to FY21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Graphs!$R$23</c:f>
              <c:strCache>
                <c:ptCount val="1"/>
                <c:pt idx="0">
                  <c:v>Revenue</c:v>
                </c:pt>
              </c:strCache>
            </c:strRef>
          </c:tx>
          <c:spPr>
            <a:solidFill>
              <a:schemeClr val="tx2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numRef>
              <c:f>Graphs!$Q$24:$Q$27</c:f>
              <c:numCache>
                <c:formatCode>yyyy\-mm\-dd</c:formatCode>
                <c:ptCount val="4"/>
                <c:pt idx="0">
                  <c:v>43646</c:v>
                </c:pt>
                <c:pt idx="1">
                  <c:v>44012</c:v>
                </c:pt>
                <c:pt idx="2">
                  <c:v>44377</c:v>
                </c:pt>
                <c:pt idx="3">
                  <c:v>44742</c:v>
                </c:pt>
              </c:numCache>
            </c:numRef>
          </c:cat>
          <c:val>
            <c:numRef>
              <c:f>Graphs!$R$24:$R$27</c:f>
              <c:numCache>
                <c:formatCode>_("$"* #,##0_);_("$"* \(#,##0\);_("$"* "-"_);_(@_)</c:formatCode>
                <c:ptCount val="4"/>
                <c:pt idx="0">
                  <c:v>9653.5589999999993</c:v>
                </c:pt>
                <c:pt idx="1">
                  <c:v>10044.736000000001</c:v>
                </c:pt>
                <c:pt idx="2">
                  <c:v>14626.150000000001</c:v>
                </c:pt>
                <c:pt idx="3">
                  <c:v>17227.039000000001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B7-41AA-9C3E-A864DDFC1D69}"/>
            </c:ext>
          </c:extLst>
        </c:ser>
        <c:ser>
          <c:idx val="1"/>
          <c:order val="1"/>
          <c:tx>
            <c:strRef>
              <c:f>Graphs!$S$23</c:f>
              <c:strCache>
                <c:ptCount val="1"/>
                <c:pt idx="0">
                  <c:v>EBITDA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Graphs!$Q$24:$Q$27</c:f>
              <c:numCache>
                <c:formatCode>yyyy\-mm\-dd</c:formatCode>
                <c:ptCount val="4"/>
                <c:pt idx="0">
                  <c:v>43646</c:v>
                </c:pt>
                <c:pt idx="1">
                  <c:v>44012</c:v>
                </c:pt>
                <c:pt idx="2">
                  <c:v>44377</c:v>
                </c:pt>
                <c:pt idx="3">
                  <c:v>44742</c:v>
                </c:pt>
              </c:numCache>
            </c:numRef>
          </c:cat>
          <c:val>
            <c:numRef>
              <c:f>Graphs!$S$24:$S$27</c:f>
              <c:numCache>
                <c:formatCode>_("$"* #,##0_);_("$"* \(#,##0\);_("$"* "-"_);_(@_)</c:formatCode>
                <c:ptCount val="4"/>
                <c:pt idx="0">
                  <c:v>2494.9209999999989</c:v>
                </c:pt>
                <c:pt idx="1">
                  <c:v>2484.2820000000011</c:v>
                </c:pt>
                <c:pt idx="2">
                  <c:v>4411.4220000000014</c:v>
                </c:pt>
                <c:pt idx="3">
                  <c:v>5252.6180000000004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B7-41AA-9C3E-A864DDFC1D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21487760"/>
        <c:axId val="1721506480"/>
      </c:barChart>
      <c:lineChart>
        <c:grouping val="standard"/>
        <c:varyColors val="0"/>
        <c:ser>
          <c:idx val="2"/>
          <c:order val="2"/>
          <c:tx>
            <c:strRef>
              <c:f>Graphs!$T$23</c:f>
              <c:strCache>
                <c:ptCount val="1"/>
                <c:pt idx="0">
                  <c:v>EBITDA Margin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Graphs!$Q$24:$Q$27</c:f>
              <c:numCache>
                <c:formatCode>yyyy\-mm\-dd</c:formatCode>
                <c:ptCount val="4"/>
                <c:pt idx="0">
                  <c:v>43646</c:v>
                </c:pt>
                <c:pt idx="1">
                  <c:v>44012</c:v>
                </c:pt>
                <c:pt idx="2">
                  <c:v>44377</c:v>
                </c:pt>
                <c:pt idx="3">
                  <c:v>44742</c:v>
                </c:pt>
              </c:numCache>
            </c:numRef>
          </c:cat>
          <c:val>
            <c:numRef>
              <c:f>Graphs!$T$24:$T$27</c:f>
              <c:numCache>
                <c:formatCode>0.0%</c:formatCode>
                <c:ptCount val="4"/>
                <c:pt idx="0">
                  <c:v>0.25844571934558014</c:v>
                </c:pt>
                <c:pt idx="1">
                  <c:v>0.24732178127926915</c:v>
                </c:pt>
                <c:pt idx="2">
                  <c:v>0.30161197581044918</c:v>
                </c:pt>
                <c:pt idx="3">
                  <c:v>0.30490544544538384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B7-41AA-9C3E-A864DDFC1D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2289503"/>
        <c:axId val="1142289983"/>
      </c:lineChart>
      <c:dateAx>
        <c:axId val="1721487760"/>
        <c:scaling>
          <c:orientation val="minMax"/>
        </c:scaling>
        <c:delete val="0"/>
        <c:axPos val="b"/>
        <c:numFmt formatCode="yyyy\-mm\-d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1506480"/>
        <c:crosses val="autoZero"/>
        <c:auto val="1"/>
        <c:lblOffset val="100"/>
        <c:baseTimeUnit val="years"/>
      </c:dateAx>
      <c:valAx>
        <c:axId val="1721506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1487760"/>
        <c:crosses val="autoZero"/>
        <c:crossBetween val="between"/>
      </c:valAx>
      <c:valAx>
        <c:axId val="1142289983"/>
        <c:scaling>
          <c:orientation val="minMax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2289503"/>
        <c:crosses val="max"/>
        <c:crossBetween val="between"/>
      </c:valAx>
      <c:dateAx>
        <c:axId val="1142289503"/>
        <c:scaling>
          <c:orientation val="minMax"/>
        </c:scaling>
        <c:delete val="1"/>
        <c:axPos val="t"/>
        <c:numFmt formatCode="yyyy\-mm\-dd" sourceLinked="1"/>
        <c:majorTickMark val="out"/>
        <c:minorTickMark val="none"/>
        <c:tickLblPos val="nextTo"/>
        <c:crossAx val="1142289983"/>
        <c:crosses val="max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LRCX</a:t>
            </a:r>
            <a:r>
              <a:rPr lang="en-US" sz="1600" baseline="0"/>
              <a:t> LTM Price / Volume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Graphs!$T$106</c:f>
              <c:strCache>
                <c:ptCount val="1"/>
                <c:pt idx="0">
                  <c:v>Volume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f>Graphs!$R$107:$R$357</c:f>
              <c:numCache>
                <c:formatCode>mm/dd/yy;@</c:formatCode>
                <c:ptCount val="251"/>
                <c:pt idx="0">
                  <c:v>45635</c:v>
                </c:pt>
                <c:pt idx="1">
                  <c:v>45632</c:v>
                </c:pt>
                <c:pt idx="2">
                  <c:v>45631</c:v>
                </c:pt>
                <c:pt idx="3">
                  <c:v>45630</c:v>
                </c:pt>
                <c:pt idx="4">
                  <c:v>45629</c:v>
                </c:pt>
                <c:pt idx="5">
                  <c:v>45628</c:v>
                </c:pt>
                <c:pt idx="6">
                  <c:v>45625</c:v>
                </c:pt>
                <c:pt idx="7">
                  <c:v>45623</c:v>
                </c:pt>
                <c:pt idx="8">
                  <c:v>45622</c:v>
                </c:pt>
                <c:pt idx="9">
                  <c:v>45621</c:v>
                </c:pt>
                <c:pt idx="10">
                  <c:v>45618</c:v>
                </c:pt>
                <c:pt idx="11">
                  <c:v>45617</c:v>
                </c:pt>
                <c:pt idx="12">
                  <c:v>45616</c:v>
                </c:pt>
                <c:pt idx="13">
                  <c:v>45615</c:v>
                </c:pt>
                <c:pt idx="14">
                  <c:v>45614</c:v>
                </c:pt>
                <c:pt idx="15">
                  <c:v>45611</c:v>
                </c:pt>
                <c:pt idx="16">
                  <c:v>45610</c:v>
                </c:pt>
                <c:pt idx="17">
                  <c:v>45609</c:v>
                </c:pt>
                <c:pt idx="18">
                  <c:v>45608</c:v>
                </c:pt>
                <c:pt idx="19">
                  <c:v>45607</c:v>
                </c:pt>
                <c:pt idx="20">
                  <c:v>45604</c:v>
                </c:pt>
                <c:pt idx="21">
                  <c:v>45603</c:v>
                </c:pt>
                <c:pt idx="22">
                  <c:v>45602</c:v>
                </c:pt>
                <c:pt idx="23">
                  <c:v>45601</c:v>
                </c:pt>
                <c:pt idx="24">
                  <c:v>45600</c:v>
                </c:pt>
                <c:pt idx="25">
                  <c:v>45597</c:v>
                </c:pt>
                <c:pt idx="26">
                  <c:v>45596</c:v>
                </c:pt>
                <c:pt idx="27">
                  <c:v>45595</c:v>
                </c:pt>
                <c:pt idx="28">
                  <c:v>45594</c:v>
                </c:pt>
                <c:pt idx="29">
                  <c:v>45593</c:v>
                </c:pt>
                <c:pt idx="30">
                  <c:v>45590</c:v>
                </c:pt>
                <c:pt idx="31">
                  <c:v>45589</c:v>
                </c:pt>
                <c:pt idx="32">
                  <c:v>45588</c:v>
                </c:pt>
                <c:pt idx="33">
                  <c:v>45587</c:v>
                </c:pt>
                <c:pt idx="34">
                  <c:v>45586</c:v>
                </c:pt>
                <c:pt idx="35">
                  <c:v>45583</c:v>
                </c:pt>
                <c:pt idx="36">
                  <c:v>45582</c:v>
                </c:pt>
                <c:pt idx="37">
                  <c:v>45581</c:v>
                </c:pt>
                <c:pt idx="38">
                  <c:v>45580</c:v>
                </c:pt>
                <c:pt idx="39">
                  <c:v>45579</c:v>
                </c:pt>
                <c:pt idx="40">
                  <c:v>45576</c:v>
                </c:pt>
                <c:pt idx="41">
                  <c:v>45575</c:v>
                </c:pt>
                <c:pt idx="42">
                  <c:v>45574</c:v>
                </c:pt>
                <c:pt idx="43">
                  <c:v>45573</c:v>
                </c:pt>
                <c:pt idx="44">
                  <c:v>45572</c:v>
                </c:pt>
                <c:pt idx="45">
                  <c:v>45569</c:v>
                </c:pt>
                <c:pt idx="46">
                  <c:v>45568</c:v>
                </c:pt>
                <c:pt idx="47">
                  <c:v>45567</c:v>
                </c:pt>
                <c:pt idx="48">
                  <c:v>45566</c:v>
                </c:pt>
                <c:pt idx="49">
                  <c:v>45565</c:v>
                </c:pt>
                <c:pt idx="50">
                  <c:v>45562</c:v>
                </c:pt>
                <c:pt idx="51">
                  <c:v>45561</c:v>
                </c:pt>
                <c:pt idx="52">
                  <c:v>45560</c:v>
                </c:pt>
                <c:pt idx="53">
                  <c:v>45559</c:v>
                </c:pt>
                <c:pt idx="54">
                  <c:v>45558</c:v>
                </c:pt>
                <c:pt idx="55">
                  <c:v>45555</c:v>
                </c:pt>
                <c:pt idx="56">
                  <c:v>45554</c:v>
                </c:pt>
                <c:pt idx="57">
                  <c:v>45553</c:v>
                </c:pt>
                <c:pt idx="58">
                  <c:v>45552</c:v>
                </c:pt>
                <c:pt idx="59">
                  <c:v>45551</c:v>
                </c:pt>
                <c:pt idx="60">
                  <c:v>45548</c:v>
                </c:pt>
                <c:pt idx="61">
                  <c:v>45547</c:v>
                </c:pt>
                <c:pt idx="62">
                  <c:v>45546</c:v>
                </c:pt>
                <c:pt idx="63">
                  <c:v>45545</c:v>
                </c:pt>
                <c:pt idx="64">
                  <c:v>45544</c:v>
                </c:pt>
                <c:pt idx="65">
                  <c:v>45541</c:v>
                </c:pt>
                <c:pt idx="66">
                  <c:v>45540</c:v>
                </c:pt>
                <c:pt idx="67">
                  <c:v>45539</c:v>
                </c:pt>
                <c:pt idx="68">
                  <c:v>45538</c:v>
                </c:pt>
                <c:pt idx="69">
                  <c:v>45534</c:v>
                </c:pt>
                <c:pt idx="70">
                  <c:v>45533</c:v>
                </c:pt>
                <c:pt idx="71">
                  <c:v>45532</c:v>
                </c:pt>
                <c:pt idx="72">
                  <c:v>45531</c:v>
                </c:pt>
                <c:pt idx="73">
                  <c:v>45530</c:v>
                </c:pt>
                <c:pt idx="74">
                  <c:v>45527</c:v>
                </c:pt>
                <c:pt idx="75">
                  <c:v>45526</c:v>
                </c:pt>
                <c:pt idx="76">
                  <c:v>45525</c:v>
                </c:pt>
                <c:pt idx="77">
                  <c:v>45524</c:v>
                </c:pt>
                <c:pt idx="78">
                  <c:v>45523</c:v>
                </c:pt>
                <c:pt idx="79">
                  <c:v>45520</c:v>
                </c:pt>
                <c:pt idx="80">
                  <c:v>45519</c:v>
                </c:pt>
                <c:pt idx="81">
                  <c:v>45518</c:v>
                </c:pt>
                <c:pt idx="82">
                  <c:v>45517</c:v>
                </c:pt>
                <c:pt idx="83">
                  <c:v>45516</c:v>
                </c:pt>
                <c:pt idx="84">
                  <c:v>45513</c:v>
                </c:pt>
                <c:pt idx="85">
                  <c:v>45512</c:v>
                </c:pt>
                <c:pt idx="86">
                  <c:v>45511</c:v>
                </c:pt>
                <c:pt idx="87">
                  <c:v>45510</c:v>
                </c:pt>
                <c:pt idx="88">
                  <c:v>45509</c:v>
                </c:pt>
                <c:pt idx="89">
                  <c:v>45506</c:v>
                </c:pt>
                <c:pt idx="90">
                  <c:v>45505</c:v>
                </c:pt>
                <c:pt idx="91">
                  <c:v>45504</c:v>
                </c:pt>
                <c:pt idx="92">
                  <c:v>45503</c:v>
                </c:pt>
                <c:pt idx="93">
                  <c:v>45502</c:v>
                </c:pt>
                <c:pt idx="94">
                  <c:v>45499</c:v>
                </c:pt>
                <c:pt idx="95">
                  <c:v>45498</c:v>
                </c:pt>
                <c:pt idx="96">
                  <c:v>45497</c:v>
                </c:pt>
                <c:pt idx="97">
                  <c:v>45496</c:v>
                </c:pt>
                <c:pt idx="98">
                  <c:v>45495</c:v>
                </c:pt>
                <c:pt idx="99">
                  <c:v>45492</c:v>
                </c:pt>
                <c:pt idx="100">
                  <c:v>45491</c:v>
                </c:pt>
                <c:pt idx="101">
                  <c:v>45490</c:v>
                </c:pt>
                <c:pt idx="102">
                  <c:v>45489</c:v>
                </c:pt>
                <c:pt idx="103">
                  <c:v>45488</c:v>
                </c:pt>
                <c:pt idx="104">
                  <c:v>45485</c:v>
                </c:pt>
                <c:pt idx="105">
                  <c:v>45484</c:v>
                </c:pt>
                <c:pt idx="106">
                  <c:v>45483</c:v>
                </c:pt>
                <c:pt idx="107">
                  <c:v>45482</c:v>
                </c:pt>
                <c:pt idx="108">
                  <c:v>45481</c:v>
                </c:pt>
                <c:pt idx="109">
                  <c:v>45478</c:v>
                </c:pt>
                <c:pt idx="110">
                  <c:v>45476</c:v>
                </c:pt>
                <c:pt idx="111">
                  <c:v>45475</c:v>
                </c:pt>
                <c:pt idx="112">
                  <c:v>45474</c:v>
                </c:pt>
                <c:pt idx="113">
                  <c:v>45471</c:v>
                </c:pt>
                <c:pt idx="114">
                  <c:v>45470</c:v>
                </c:pt>
                <c:pt idx="115">
                  <c:v>45469</c:v>
                </c:pt>
                <c:pt idx="116">
                  <c:v>45468</c:v>
                </c:pt>
                <c:pt idx="117">
                  <c:v>45467</c:v>
                </c:pt>
                <c:pt idx="118">
                  <c:v>45464</c:v>
                </c:pt>
                <c:pt idx="119">
                  <c:v>45463</c:v>
                </c:pt>
                <c:pt idx="120">
                  <c:v>45461</c:v>
                </c:pt>
                <c:pt idx="121">
                  <c:v>45460</c:v>
                </c:pt>
                <c:pt idx="122">
                  <c:v>45457</c:v>
                </c:pt>
                <c:pt idx="123">
                  <c:v>45456</c:v>
                </c:pt>
                <c:pt idx="124">
                  <c:v>45455</c:v>
                </c:pt>
                <c:pt idx="125">
                  <c:v>45454</c:v>
                </c:pt>
                <c:pt idx="126">
                  <c:v>45453</c:v>
                </c:pt>
                <c:pt idx="127">
                  <c:v>45450</c:v>
                </c:pt>
                <c:pt idx="128">
                  <c:v>45449</c:v>
                </c:pt>
                <c:pt idx="129">
                  <c:v>45448</c:v>
                </c:pt>
                <c:pt idx="130">
                  <c:v>45447</c:v>
                </c:pt>
                <c:pt idx="131">
                  <c:v>45446</c:v>
                </c:pt>
                <c:pt idx="132">
                  <c:v>45443</c:v>
                </c:pt>
                <c:pt idx="133">
                  <c:v>45442</c:v>
                </c:pt>
                <c:pt idx="134">
                  <c:v>45441</c:v>
                </c:pt>
                <c:pt idx="135">
                  <c:v>45440</c:v>
                </c:pt>
                <c:pt idx="136">
                  <c:v>45436</c:v>
                </c:pt>
                <c:pt idx="137">
                  <c:v>45435</c:v>
                </c:pt>
                <c:pt idx="138">
                  <c:v>45434</c:v>
                </c:pt>
                <c:pt idx="139">
                  <c:v>45433</c:v>
                </c:pt>
                <c:pt idx="140">
                  <c:v>45432</c:v>
                </c:pt>
                <c:pt idx="141">
                  <c:v>45429</c:v>
                </c:pt>
                <c:pt idx="142">
                  <c:v>45428</c:v>
                </c:pt>
                <c:pt idx="143">
                  <c:v>45427</c:v>
                </c:pt>
                <c:pt idx="144">
                  <c:v>45426</c:v>
                </c:pt>
                <c:pt idx="145">
                  <c:v>45425</c:v>
                </c:pt>
                <c:pt idx="146">
                  <c:v>45422</c:v>
                </c:pt>
                <c:pt idx="147">
                  <c:v>45421</c:v>
                </c:pt>
                <c:pt idx="148">
                  <c:v>45420</c:v>
                </c:pt>
                <c:pt idx="149">
                  <c:v>45419</c:v>
                </c:pt>
                <c:pt idx="150">
                  <c:v>45418</c:v>
                </c:pt>
                <c:pt idx="151">
                  <c:v>45415</c:v>
                </c:pt>
                <c:pt idx="152">
                  <c:v>45414</c:v>
                </c:pt>
                <c:pt idx="153">
                  <c:v>45413</c:v>
                </c:pt>
                <c:pt idx="154">
                  <c:v>45412</c:v>
                </c:pt>
                <c:pt idx="155">
                  <c:v>45411</c:v>
                </c:pt>
                <c:pt idx="156">
                  <c:v>45408</c:v>
                </c:pt>
                <c:pt idx="157">
                  <c:v>45407</c:v>
                </c:pt>
                <c:pt idx="158">
                  <c:v>45406</c:v>
                </c:pt>
                <c:pt idx="159">
                  <c:v>45405</c:v>
                </c:pt>
                <c:pt idx="160">
                  <c:v>45404</c:v>
                </c:pt>
                <c:pt idx="161">
                  <c:v>45401</c:v>
                </c:pt>
                <c:pt idx="162">
                  <c:v>45400</c:v>
                </c:pt>
                <c:pt idx="163">
                  <c:v>45399</c:v>
                </c:pt>
                <c:pt idx="164">
                  <c:v>45398</c:v>
                </c:pt>
                <c:pt idx="165">
                  <c:v>45397</c:v>
                </c:pt>
                <c:pt idx="166">
                  <c:v>45394</c:v>
                </c:pt>
                <c:pt idx="167">
                  <c:v>45393</c:v>
                </c:pt>
                <c:pt idx="168">
                  <c:v>45392</c:v>
                </c:pt>
                <c:pt idx="169">
                  <c:v>45391</c:v>
                </c:pt>
                <c:pt idx="170">
                  <c:v>45390</c:v>
                </c:pt>
                <c:pt idx="171">
                  <c:v>45387</c:v>
                </c:pt>
                <c:pt idx="172">
                  <c:v>45386</c:v>
                </c:pt>
                <c:pt idx="173">
                  <c:v>45385</c:v>
                </c:pt>
                <c:pt idx="174">
                  <c:v>45384</c:v>
                </c:pt>
                <c:pt idx="175">
                  <c:v>45383</c:v>
                </c:pt>
                <c:pt idx="176">
                  <c:v>45379</c:v>
                </c:pt>
                <c:pt idx="177">
                  <c:v>45378</c:v>
                </c:pt>
                <c:pt idx="178">
                  <c:v>45377</c:v>
                </c:pt>
                <c:pt idx="179">
                  <c:v>45376</c:v>
                </c:pt>
                <c:pt idx="180">
                  <c:v>45373</c:v>
                </c:pt>
                <c:pt idx="181">
                  <c:v>45372</c:v>
                </c:pt>
                <c:pt idx="182">
                  <c:v>45371</c:v>
                </c:pt>
                <c:pt idx="183">
                  <c:v>45370</c:v>
                </c:pt>
                <c:pt idx="184">
                  <c:v>45369</c:v>
                </c:pt>
                <c:pt idx="185">
                  <c:v>45366</c:v>
                </c:pt>
                <c:pt idx="186">
                  <c:v>45365</c:v>
                </c:pt>
                <c:pt idx="187">
                  <c:v>45364</c:v>
                </c:pt>
                <c:pt idx="188">
                  <c:v>45363</c:v>
                </c:pt>
                <c:pt idx="189">
                  <c:v>45362</c:v>
                </c:pt>
                <c:pt idx="190">
                  <c:v>45359</c:v>
                </c:pt>
                <c:pt idx="191">
                  <c:v>45358</c:v>
                </c:pt>
                <c:pt idx="192">
                  <c:v>45357</c:v>
                </c:pt>
                <c:pt idx="193">
                  <c:v>45356</c:v>
                </c:pt>
                <c:pt idx="194">
                  <c:v>45355</c:v>
                </c:pt>
                <c:pt idx="195">
                  <c:v>45352</c:v>
                </c:pt>
                <c:pt idx="196">
                  <c:v>45351</c:v>
                </c:pt>
                <c:pt idx="197">
                  <c:v>45350</c:v>
                </c:pt>
                <c:pt idx="198">
                  <c:v>45349</c:v>
                </c:pt>
                <c:pt idx="199">
                  <c:v>45348</c:v>
                </c:pt>
                <c:pt idx="200">
                  <c:v>45345</c:v>
                </c:pt>
                <c:pt idx="201">
                  <c:v>45344</c:v>
                </c:pt>
                <c:pt idx="202">
                  <c:v>45343</c:v>
                </c:pt>
                <c:pt idx="203">
                  <c:v>45342</c:v>
                </c:pt>
                <c:pt idx="204">
                  <c:v>45338</c:v>
                </c:pt>
                <c:pt idx="205">
                  <c:v>45337</c:v>
                </c:pt>
                <c:pt idx="206">
                  <c:v>45336</c:v>
                </c:pt>
                <c:pt idx="207">
                  <c:v>45335</c:v>
                </c:pt>
                <c:pt idx="208">
                  <c:v>45334</c:v>
                </c:pt>
                <c:pt idx="209">
                  <c:v>45331</c:v>
                </c:pt>
                <c:pt idx="210">
                  <c:v>45330</c:v>
                </c:pt>
                <c:pt idx="211">
                  <c:v>45329</c:v>
                </c:pt>
                <c:pt idx="212">
                  <c:v>45328</c:v>
                </c:pt>
                <c:pt idx="213">
                  <c:v>45327</c:v>
                </c:pt>
                <c:pt idx="214">
                  <c:v>45324</c:v>
                </c:pt>
                <c:pt idx="215">
                  <c:v>45323</c:v>
                </c:pt>
                <c:pt idx="216">
                  <c:v>45322</c:v>
                </c:pt>
                <c:pt idx="217">
                  <c:v>45321</c:v>
                </c:pt>
                <c:pt idx="218">
                  <c:v>45320</c:v>
                </c:pt>
                <c:pt idx="219">
                  <c:v>45317</c:v>
                </c:pt>
                <c:pt idx="220">
                  <c:v>45316</c:v>
                </c:pt>
                <c:pt idx="221">
                  <c:v>45315</c:v>
                </c:pt>
                <c:pt idx="222">
                  <c:v>45314</c:v>
                </c:pt>
                <c:pt idx="223">
                  <c:v>45313</c:v>
                </c:pt>
                <c:pt idx="224">
                  <c:v>45310</c:v>
                </c:pt>
                <c:pt idx="225">
                  <c:v>45309</c:v>
                </c:pt>
                <c:pt idx="226">
                  <c:v>45308</c:v>
                </c:pt>
                <c:pt idx="227">
                  <c:v>45307</c:v>
                </c:pt>
                <c:pt idx="228">
                  <c:v>45303</c:v>
                </c:pt>
                <c:pt idx="229">
                  <c:v>45302</c:v>
                </c:pt>
                <c:pt idx="230">
                  <c:v>45301</c:v>
                </c:pt>
                <c:pt idx="231">
                  <c:v>45300</c:v>
                </c:pt>
                <c:pt idx="232">
                  <c:v>45299</c:v>
                </c:pt>
                <c:pt idx="233">
                  <c:v>45296</c:v>
                </c:pt>
                <c:pt idx="234">
                  <c:v>45295</c:v>
                </c:pt>
                <c:pt idx="235">
                  <c:v>45294</c:v>
                </c:pt>
                <c:pt idx="236">
                  <c:v>45293</c:v>
                </c:pt>
                <c:pt idx="237">
                  <c:v>45289</c:v>
                </c:pt>
                <c:pt idx="238">
                  <c:v>45288</c:v>
                </c:pt>
                <c:pt idx="239">
                  <c:v>45287</c:v>
                </c:pt>
                <c:pt idx="240">
                  <c:v>45286</c:v>
                </c:pt>
                <c:pt idx="241">
                  <c:v>45282</c:v>
                </c:pt>
                <c:pt idx="242">
                  <c:v>45281</c:v>
                </c:pt>
                <c:pt idx="243">
                  <c:v>45280</c:v>
                </c:pt>
                <c:pt idx="244">
                  <c:v>45279</c:v>
                </c:pt>
                <c:pt idx="245">
                  <c:v>45278</c:v>
                </c:pt>
                <c:pt idx="246">
                  <c:v>45275</c:v>
                </c:pt>
                <c:pt idx="247">
                  <c:v>45274</c:v>
                </c:pt>
                <c:pt idx="248">
                  <c:v>45273</c:v>
                </c:pt>
                <c:pt idx="249">
                  <c:v>45272</c:v>
                </c:pt>
                <c:pt idx="250">
                  <c:v>45271</c:v>
                </c:pt>
              </c:numCache>
            </c:numRef>
          </c:cat>
          <c:val>
            <c:numRef>
              <c:f>Graphs!$T$107:$T$357</c:f>
              <c:numCache>
                <c:formatCode>_(* #,##0_);_(* \(#,##0\);_(* "-"_);_(@_)</c:formatCode>
                <c:ptCount val="251"/>
                <c:pt idx="0">
                  <c:v>10738066</c:v>
                </c:pt>
                <c:pt idx="1">
                  <c:v>8328000</c:v>
                </c:pt>
                <c:pt idx="2">
                  <c:v>12921600</c:v>
                </c:pt>
                <c:pt idx="3">
                  <c:v>9380400</c:v>
                </c:pt>
                <c:pt idx="4">
                  <c:v>9884600</c:v>
                </c:pt>
                <c:pt idx="5">
                  <c:v>20059300</c:v>
                </c:pt>
                <c:pt idx="6">
                  <c:v>10736500</c:v>
                </c:pt>
                <c:pt idx="7">
                  <c:v>7846700</c:v>
                </c:pt>
                <c:pt idx="8">
                  <c:v>7385200</c:v>
                </c:pt>
                <c:pt idx="9">
                  <c:v>16714200</c:v>
                </c:pt>
                <c:pt idx="10">
                  <c:v>8666500</c:v>
                </c:pt>
                <c:pt idx="11">
                  <c:v>14509000</c:v>
                </c:pt>
                <c:pt idx="12">
                  <c:v>8816900</c:v>
                </c:pt>
                <c:pt idx="13">
                  <c:v>7445900</c:v>
                </c:pt>
                <c:pt idx="14">
                  <c:v>11520100</c:v>
                </c:pt>
                <c:pt idx="15">
                  <c:v>14577400</c:v>
                </c:pt>
                <c:pt idx="16">
                  <c:v>9993900</c:v>
                </c:pt>
                <c:pt idx="17">
                  <c:v>11618100</c:v>
                </c:pt>
                <c:pt idx="18">
                  <c:v>9672300</c:v>
                </c:pt>
                <c:pt idx="19">
                  <c:v>10306200</c:v>
                </c:pt>
                <c:pt idx="20">
                  <c:v>7527100</c:v>
                </c:pt>
                <c:pt idx="21">
                  <c:v>11523600</c:v>
                </c:pt>
                <c:pt idx="22">
                  <c:v>15034800</c:v>
                </c:pt>
                <c:pt idx="23">
                  <c:v>8004900</c:v>
                </c:pt>
                <c:pt idx="24">
                  <c:v>7773000</c:v>
                </c:pt>
                <c:pt idx="25">
                  <c:v>10317500</c:v>
                </c:pt>
                <c:pt idx="26">
                  <c:v>13044900</c:v>
                </c:pt>
                <c:pt idx="27">
                  <c:v>11076800</c:v>
                </c:pt>
                <c:pt idx="28">
                  <c:v>12540800</c:v>
                </c:pt>
                <c:pt idx="29">
                  <c:v>10175800</c:v>
                </c:pt>
                <c:pt idx="30">
                  <c:v>14591100</c:v>
                </c:pt>
                <c:pt idx="31">
                  <c:v>23196200</c:v>
                </c:pt>
                <c:pt idx="32">
                  <c:v>20569100</c:v>
                </c:pt>
                <c:pt idx="33">
                  <c:v>13307000</c:v>
                </c:pt>
                <c:pt idx="34">
                  <c:v>12374900</c:v>
                </c:pt>
                <c:pt idx="35">
                  <c:v>18493400</c:v>
                </c:pt>
                <c:pt idx="36">
                  <c:v>20940600</c:v>
                </c:pt>
                <c:pt idx="37">
                  <c:v>20469200</c:v>
                </c:pt>
                <c:pt idx="38">
                  <c:v>25611300</c:v>
                </c:pt>
                <c:pt idx="39">
                  <c:v>8155000</c:v>
                </c:pt>
                <c:pt idx="40">
                  <c:v>6530300</c:v>
                </c:pt>
                <c:pt idx="41">
                  <c:v>7159500</c:v>
                </c:pt>
                <c:pt idx="42">
                  <c:v>9078600</c:v>
                </c:pt>
                <c:pt idx="43">
                  <c:v>6913500</c:v>
                </c:pt>
                <c:pt idx="44">
                  <c:v>7542700</c:v>
                </c:pt>
                <c:pt idx="45">
                  <c:v>7574100</c:v>
                </c:pt>
                <c:pt idx="46">
                  <c:v>6725800</c:v>
                </c:pt>
                <c:pt idx="47">
                  <c:v>14324000</c:v>
                </c:pt>
                <c:pt idx="48">
                  <c:v>14368000</c:v>
                </c:pt>
                <c:pt idx="49">
                  <c:v>10983000</c:v>
                </c:pt>
                <c:pt idx="50">
                  <c:v>13895000</c:v>
                </c:pt>
                <c:pt idx="51">
                  <c:v>20680000</c:v>
                </c:pt>
                <c:pt idx="52">
                  <c:v>11680000</c:v>
                </c:pt>
                <c:pt idx="53">
                  <c:v>9895000</c:v>
                </c:pt>
                <c:pt idx="54">
                  <c:v>7389000</c:v>
                </c:pt>
                <c:pt idx="55">
                  <c:v>29262000</c:v>
                </c:pt>
                <c:pt idx="56">
                  <c:v>15943000</c:v>
                </c:pt>
                <c:pt idx="57">
                  <c:v>11523000</c:v>
                </c:pt>
                <c:pt idx="58">
                  <c:v>11458000</c:v>
                </c:pt>
                <c:pt idx="59">
                  <c:v>12521000</c:v>
                </c:pt>
                <c:pt idx="60">
                  <c:v>8713000</c:v>
                </c:pt>
                <c:pt idx="61">
                  <c:v>15075000</c:v>
                </c:pt>
                <c:pt idx="62">
                  <c:v>22202000</c:v>
                </c:pt>
                <c:pt idx="63">
                  <c:v>13518000</c:v>
                </c:pt>
                <c:pt idx="64">
                  <c:v>11506000</c:v>
                </c:pt>
                <c:pt idx="65">
                  <c:v>15530000</c:v>
                </c:pt>
                <c:pt idx="66">
                  <c:v>8197000</c:v>
                </c:pt>
                <c:pt idx="67">
                  <c:v>9434000</c:v>
                </c:pt>
                <c:pt idx="68">
                  <c:v>16690000</c:v>
                </c:pt>
                <c:pt idx="69">
                  <c:v>12427000</c:v>
                </c:pt>
                <c:pt idx="70">
                  <c:v>12437000</c:v>
                </c:pt>
                <c:pt idx="71">
                  <c:v>11739000</c:v>
                </c:pt>
                <c:pt idx="72">
                  <c:v>8911000</c:v>
                </c:pt>
                <c:pt idx="73">
                  <c:v>11154000</c:v>
                </c:pt>
                <c:pt idx="74">
                  <c:v>10671000</c:v>
                </c:pt>
                <c:pt idx="75">
                  <c:v>13665000</c:v>
                </c:pt>
                <c:pt idx="76">
                  <c:v>8452000</c:v>
                </c:pt>
                <c:pt idx="77">
                  <c:v>9951000</c:v>
                </c:pt>
                <c:pt idx="78">
                  <c:v>10306000</c:v>
                </c:pt>
                <c:pt idx="79">
                  <c:v>11232000</c:v>
                </c:pt>
                <c:pt idx="80">
                  <c:v>12064000</c:v>
                </c:pt>
                <c:pt idx="81">
                  <c:v>8602000</c:v>
                </c:pt>
                <c:pt idx="82">
                  <c:v>15018000</c:v>
                </c:pt>
                <c:pt idx="83">
                  <c:v>7256000</c:v>
                </c:pt>
                <c:pt idx="84">
                  <c:v>12528000</c:v>
                </c:pt>
                <c:pt idx="85">
                  <c:v>14911000</c:v>
                </c:pt>
                <c:pt idx="86">
                  <c:v>12823000</c:v>
                </c:pt>
                <c:pt idx="87">
                  <c:v>12832000</c:v>
                </c:pt>
                <c:pt idx="88">
                  <c:v>23639000</c:v>
                </c:pt>
                <c:pt idx="89">
                  <c:v>27073000</c:v>
                </c:pt>
                <c:pt idx="90">
                  <c:v>28880000</c:v>
                </c:pt>
                <c:pt idx="91">
                  <c:v>19419000</c:v>
                </c:pt>
                <c:pt idx="92">
                  <c:v>13399000</c:v>
                </c:pt>
                <c:pt idx="93">
                  <c:v>8251000</c:v>
                </c:pt>
                <c:pt idx="94">
                  <c:v>11679000</c:v>
                </c:pt>
                <c:pt idx="95">
                  <c:v>19318000</c:v>
                </c:pt>
                <c:pt idx="96">
                  <c:v>13159000</c:v>
                </c:pt>
                <c:pt idx="97">
                  <c:v>6710000</c:v>
                </c:pt>
                <c:pt idx="98">
                  <c:v>13319000</c:v>
                </c:pt>
                <c:pt idx="99">
                  <c:v>14103000</c:v>
                </c:pt>
                <c:pt idx="100">
                  <c:v>16199000</c:v>
                </c:pt>
                <c:pt idx="101">
                  <c:v>21142000</c:v>
                </c:pt>
                <c:pt idx="102">
                  <c:v>6284000</c:v>
                </c:pt>
                <c:pt idx="103">
                  <c:v>7911000</c:v>
                </c:pt>
                <c:pt idx="104">
                  <c:v>9459000</c:v>
                </c:pt>
                <c:pt idx="105">
                  <c:v>13516000</c:v>
                </c:pt>
                <c:pt idx="106">
                  <c:v>7749000</c:v>
                </c:pt>
                <c:pt idx="107">
                  <c:v>6242000</c:v>
                </c:pt>
                <c:pt idx="108">
                  <c:v>7275000</c:v>
                </c:pt>
                <c:pt idx="109">
                  <c:v>5599000</c:v>
                </c:pt>
                <c:pt idx="110">
                  <c:v>4308000</c:v>
                </c:pt>
                <c:pt idx="111">
                  <c:v>5504000</c:v>
                </c:pt>
                <c:pt idx="112">
                  <c:v>6145000</c:v>
                </c:pt>
                <c:pt idx="113">
                  <c:v>12237000</c:v>
                </c:pt>
                <c:pt idx="114">
                  <c:v>9148000</c:v>
                </c:pt>
                <c:pt idx="115">
                  <c:v>8787000</c:v>
                </c:pt>
                <c:pt idx="116">
                  <c:v>9323000</c:v>
                </c:pt>
                <c:pt idx="117">
                  <c:v>10415000</c:v>
                </c:pt>
                <c:pt idx="118">
                  <c:v>16990000</c:v>
                </c:pt>
                <c:pt idx="119">
                  <c:v>14615000</c:v>
                </c:pt>
                <c:pt idx="120">
                  <c:v>11927000</c:v>
                </c:pt>
                <c:pt idx="121">
                  <c:v>10497000</c:v>
                </c:pt>
                <c:pt idx="122">
                  <c:v>6205000</c:v>
                </c:pt>
                <c:pt idx="123">
                  <c:v>9582000</c:v>
                </c:pt>
                <c:pt idx="124">
                  <c:v>15063000</c:v>
                </c:pt>
                <c:pt idx="125">
                  <c:v>7123000</c:v>
                </c:pt>
                <c:pt idx="126">
                  <c:v>10594000</c:v>
                </c:pt>
                <c:pt idx="127">
                  <c:v>5813000</c:v>
                </c:pt>
                <c:pt idx="128">
                  <c:v>8045000</c:v>
                </c:pt>
                <c:pt idx="129">
                  <c:v>11660000</c:v>
                </c:pt>
                <c:pt idx="130">
                  <c:v>6672000</c:v>
                </c:pt>
                <c:pt idx="131">
                  <c:v>6806000</c:v>
                </c:pt>
                <c:pt idx="132">
                  <c:v>15598000</c:v>
                </c:pt>
                <c:pt idx="133">
                  <c:v>10577000</c:v>
                </c:pt>
                <c:pt idx="134">
                  <c:v>8802000</c:v>
                </c:pt>
                <c:pt idx="135">
                  <c:v>9942000</c:v>
                </c:pt>
                <c:pt idx="136">
                  <c:v>7196000</c:v>
                </c:pt>
                <c:pt idx="137">
                  <c:v>10576000</c:v>
                </c:pt>
                <c:pt idx="138">
                  <c:v>8938000</c:v>
                </c:pt>
                <c:pt idx="139">
                  <c:v>14234000</c:v>
                </c:pt>
                <c:pt idx="140">
                  <c:v>6650000</c:v>
                </c:pt>
                <c:pt idx="141">
                  <c:v>9106000</c:v>
                </c:pt>
                <c:pt idx="142">
                  <c:v>8124000</c:v>
                </c:pt>
                <c:pt idx="143">
                  <c:v>7133000</c:v>
                </c:pt>
                <c:pt idx="144">
                  <c:v>5751000</c:v>
                </c:pt>
                <c:pt idx="145">
                  <c:v>7394000</c:v>
                </c:pt>
                <c:pt idx="146">
                  <c:v>5100000</c:v>
                </c:pt>
                <c:pt idx="147">
                  <c:v>5767000</c:v>
                </c:pt>
                <c:pt idx="148">
                  <c:v>5539000</c:v>
                </c:pt>
                <c:pt idx="149">
                  <c:v>6746000</c:v>
                </c:pt>
                <c:pt idx="150">
                  <c:v>7545000</c:v>
                </c:pt>
                <c:pt idx="151">
                  <c:v>8752000</c:v>
                </c:pt>
                <c:pt idx="152">
                  <c:v>7245000</c:v>
                </c:pt>
                <c:pt idx="153">
                  <c:v>11878000</c:v>
                </c:pt>
                <c:pt idx="154">
                  <c:v>9737000</c:v>
                </c:pt>
                <c:pt idx="155">
                  <c:v>9025000</c:v>
                </c:pt>
                <c:pt idx="156">
                  <c:v>13971000</c:v>
                </c:pt>
                <c:pt idx="157">
                  <c:v>13093000</c:v>
                </c:pt>
                <c:pt idx="158">
                  <c:v>19491000</c:v>
                </c:pt>
                <c:pt idx="159">
                  <c:v>9823000</c:v>
                </c:pt>
                <c:pt idx="160">
                  <c:v>18563000</c:v>
                </c:pt>
                <c:pt idx="161">
                  <c:v>13545000</c:v>
                </c:pt>
                <c:pt idx="162">
                  <c:v>23074000</c:v>
                </c:pt>
                <c:pt idx="163">
                  <c:v>16686000</c:v>
                </c:pt>
                <c:pt idx="164">
                  <c:v>5448000</c:v>
                </c:pt>
                <c:pt idx="165">
                  <c:v>7691000</c:v>
                </c:pt>
                <c:pt idx="166">
                  <c:v>9893000</c:v>
                </c:pt>
                <c:pt idx="167">
                  <c:v>7055000</c:v>
                </c:pt>
                <c:pt idx="168">
                  <c:v>5976000</c:v>
                </c:pt>
                <c:pt idx="169">
                  <c:v>5207000</c:v>
                </c:pt>
                <c:pt idx="170">
                  <c:v>5609000</c:v>
                </c:pt>
                <c:pt idx="171">
                  <c:v>8048000</c:v>
                </c:pt>
                <c:pt idx="172">
                  <c:v>9919000</c:v>
                </c:pt>
                <c:pt idx="173">
                  <c:v>7302000</c:v>
                </c:pt>
                <c:pt idx="174">
                  <c:v>9071000</c:v>
                </c:pt>
                <c:pt idx="175">
                  <c:v>6514000</c:v>
                </c:pt>
                <c:pt idx="176">
                  <c:v>6639000</c:v>
                </c:pt>
                <c:pt idx="177">
                  <c:v>5896000</c:v>
                </c:pt>
                <c:pt idx="178">
                  <c:v>8589000</c:v>
                </c:pt>
                <c:pt idx="179">
                  <c:v>7405000</c:v>
                </c:pt>
                <c:pt idx="180">
                  <c:v>6901000</c:v>
                </c:pt>
                <c:pt idx="181">
                  <c:v>14078000</c:v>
                </c:pt>
                <c:pt idx="182">
                  <c:v>8493000</c:v>
                </c:pt>
                <c:pt idx="183">
                  <c:v>7029000</c:v>
                </c:pt>
                <c:pt idx="184">
                  <c:v>7510000</c:v>
                </c:pt>
                <c:pt idx="185">
                  <c:v>19745000</c:v>
                </c:pt>
                <c:pt idx="186">
                  <c:v>9964000</c:v>
                </c:pt>
                <c:pt idx="187">
                  <c:v>10080000</c:v>
                </c:pt>
                <c:pt idx="188">
                  <c:v>13512000</c:v>
                </c:pt>
                <c:pt idx="189">
                  <c:v>13267000</c:v>
                </c:pt>
                <c:pt idx="190">
                  <c:v>13313000</c:v>
                </c:pt>
                <c:pt idx="191">
                  <c:v>10974000</c:v>
                </c:pt>
                <c:pt idx="192">
                  <c:v>14329000</c:v>
                </c:pt>
                <c:pt idx="193">
                  <c:v>13083000</c:v>
                </c:pt>
                <c:pt idx="194">
                  <c:v>9016000</c:v>
                </c:pt>
                <c:pt idx="195">
                  <c:v>11111000</c:v>
                </c:pt>
                <c:pt idx="196">
                  <c:v>13084000</c:v>
                </c:pt>
                <c:pt idx="197">
                  <c:v>6150000</c:v>
                </c:pt>
                <c:pt idx="198">
                  <c:v>6303000</c:v>
                </c:pt>
                <c:pt idx="199">
                  <c:v>6091000</c:v>
                </c:pt>
                <c:pt idx="200">
                  <c:v>6868000</c:v>
                </c:pt>
                <c:pt idx="201">
                  <c:v>12639000</c:v>
                </c:pt>
                <c:pt idx="202">
                  <c:v>7140000</c:v>
                </c:pt>
                <c:pt idx="203">
                  <c:v>10890000</c:v>
                </c:pt>
                <c:pt idx="204">
                  <c:v>13280000</c:v>
                </c:pt>
                <c:pt idx="205">
                  <c:v>8529000</c:v>
                </c:pt>
                <c:pt idx="206">
                  <c:v>11849000</c:v>
                </c:pt>
                <c:pt idx="207">
                  <c:v>12595000</c:v>
                </c:pt>
                <c:pt idx="208">
                  <c:v>12542000</c:v>
                </c:pt>
                <c:pt idx="209">
                  <c:v>18363000</c:v>
                </c:pt>
                <c:pt idx="210">
                  <c:v>8627000</c:v>
                </c:pt>
                <c:pt idx="211">
                  <c:v>8570000</c:v>
                </c:pt>
                <c:pt idx="212">
                  <c:v>10546000</c:v>
                </c:pt>
                <c:pt idx="213">
                  <c:v>8651000</c:v>
                </c:pt>
                <c:pt idx="214">
                  <c:v>7629000</c:v>
                </c:pt>
                <c:pt idx="215">
                  <c:v>7633000</c:v>
                </c:pt>
                <c:pt idx="216">
                  <c:v>9969000</c:v>
                </c:pt>
                <c:pt idx="217">
                  <c:v>10696000</c:v>
                </c:pt>
                <c:pt idx="218">
                  <c:v>9904000</c:v>
                </c:pt>
                <c:pt idx="219">
                  <c:v>16751000</c:v>
                </c:pt>
                <c:pt idx="220">
                  <c:v>31073000</c:v>
                </c:pt>
                <c:pt idx="221">
                  <c:v>19276000</c:v>
                </c:pt>
                <c:pt idx="222">
                  <c:v>8243000</c:v>
                </c:pt>
                <c:pt idx="223">
                  <c:v>13652000</c:v>
                </c:pt>
                <c:pt idx="224">
                  <c:v>18628000</c:v>
                </c:pt>
                <c:pt idx="225">
                  <c:v>14863000</c:v>
                </c:pt>
                <c:pt idx="226">
                  <c:v>9631000</c:v>
                </c:pt>
                <c:pt idx="227">
                  <c:v>6847000</c:v>
                </c:pt>
                <c:pt idx="228">
                  <c:v>4972000</c:v>
                </c:pt>
                <c:pt idx="229">
                  <c:v>7742000</c:v>
                </c:pt>
                <c:pt idx="230">
                  <c:v>8376000</c:v>
                </c:pt>
                <c:pt idx="231">
                  <c:v>5904000</c:v>
                </c:pt>
                <c:pt idx="232">
                  <c:v>10889000</c:v>
                </c:pt>
                <c:pt idx="233">
                  <c:v>8219000</c:v>
                </c:pt>
                <c:pt idx="234">
                  <c:v>10330000</c:v>
                </c:pt>
                <c:pt idx="235">
                  <c:v>9224000</c:v>
                </c:pt>
                <c:pt idx="236">
                  <c:v>11136000</c:v>
                </c:pt>
                <c:pt idx="237">
                  <c:v>5191000</c:v>
                </c:pt>
                <c:pt idx="238">
                  <c:v>6007000</c:v>
                </c:pt>
                <c:pt idx="239">
                  <c:v>7623000</c:v>
                </c:pt>
                <c:pt idx="240">
                  <c:v>6941000</c:v>
                </c:pt>
                <c:pt idx="241">
                  <c:v>5251000</c:v>
                </c:pt>
                <c:pt idx="242">
                  <c:v>9349000</c:v>
                </c:pt>
                <c:pt idx="243">
                  <c:v>11409000</c:v>
                </c:pt>
                <c:pt idx="244">
                  <c:v>8906000</c:v>
                </c:pt>
                <c:pt idx="245">
                  <c:v>8841000</c:v>
                </c:pt>
                <c:pt idx="246">
                  <c:v>17817000</c:v>
                </c:pt>
                <c:pt idx="247">
                  <c:v>17234000</c:v>
                </c:pt>
                <c:pt idx="248">
                  <c:v>8889000</c:v>
                </c:pt>
                <c:pt idx="249">
                  <c:v>12019000</c:v>
                </c:pt>
                <c:pt idx="250">
                  <c:v>15849000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20-4DAA-B1AC-705E02D3FF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783475664"/>
        <c:axId val="1783453584"/>
      </c:barChart>
      <c:lineChart>
        <c:grouping val="standard"/>
        <c:varyColors val="0"/>
        <c:ser>
          <c:idx val="0"/>
          <c:order val="0"/>
          <c:tx>
            <c:strRef>
              <c:f>Graphs!$S$106</c:f>
              <c:strCache>
                <c:ptCount val="1"/>
                <c:pt idx="0">
                  <c:v>Share Price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Graphs!$R$107:$R$357</c:f>
              <c:numCache>
                <c:formatCode>mm/dd/yy;@</c:formatCode>
                <c:ptCount val="251"/>
                <c:pt idx="0">
                  <c:v>45635</c:v>
                </c:pt>
                <c:pt idx="1">
                  <c:v>45632</c:v>
                </c:pt>
                <c:pt idx="2">
                  <c:v>45631</c:v>
                </c:pt>
                <c:pt idx="3">
                  <c:v>45630</c:v>
                </c:pt>
                <c:pt idx="4">
                  <c:v>45629</c:v>
                </c:pt>
                <c:pt idx="5">
                  <c:v>45628</c:v>
                </c:pt>
                <c:pt idx="6">
                  <c:v>45625</c:v>
                </c:pt>
                <c:pt idx="7">
                  <c:v>45623</c:v>
                </c:pt>
                <c:pt idx="8">
                  <c:v>45622</c:v>
                </c:pt>
                <c:pt idx="9">
                  <c:v>45621</c:v>
                </c:pt>
                <c:pt idx="10">
                  <c:v>45618</c:v>
                </c:pt>
                <c:pt idx="11">
                  <c:v>45617</c:v>
                </c:pt>
                <c:pt idx="12">
                  <c:v>45616</c:v>
                </c:pt>
                <c:pt idx="13">
                  <c:v>45615</c:v>
                </c:pt>
                <c:pt idx="14">
                  <c:v>45614</c:v>
                </c:pt>
                <c:pt idx="15">
                  <c:v>45611</c:v>
                </c:pt>
                <c:pt idx="16">
                  <c:v>45610</c:v>
                </c:pt>
                <c:pt idx="17">
                  <c:v>45609</c:v>
                </c:pt>
                <c:pt idx="18">
                  <c:v>45608</c:v>
                </c:pt>
                <c:pt idx="19">
                  <c:v>45607</c:v>
                </c:pt>
                <c:pt idx="20">
                  <c:v>45604</c:v>
                </c:pt>
                <c:pt idx="21">
                  <c:v>45603</c:v>
                </c:pt>
                <c:pt idx="22">
                  <c:v>45602</c:v>
                </c:pt>
                <c:pt idx="23">
                  <c:v>45601</c:v>
                </c:pt>
                <c:pt idx="24">
                  <c:v>45600</c:v>
                </c:pt>
                <c:pt idx="25">
                  <c:v>45597</c:v>
                </c:pt>
                <c:pt idx="26">
                  <c:v>45596</c:v>
                </c:pt>
                <c:pt idx="27">
                  <c:v>45595</c:v>
                </c:pt>
                <c:pt idx="28">
                  <c:v>45594</c:v>
                </c:pt>
                <c:pt idx="29">
                  <c:v>45593</c:v>
                </c:pt>
                <c:pt idx="30">
                  <c:v>45590</c:v>
                </c:pt>
                <c:pt idx="31">
                  <c:v>45589</c:v>
                </c:pt>
                <c:pt idx="32">
                  <c:v>45588</c:v>
                </c:pt>
                <c:pt idx="33">
                  <c:v>45587</c:v>
                </c:pt>
                <c:pt idx="34">
                  <c:v>45586</c:v>
                </c:pt>
                <c:pt idx="35">
                  <c:v>45583</c:v>
                </c:pt>
                <c:pt idx="36">
                  <c:v>45582</c:v>
                </c:pt>
                <c:pt idx="37">
                  <c:v>45581</c:v>
                </c:pt>
                <c:pt idx="38">
                  <c:v>45580</c:v>
                </c:pt>
                <c:pt idx="39">
                  <c:v>45579</c:v>
                </c:pt>
                <c:pt idx="40">
                  <c:v>45576</c:v>
                </c:pt>
                <c:pt idx="41">
                  <c:v>45575</c:v>
                </c:pt>
                <c:pt idx="42">
                  <c:v>45574</c:v>
                </c:pt>
                <c:pt idx="43">
                  <c:v>45573</c:v>
                </c:pt>
                <c:pt idx="44">
                  <c:v>45572</c:v>
                </c:pt>
                <c:pt idx="45">
                  <c:v>45569</c:v>
                </c:pt>
                <c:pt idx="46">
                  <c:v>45568</c:v>
                </c:pt>
                <c:pt idx="47">
                  <c:v>45567</c:v>
                </c:pt>
                <c:pt idx="48">
                  <c:v>45566</c:v>
                </c:pt>
                <c:pt idx="49">
                  <c:v>45565</c:v>
                </c:pt>
                <c:pt idx="50">
                  <c:v>45562</c:v>
                </c:pt>
                <c:pt idx="51">
                  <c:v>45561</c:v>
                </c:pt>
                <c:pt idx="52">
                  <c:v>45560</c:v>
                </c:pt>
                <c:pt idx="53">
                  <c:v>45559</c:v>
                </c:pt>
                <c:pt idx="54">
                  <c:v>45558</c:v>
                </c:pt>
                <c:pt idx="55">
                  <c:v>45555</c:v>
                </c:pt>
                <c:pt idx="56">
                  <c:v>45554</c:v>
                </c:pt>
                <c:pt idx="57">
                  <c:v>45553</c:v>
                </c:pt>
                <c:pt idx="58">
                  <c:v>45552</c:v>
                </c:pt>
                <c:pt idx="59">
                  <c:v>45551</c:v>
                </c:pt>
                <c:pt idx="60">
                  <c:v>45548</c:v>
                </c:pt>
                <c:pt idx="61">
                  <c:v>45547</c:v>
                </c:pt>
                <c:pt idx="62">
                  <c:v>45546</c:v>
                </c:pt>
                <c:pt idx="63">
                  <c:v>45545</c:v>
                </c:pt>
                <c:pt idx="64">
                  <c:v>45544</c:v>
                </c:pt>
                <c:pt idx="65">
                  <c:v>45541</c:v>
                </c:pt>
                <c:pt idx="66">
                  <c:v>45540</c:v>
                </c:pt>
                <c:pt idx="67">
                  <c:v>45539</c:v>
                </c:pt>
                <c:pt idx="68">
                  <c:v>45538</c:v>
                </c:pt>
                <c:pt idx="69">
                  <c:v>45534</c:v>
                </c:pt>
                <c:pt idx="70">
                  <c:v>45533</c:v>
                </c:pt>
                <c:pt idx="71">
                  <c:v>45532</c:v>
                </c:pt>
                <c:pt idx="72">
                  <c:v>45531</c:v>
                </c:pt>
                <c:pt idx="73">
                  <c:v>45530</c:v>
                </c:pt>
                <c:pt idx="74">
                  <c:v>45527</c:v>
                </c:pt>
                <c:pt idx="75">
                  <c:v>45526</c:v>
                </c:pt>
                <c:pt idx="76">
                  <c:v>45525</c:v>
                </c:pt>
                <c:pt idx="77">
                  <c:v>45524</c:v>
                </c:pt>
                <c:pt idx="78">
                  <c:v>45523</c:v>
                </c:pt>
                <c:pt idx="79">
                  <c:v>45520</c:v>
                </c:pt>
                <c:pt idx="80">
                  <c:v>45519</c:v>
                </c:pt>
                <c:pt idx="81">
                  <c:v>45518</c:v>
                </c:pt>
                <c:pt idx="82">
                  <c:v>45517</c:v>
                </c:pt>
                <c:pt idx="83">
                  <c:v>45516</c:v>
                </c:pt>
                <c:pt idx="84">
                  <c:v>45513</c:v>
                </c:pt>
                <c:pt idx="85">
                  <c:v>45512</c:v>
                </c:pt>
                <c:pt idx="86">
                  <c:v>45511</c:v>
                </c:pt>
                <c:pt idx="87">
                  <c:v>45510</c:v>
                </c:pt>
                <c:pt idx="88">
                  <c:v>45509</c:v>
                </c:pt>
                <c:pt idx="89">
                  <c:v>45506</c:v>
                </c:pt>
                <c:pt idx="90">
                  <c:v>45505</c:v>
                </c:pt>
                <c:pt idx="91">
                  <c:v>45504</c:v>
                </c:pt>
                <c:pt idx="92">
                  <c:v>45503</c:v>
                </c:pt>
                <c:pt idx="93">
                  <c:v>45502</c:v>
                </c:pt>
                <c:pt idx="94">
                  <c:v>45499</c:v>
                </c:pt>
                <c:pt idx="95">
                  <c:v>45498</c:v>
                </c:pt>
                <c:pt idx="96">
                  <c:v>45497</c:v>
                </c:pt>
                <c:pt idx="97">
                  <c:v>45496</c:v>
                </c:pt>
                <c:pt idx="98">
                  <c:v>45495</c:v>
                </c:pt>
                <c:pt idx="99">
                  <c:v>45492</c:v>
                </c:pt>
                <c:pt idx="100">
                  <c:v>45491</c:v>
                </c:pt>
                <c:pt idx="101">
                  <c:v>45490</c:v>
                </c:pt>
                <c:pt idx="102">
                  <c:v>45489</c:v>
                </c:pt>
                <c:pt idx="103">
                  <c:v>45488</c:v>
                </c:pt>
                <c:pt idx="104">
                  <c:v>45485</c:v>
                </c:pt>
                <c:pt idx="105">
                  <c:v>45484</c:v>
                </c:pt>
                <c:pt idx="106">
                  <c:v>45483</c:v>
                </c:pt>
                <c:pt idx="107">
                  <c:v>45482</c:v>
                </c:pt>
                <c:pt idx="108">
                  <c:v>45481</c:v>
                </c:pt>
                <c:pt idx="109">
                  <c:v>45478</c:v>
                </c:pt>
                <c:pt idx="110">
                  <c:v>45476</c:v>
                </c:pt>
                <c:pt idx="111">
                  <c:v>45475</c:v>
                </c:pt>
                <c:pt idx="112">
                  <c:v>45474</c:v>
                </c:pt>
                <c:pt idx="113">
                  <c:v>45471</c:v>
                </c:pt>
                <c:pt idx="114">
                  <c:v>45470</c:v>
                </c:pt>
                <c:pt idx="115">
                  <c:v>45469</c:v>
                </c:pt>
                <c:pt idx="116">
                  <c:v>45468</c:v>
                </c:pt>
                <c:pt idx="117">
                  <c:v>45467</c:v>
                </c:pt>
                <c:pt idx="118">
                  <c:v>45464</c:v>
                </c:pt>
                <c:pt idx="119">
                  <c:v>45463</c:v>
                </c:pt>
                <c:pt idx="120">
                  <c:v>45461</c:v>
                </c:pt>
                <c:pt idx="121">
                  <c:v>45460</c:v>
                </c:pt>
                <c:pt idx="122">
                  <c:v>45457</c:v>
                </c:pt>
                <c:pt idx="123">
                  <c:v>45456</c:v>
                </c:pt>
                <c:pt idx="124">
                  <c:v>45455</c:v>
                </c:pt>
                <c:pt idx="125">
                  <c:v>45454</c:v>
                </c:pt>
                <c:pt idx="126">
                  <c:v>45453</c:v>
                </c:pt>
                <c:pt idx="127">
                  <c:v>45450</c:v>
                </c:pt>
                <c:pt idx="128">
                  <c:v>45449</c:v>
                </c:pt>
                <c:pt idx="129">
                  <c:v>45448</c:v>
                </c:pt>
                <c:pt idx="130">
                  <c:v>45447</c:v>
                </c:pt>
                <c:pt idx="131">
                  <c:v>45446</c:v>
                </c:pt>
                <c:pt idx="132">
                  <c:v>45443</c:v>
                </c:pt>
                <c:pt idx="133">
                  <c:v>45442</c:v>
                </c:pt>
                <c:pt idx="134">
                  <c:v>45441</c:v>
                </c:pt>
                <c:pt idx="135">
                  <c:v>45440</c:v>
                </c:pt>
                <c:pt idx="136">
                  <c:v>45436</c:v>
                </c:pt>
                <c:pt idx="137">
                  <c:v>45435</c:v>
                </c:pt>
                <c:pt idx="138">
                  <c:v>45434</c:v>
                </c:pt>
                <c:pt idx="139">
                  <c:v>45433</c:v>
                </c:pt>
                <c:pt idx="140">
                  <c:v>45432</c:v>
                </c:pt>
                <c:pt idx="141">
                  <c:v>45429</c:v>
                </c:pt>
                <c:pt idx="142">
                  <c:v>45428</c:v>
                </c:pt>
                <c:pt idx="143">
                  <c:v>45427</c:v>
                </c:pt>
                <c:pt idx="144">
                  <c:v>45426</c:v>
                </c:pt>
                <c:pt idx="145">
                  <c:v>45425</c:v>
                </c:pt>
                <c:pt idx="146">
                  <c:v>45422</c:v>
                </c:pt>
                <c:pt idx="147">
                  <c:v>45421</c:v>
                </c:pt>
                <c:pt idx="148">
                  <c:v>45420</c:v>
                </c:pt>
                <c:pt idx="149">
                  <c:v>45419</c:v>
                </c:pt>
                <c:pt idx="150">
                  <c:v>45418</c:v>
                </c:pt>
                <c:pt idx="151">
                  <c:v>45415</c:v>
                </c:pt>
                <c:pt idx="152">
                  <c:v>45414</c:v>
                </c:pt>
                <c:pt idx="153">
                  <c:v>45413</c:v>
                </c:pt>
                <c:pt idx="154">
                  <c:v>45412</c:v>
                </c:pt>
                <c:pt idx="155">
                  <c:v>45411</c:v>
                </c:pt>
                <c:pt idx="156">
                  <c:v>45408</c:v>
                </c:pt>
                <c:pt idx="157">
                  <c:v>45407</c:v>
                </c:pt>
                <c:pt idx="158">
                  <c:v>45406</c:v>
                </c:pt>
                <c:pt idx="159">
                  <c:v>45405</c:v>
                </c:pt>
                <c:pt idx="160">
                  <c:v>45404</c:v>
                </c:pt>
                <c:pt idx="161">
                  <c:v>45401</c:v>
                </c:pt>
                <c:pt idx="162">
                  <c:v>45400</c:v>
                </c:pt>
                <c:pt idx="163">
                  <c:v>45399</c:v>
                </c:pt>
                <c:pt idx="164">
                  <c:v>45398</c:v>
                </c:pt>
                <c:pt idx="165">
                  <c:v>45397</c:v>
                </c:pt>
                <c:pt idx="166">
                  <c:v>45394</c:v>
                </c:pt>
                <c:pt idx="167">
                  <c:v>45393</c:v>
                </c:pt>
                <c:pt idx="168">
                  <c:v>45392</c:v>
                </c:pt>
                <c:pt idx="169">
                  <c:v>45391</c:v>
                </c:pt>
                <c:pt idx="170">
                  <c:v>45390</c:v>
                </c:pt>
                <c:pt idx="171">
                  <c:v>45387</c:v>
                </c:pt>
                <c:pt idx="172">
                  <c:v>45386</c:v>
                </c:pt>
                <c:pt idx="173">
                  <c:v>45385</c:v>
                </c:pt>
                <c:pt idx="174">
                  <c:v>45384</c:v>
                </c:pt>
                <c:pt idx="175">
                  <c:v>45383</c:v>
                </c:pt>
                <c:pt idx="176">
                  <c:v>45379</c:v>
                </c:pt>
                <c:pt idx="177">
                  <c:v>45378</c:v>
                </c:pt>
                <c:pt idx="178">
                  <c:v>45377</c:v>
                </c:pt>
                <c:pt idx="179">
                  <c:v>45376</c:v>
                </c:pt>
                <c:pt idx="180">
                  <c:v>45373</c:v>
                </c:pt>
                <c:pt idx="181">
                  <c:v>45372</c:v>
                </c:pt>
                <c:pt idx="182">
                  <c:v>45371</c:v>
                </c:pt>
                <c:pt idx="183">
                  <c:v>45370</c:v>
                </c:pt>
                <c:pt idx="184">
                  <c:v>45369</c:v>
                </c:pt>
                <c:pt idx="185">
                  <c:v>45366</c:v>
                </c:pt>
                <c:pt idx="186">
                  <c:v>45365</c:v>
                </c:pt>
                <c:pt idx="187">
                  <c:v>45364</c:v>
                </c:pt>
                <c:pt idx="188">
                  <c:v>45363</c:v>
                </c:pt>
                <c:pt idx="189">
                  <c:v>45362</c:v>
                </c:pt>
                <c:pt idx="190">
                  <c:v>45359</c:v>
                </c:pt>
                <c:pt idx="191">
                  <c:v>45358</c:v>
                </c:pt>
                <c:pt idx="192">
                  <c:v>45357</c:v>
                </c:pt>
                <c:pt idx="193">
                  <c:v>45356</c:v>
                </c:pt>
                <c:pt idx="194">
                  <c:v>45355</c:v>
                </c:pt>
                <c:pt idx="195">
                  <c:v>45352</c:v>
                </c:pt>
                <c:pt idx="196">
                  <c:v>45351</c:v>
                </c:pt>
                <c:pt idx="197">
                  <c:v>45350</c:v>
                </c:pt>
                <c:pt idx="198">
                  <c:v>45349</c:v>
                </c:pt>
                <c:pt idx="199">
                  <c:v>45348</c:v>
                </c:pt>
                <c:pt idx="200">
                  <c:v>45345</c:v>
                </c:pt>
                <c:pt idx="201">
                  <c:v>45344</c:v>
                </c:pt>
                <c:pt idx="202">
                  <c:v>45343</c:v>
                </c:pt>
                <c:pt idx="203">
                  <c:v>45342</c:v>
                </c:pt>
                <c:pt idx="204">
                  <c:v>45338</c:v>
                </c:pt>
                <c:pt idx="205">
                  <c:v>45337</c:v>
                </c:pt>
                <c:pt idx="206">
                  <c:v>45336</c:v>
                </c:pt>
                <c:pt idx="207">
                  <c:v>45335</c:v>
                </c:pt>
                <c:pt idx="208">
                  <c:v>45334</c:v>
                </c:pt>
                <c:pt idx="209">
                  <c:v>45331</c:v>
                </c:pt>
                <c:pt idx="210">
                  <c:v>45330</c:v>
                </c:pt>
                <c:pt idx="211">
                  <c:v>45329</c:v>
                </c:pt>
                <c:pt idx="212">
                  <c:v>45328</c:v>
                </c:pt>
                <c:pt idx="213">
                  <c:v>45327</c:v>
                </c:pt>
                <c:pt idx="214">
                  <c:v>45324</c:v>
                </c:pt>
                <c:pt idx="215">
                  <c:v>45323</c:v>
                </c:pt>
                <c:pt idx="216">
                  <c:v>45322</c:v>
                </c:pt>
                <c:pt idx="217">
                  <c:v>45321</c:v>
                </c:pt>
                <c:pt idx="218">
                  <c:v>45320</c:v>
                </c:pt>
                <c:pt idx="219">
                  <c:v>45317</c:v>
                </c:pt>
                <c:pt idx="220">
                  <c:v>45316</c:v>
                </c:pt>
                <c:pt idx="221">
                  <c:v>45315</c:v>
                </c:pt>
                <c:pt idx="222">
                  <c:v>45314</c:v>
                </c:pt>
                <c:pt idx="223">
                  <c:v>45313</c:v>
                </c:pt>
                <c:pt idx="224">
                  <c:v>45310</c:v>
                </c:pt>
                <c:pt idx="225">
                  <c:v>45309</c:v>
                </c:pt>
                <c:pt idx="226">
                  <c:v>45308</c:v>
                </c:pt>
                <c:pt idx="227">
                  <c:v>45307</c:v>
                </c:pt>
                <c:pt idx="228">
                  <c:v>45303</c:v>
                </c:pt>
                <c:pt idx="229">
                  <c:v>45302</c:v>
                </c:pt>
                <c:pt idx="230">
                  <c:v>45301</c:v>
                </c:pt>
                <c:pt idx="231">
                  <c:v>45300</c:v>
                </c:pt>
                <c:pt idx="232">
                  <c:v>45299</c:v>
                </c:pt>
                <c:pt idx="233">
                  <c:v>45296</c:v>
                </c:pt>
                <c:pt idx="234">
                  <c:v>45295</c:v>
                </c:pt>
                <c:pt idx="235">
                  <c:v>45294</c:v>
                </c:pt>
                <c:pt idx="236">
                  <c:v>45293</c:v>
                </c:pt>
                <c:pt idx="237">
                  <c:v>45289</c:v>
                </c:pt>
                <c:pt idx="238">
                  <c:v>45288</c:v>
                </c:pt>
                <c:pt idx="239">
                  <c:v>45287</c:v>
                </c:pt>
                <c:pt idx="240">
                  <c:v>45286</c:v>
                </c:pt>
                <c:pt idx="241">
                  <c:v>45282</c:v>
                </c:pt>
                <c:pt idx="242">
                  <c:v>45281</c:v>
                </c:pt>
                <c:pt idx="243">
                  <c:v>45280</c:v>
                </c:pt>
                <c:pt idx="244">
                  <c:v>45279</c:v>
                </c:pt>
                <c:pt idx="245">
                  <c:v>45278</c:v>
                </c:pt>
                <c:pt idx="246">
                  <c:v>45275</c:v>
                </c:pt>
                <c:pt idx="247">
                  <c:v>45274</c:v>
                </c:pt>
                <c:pt idx="248">
                  <c:v>45273</c:v>
                </c:pt>
                <c:pt idx="249">
                  <c:v>45272</c:v>
                </c:pt>
                <c:pt idx="250">
                  <c:v>45271</c:v>
                </c:pt>
              </c:numCache>
            </c:numRef>
          </c:cat>
          <c:val>
            <c:numRef>
              <c:f>Graphs!$S$107:$S$357</c:f>
              <c:numCache>
                <c:formatCode>_("$"* #,##0.00_);_("$"* \(#,##0.00\);_("$"* "-"??_);_(@_)</c:formatCode>
                <c:ptCount val="251"/>
                <c:pt idx="0">
                  <c:v>76.510000000000005</c:v>
                </c:pt>
                <c:pt idx="1">
                  <c:v>75.14</c:v>
                </c:pt>
                <c:pt idx="2">
                  <c:v>77.88</c:v>
                </c:pt>
                <c:pt idx="3">
                  <c:v>79.540000000000006</c:v>
                </c:pt>
                <c:pt idx="4">
                  <c:v>77.7</c:v>
                </c:pt>
                <c:pt idx="5">
                  <c:v>73.88</c:v>
                </c:pt>
                <c:pt idx="6">
                  <c:v>73.849999999999994</c:v>
                </c:pt>
                <c:pt idx="7">
                  <c:v>72.73</c:v>
                </c:pt>
                <c:pt idx="8">
                  <c:v>74.11</c:v>
                </c:pt>
                <c:pt idx="9">
                  <c:v>74.010000000000005</c:v>
                </c:pt>
                <c:pt idx="10">
                  <c:v>72.61</c:v>
                </c:pt>
                <c:pt idx="11">
                  <c:v>71.19</c:v>
                </c:pt>
                <c:pt idx="12">
                  <c:v>70.010000000000005</c:v>
                </c:pt>
                <c:pt idx="13">
                  <c:v>70.05</c:v>
                </c:pt>
                <c:pt idx="14">
                  <c:v>69.89</c:v>
                </c:pt>
                <c:pt idx="15">
                  <c:v>71.650000000000006</c:v>
                </c:pt>
                <c:pt idx="16">
                  <c:v>75.45</c:v>
                </c:pt>
                <c:pt idx="17">
                  <c:v>74.5</c:v>
                </c:pt>
                <c:pt idx="18">
                  <c:v>76.42</c:v>
                </c:pt>
                <c:pt idx="19">
                  <c:v>77.430000000000007</c:v>
                </c:pt>
                <c:pt idx="20">
                  <c:v>78.83</c:v>
                </c:pt>
                <c:pt idx="21">
                  <c:v>78.06</c:v>
                </c:pt>
                <c:pt idx="22">
                  <c:v>77.680000000000007</c:v>
                </c:pt>
                <c:pt idx="23">
                  <c:v>74.52</c:v>
                </c:pt>
                <c:pt idx="24">
                  <c:v>74.430000000000007</c:v>
                </c:pt>
                <c:pt idx="25">
                  <c:v>74.36</c:v>
                </c:pt>
                <c:pt idx="26">
                  <c:v>76.099999999999994</c:v>
                </c:pt>
                <c:pt idx="27">
                  <c:v>76.86</c:v>
                </c:pt>
                <c:pt idx="28">
                  <c:v>75.849999999999994</c:v>
                </c:pt>
                <c:pt idx="29">
                  <c:v>77.17</c:v>
                </c:pt>
                <c:pt idx="30">
                  <c:v>77.47</c:v>
                </c:pt>
                <c:pt idx="31">
                  <c:v>76.180000000000007</c:v>
                </c:pt>
                <c:pt idx="32">
                  <c:v>72.37</c:v>
                </c:pt>
                <c:pt idx="33">
                  <c:v>72.67</c:v>
                </c:pt>
                <c:pt idx="34">
                  <c:v>72.62</c:v>
                </c:pt>
                <c:pt idx="35">
                  <c:v>74.23</c:v>
                </c:pt>
                <c:pt idx="36">
                  <c:v>76.459999999999994</c:v>
                </c:pt>
                <c:pt idx="37">
                  <c:v>77.150000000000006</c:v>
                </c:pt>
                <c:pt idx="38">
                  <c:v>85.8</c:v>
                </c:pt>
                <c:pt idx="39">
                  <c:v>83.77</c:v>
                </c:pt>
                <c:pt idx="40">
                  <c:v>81.489999999999995</c:v>
                </c:pt>
                <c:pt idx="41">
                  <c:v>81.540000000000006</c:v>
                </c:pt>
                <c:pt idx="42">
                  <c:v>80.760000000000005</c:v>
                </c:pt>
                <c:pt idx="43">
                  <c:v>80.7</c:v>
                </c:pt>
                <c:pt idx="44">
                  <c:v>80.58</c:v>
                </c:pt>
                <c:pt idx="45">
                  <c:v>82.97</c:v>
                </c:pt>
                <c:pt idx="46">
                  <c:v>79.930000000000007</c:v>
                </c:pt>
                <c:pt idx="47">
                  <c:v>80.400000000000006</c:v>
                </c:pt>
                <c:pt idx="48">
                  <c:v>81.75</c:v>
                </c:pt>
                <c:pt idx="49">
                  <c:v>82.16</c:v>
                </c:pt>
                <c:pt idx="50">
                  <c:v>85.38</c:v>
                </c:pt>
                <c:pt idx="51">
                  <c:v>86.26</c:v>
                </c:pt>
                <c:pt idx="52">
                  <c:v>78.900000000000006</c:v>
                </c:pt>
                <c:pt idx="53">
                  <c:v>79.599999999999994</c:v>
                </c:pt>
                <c:pt idx="54">
                  <c:v>77.7</c:v>
                </c:pt>
                <c:pt idx="55">
                  <c:v>77.63</c:v>
                </c:pt>
                <c:pt idx="56">
                  <c:v>79.58</c:v>
                </c:pt>
                <c:pt idx="57">
                  <c:v>77.97</c:v>
                </c:pt>
                <c:pt idx="58">
                  <c:v>77.260000000000005</c:v>
                </c:pt>
                <c:pt idx="59">
                  <c:v>75.150000000000006</c:v>
                </c:pt>
                <c:pt idx="60">
                  <c:v>75.58</c:v>
                </c:pt>
                <c:pt idx="61">
                  <c:v>76.53</c:v>
                </c:pt>
                <c:pt idx="62">
                  <c:v>73.2</c:v>
                </c:pt>
                <c:pt idx="63">
                  <c:v>73.849999999999994</c:v>
                </c:pt>
                <c:pt idx="64">
                  <c:v>74.290000000000006</c:v>
                </c:pt>
                <c:pt idx="65">
                  <c:v>75.25</c:v>
                </c:pt>
                <c:pt idx="66">
                  <c:v>75.03</c:v>
                </c:pt>
                <c:pt idx="67">
                  <c:v>75.25</c:v>
                </c:pt>
                <c:pt idx="68">
                  <c:v>80.56</c:v>
                </c:pt>
                <c:pt idx="69">
                  <c:v>82.36</c:v>
                </c:pt>
                <c:pt idx="70">
                  <c:v>81.84</c:v>
                </c:pt>
                <c:pt idx="71">
                  <c:v>81.99</c:v>
                </c:pt>
                <c:pt idx="72">
                  <c:v>81.069999999999993</c:v>
                </c:pt>
                <c:pt idx="73">
                  <c:v>84.1</c:v>
                </c:pt>
                <c:pt idx="74">
                  <c:v>85.1</c:v>
                </c:pt>
                <c:pt idx="75">
                  <c:v>87.5</c:v>
                </c:pt>
                <c:pt idx="76">
                  <c:v>86.95</c:v>
                </c:pt>
                <c:pt idx="77">
                  <c:v>88.07</c:v>
                </c:pt>
                <c:pt idx="78">
                  <c:v>86.5</c:v>
                </c:pt>
                <c:pt idx="79">
                  <c:v>87.15</c:v>
                </c:pt>
                <c:pt idx="80">
                  <c:v>86.47</c:v>
                </c:pt>
                <c:pt idx="81">
                  <c:v>84.88</c:v>
                </c:pt>
                <c:pt idx="82">
                  <c:v>81.5</c:v>
                </c:pt>
                <c:pt idx="83">
                  <c:v>80.739999999999995</c:v>
                </c:pt>
                <c:pt idx="84">
                  <c:v>80.8</c:v>
                </c:pt>
                <c:pt idx="85">
                  <c:v>78.02</c:v>
                </c:pt>
                <c:pt idx="86">
                  <c:v>79.8</c:v>
                </c:pt>
                <c:pt idx="87">
                  <c:v>77.5</c:v>
                </c:pt>
                <c:pt idx="88">
                  <c:v>74.069999999999993</c:v>
                </c:pt>
                <c:pt idx="89">
                  <c:v>80</c:v>
                </c:pt>
                <c:pt idx="90">
                  <c:v>85.47</c:v>
                </c:pt>
                <c:pt idx="91">
                  <c:v>89.35</c:v>
                </c:pt>
                <c:pt idx="92">
                  <c:v>90</c:v>
                </c:pt>
                <c:pt idx="93">
                  <c:v>90.92</c:v>
                </c:pt>
                <c:pt idx="94">
                  <c:v>90.81</c:v>
                </c:pt>
                <c:pt idx="95">
                  <c:v>91.09</c:v>
                </c:pt>
                <c:pt idx="96">
                  <c:v>95</c:v>
                </c:pt>
                <c:pt idx="97">
                  <c:v>96.38</c:v>
                </c:pt>
                <c:pt idx="98">
                  <c:v>94.2</c:v>
                </c:pt>
                <c:pt idx="99">
                  <c:v>95.95</c:v>
                </c:pt>
                <c:pt idx="100">
                  <c:v>98.42</c:v>
                </c:pt>
                <c:pt idx="101">
                  <c:v>101.92</c:v>
                </c:pt>
                <c:pt idx="102">
                  <c:v>107.56</c:v>
                </c:pt>
                <c:pt idx="103">
                  <c:v>106.98</c:v>
                </c:pt>
                <c:pt idx="104">
                  <c:v>105.7</c:v>
                </c:pt>
                <c:pt idx="105">
                  <c:v>112.98</c:v>
                </c:pt>
                <c:pt idx="106">
                  <c:v>111.61</c:v>
                </c:pt>
                <c:pt idx="107">
                  <c:v>110.61</c:v>
                </c:pt>
                <c:pt idx="108">
                  <c:v>108.84</c:v>
                </c:pt>
                <c:pt idx="109">
                  <c:v>109.04</c:v>
                </c:pt>
                <c:pt idx="110">
                  <c:v>107</c:v>
                </c:pt>
                <c:pt idx="111">
                  <c:v>104.89</c:v>
                </c:pt>
                <c:pt idx="112">
                  <c:v>106.23</c:v>
                </c:pt>
                <c:pt idx="113">
                  <c:v>106.5</c:v>
                </c:pt>
                <c:pt idx="114">
                  <c:v>107.63</c:v>
                </c:pt>
                <c:pt idx="115">
                  <c:v>105.36</c:v>
                </c:pt>
                <c:pt idx="116">
                  <c:v>102.47</c:v>
                </c:pt>
                <c:pt idx="117">
                  <c:v>104.79</c:v>
                </c:pt>
                <c:pt idx="118">
                  <c:v>106</c:v>
                </c:pt>
                <c:pt idx="119">
                  <c:v>109.19</c:v>
                </c:pt>
                <c:pt idx="120">
                  <c:v>107.1</c:v>
                </c:pt>
                <c:pt idx="121">
                  <c:v>103</c:v>
                </c:pt>
                <c:pt idx="122">
                  <c:v>102.5</c:v>
                </c:pt>
                <c:pt idx="123">
                  <c:v>102.72</c:v>
                </c:pt>
                <c:pt idx="124">
                  <c:v>101.14</c:v>
                </c:pt>
                <c:pt idx="125">
                  <c:v>99.9</c:v>
                </c:pt>
                <c:pt idx="126">
                  <c:v>95.53</c:v>
                </c:pt>
                <c:pt idx="127">
                  <c:v>97.23</c:v>
                </c:pt>
                <c:pt idx="128">
                  <c:v>96.2</c:v>
                </c:pt>
                <c:pt idx="129">
                  <c:v>94.88</c:v>
                </c:pt>
                <c:pt idx="130">
                  <c:v>93.2</c:v>
                </c:pt>
                <c:pt idx="131">
                  <c:v>94.7</c:v>
                </c:pt>
                <c:pt idx="132">
                  <c:v>94.87</c:v>
                </c:pt>
                <c:pt idx="133">
                  <c:v>95.2</c:v>
                </c:pt>
                <c:pt idx="134">
                  <c:v>95.75</c:v>
                </c:pt>
                <c:pt idx="135">
                  <c:v>97.5</c:v>
                </c:pt>
                <c:pt idx="136">
                  <c:v>96.41</c:v>
                </c:pt>
                <c:pt idx="137">
                  <c:v>99.12</c:v>
                </c:pt>
                <c:pt idx="138">
                  <c:v>97.12</c:v>
                </c:pt>
                <c:pt idx="139">
                  <c:v>97.17</c:v>
                </c:pt>
                <c:pt idx="140">
                  <c:v>91.44</c:v>
                </c:pt>
                <c:pt idx="141">
                  <c:v>95.24</c:v>
                </c:pt>
                <c:pt idx="142">
                  <c:v>95</c:v>
                </c:pt>
                <c:pt idx="143">
                  <c:v>92.44</c:v>
                </c:pt>
                <c:pt idx="144">
                  <c:v>89.9</c:v>
                </c:pt>
                <c:pt idx="145">
                  <c:v>92.07</c:v>
                </c:pt>
                <c:pt idx="146">
                  <c:v>91.83</c:v>
                </c:pt>
                <c:pt idx="147">
                  <c:v>91.7</c:v>
                </c:pt>
                <c:pt idx="148">
                  <c:v>90.32</c:v>
                </c:pt>
                <c:pt idx="149">
                  <c:v>92.76</c:v>
                </c:pt>
                <c:pt idx="150">
                  <c:v>91.53</c:v>
                </c:pt>
                <c:pt idx="151">
                  <c:v>89.84</c:v>
                </c:pt>
                <c:pt idx="152">
                  <c:v>88.1</c:v>
                </c:pt>
                <c:pt idx="153">
                  <c:v>88.31</c:v>
                </c:pt>
                <c:pt idx="154">
                  <c:v>92.39</c:v>
                </c:pt>
                <c:pt idx="155">
                  <c:v>92.15</c:v>
                </c:pt>
                <c:pt idx="156">
                  <c:v>89.84</c:v>
                </c:pt>
                <c:pt idx="157">
                  <c:v>90.93</c:v>
                </c:pt>
                <c:pt idx="158">
                  <c:v>90.73</c:v>
                </c:pt>
                <c:pt idx="159">
                  <c:v>87.8</c:v>
                </c:pt>
                <c:pt idx="160">
                  <c:v>87.64</c:v>
                </c:pt>
                <c:pt idx="161">
                  <c:v>89.49</c:v>
                </c:pt>
                <c:pt idx="162">
                  <c:v>90.92</c:v>
                </c:pt>
                <c:pt idx="163">
                  <c:v>95</c:v>
                </c:pt>
                <c:pt idx="164">
                  <c:v>94.88</c:v>
                </c:pt>
                <c:pt idx="165">
                  <c:v>97.59</c:v>
                </c:pt>
                <c:pt idx="166">
                  <c:v>96.3</c:v>
                </c:pt>
                <c:pt idx="167">
                  <c:v>96.4</c:v>
                </c:pt>
                <c:pt idx="168">
                  <c:v>95.9</c:v>
                </c:pt>
                <c:pt idx="169">
                  <c:v>98.03</c:v>
                </c:pt>
                <c:pt idx="170">
                  <c:v>97.41</c:v>
                </c:pt>
                <c:pt idx="171">
                  <c:v>96.59</c:v>
                </c:pt>
                <c:pt idx="172">
                  <c:v>99.26</c:v>
                </c:pt>
                <c:pt idx="173">
                  <c:v>96.18</c:v>
                </c:pt>
                <c:pt idx="174">
                  <c:v>96.7</c:v>
                </c:pt>
                <c:pt idx="175">
                  <c:v>97.2</c:v>
                </c:pt>
                <c:pt idx="176">
                  <c:v>96.6</c:v>
                </c:pt>
                <c:pt idx="177">
                  <c:v>97.28</c:v>
                </c:pt>
                <c:pt idx="178">
                  <c:v>98.05</c:v>
                </c:pt>
                <c:pt idx="179">
                  <c:v>96.23</c:v>
                </c:pt>
                <c:pt idx="180">
                  <c:v>98.47</c:v>
                </c:pt>
                <c:pt idx="181">
                  <c:v>98.31</c:v>
                </c:pt>
                <c:pt idx="182">
                  <c:v>92.6</c:v>
                </c:pt>
                <c:pt idx="183">
                  <c:v>91.4</c:v>
                </c:pt>
                <c:pt idx="184">
                  <c:v>92.24</c:v>
                </c:pt>
                <c:pt idx="185">
                  <c:v>90.89</c:v>
                </c:pt>
                <c:pt idx="186">
                  <c:v>93.39</c:v>
                </c:pt>
                <c:pt idx="187">
                  <c:v>93.7</c:v>
                </c:pt>
                <c:pt idx="188">
                  <c:v>93.35</c:v>
                </c:pt>
                <c:pt idx="189">
                  <c:v>94.31</c:v>
                </c:pt>
                <c:pt idx="190">
                  <c:v>99.27</c:v>
                </c:pt>
                <c:pt idx="191">
                  <c:v>98.9</c:v>
                </c:pt>
                <c:pt idx="192">
                  <c:v>97.67</c:v>
                </c:pt>
                <c:pt idx="193">
                  <c:v>97</c:v>
                </c:pt>
                <c:pt idx="194">
                  <c:v>99.12</c:v>
                </c:pt>
                <c:pt idx="195">
                  <c:v>94.5</c:v>
                </c:pt>
                <c:pt idx="196">
                  <c:v>93.65</c:v>
                </c:pt>
                <c:pt idx="197">
                  <c:v>91.72</c:v>
                </c:pt>
                <c:pt idx="198">
                  <c:v>94.04</c:v>
                </c:pt>
                <c:pt idx="199">
                  <c:v>93.66</c:v>
                </c:pt>
                <c:pt idx="200">
                  <c:v>94.71</c:v>
                </c:pt>
                <c:pt idx="201">
                  <c:v>93</c:v>
                </c:pt>
                <c:pt idx="202">
                  <c:v>89.5</c:v>
                </c:pt>
                <c:pt idx="203">
                  <c:v>91.89</c:v>
                </c:pt>
                <c:pt idx="204">
                  <c:v>94.04</c:v>
                </c:pt>
                <c:pt idx="205">
                  <c:v>91.78</c:v>
                </c:pt>
                <c:pt idx="206">
                  <c:v>90.86</c:v>
                </c:pt>
                <c:pt idx="207">
                  <c:v>87.53</c:v>
                </c:pt>
                <c:pt idx="208">
                  <c:v>90.55</c:v>
                </c:pt>
                <c:pt idx="209">
                  <c:v>88</c:v>
                </c:pt>
                <c:pt idx="210">
                  <c:v>85.2</c:v>
                </c:pt>
                <c:pt idx="211">
                  <c:v>83.77</c:v>
                </c:pt>
                <c:pt idx="212">
                  <c:v>85.29</c:v>
                </c:pt>
                <c:pt idx="213">
                  <c:v>83.88</c:v>
                </c:pt>
                <c:pt idx="214">
                  <c:v>82.73</c:v>
                </c:pt>
                <c:pt idx="215">
                  <c:v>83.18</c:v>
                </c:pt>
                <c:pt idx="216">
                  <c:v>82.2</c:v>
                </c:pt>
                <c:pt idx="217">
                  <c:v>84.11</c:v>
                </c:pt>
                <c:pt idx="218">
                  <c:v>83.57</c:v>
                </c:pt>
                <c:pt idx="219">
                  <c:v>85.3</c:v>
                </c:pt>
                <c:pt idx="220">
                  <c:v>87.7</c:v>
                </c:pt>
                <c:pt idx="221">
                  <c:v>85</c:v>
                </c:pt>
                <c:pt idx="222">
                  <c:v>82.96</c:v>
                </c:pt>
                <c:pt idx="223">
                  <c:v>82.91</c:v>
                </c:pt>
                <c:pt idx="224">
                  <c:v>79.87</c:v>
                </c:pt>
                <c:pt idx="225">
                  <c:v>77.59</c:v>
                </c:pt>
                <c:pt idx="226">
                  <c:v>75.28</c:v>
                </c:pt>
                <c:pt idx="227">
                  <c:v>75.430000000000007</c:v>
                </c:pt>
                <c:pt idx="228">
                  <c:v>76.069999999999993</c:v>
                </c:pt>
                <c:pt idx="229">
                  <c:v>74.959999999999994</c:v>
                </c:pt>
                <c:pt idx="230">
                  <c:v>75.38</c:v>
                </c:pt>
                <c:pt idx="231">
                  <c:v>74.63</c:v>
                </c:pt>
                <c:pt idx="232">
                  <c:v>73.63</c:v>
                </c:pt>
                <c:pt idx="233">
                  <c:v>73.459999999999994</c:v>
                </c:pt>
                <c:pt idx="234">
                  <c:v>72.58</c:v>
                </c:pt>
                <c:pt idx="235">
                  <c:v>73.2</c:v>
                </c:pt>
                <c:pt idx="236">
                  <c:v>76.88</c:v>
                </c:pt>
                <c:pt idx="237">
                  <c:v>78.75</c:v>
                </c:pt>
                <c:pt idx="238">
                  <c:v>79.78</c:v>
                </c:pt>
                <c:pt idx="239">
                  <c:v>79.900000000000006</c:v>
                </c:pt>
                <c:pt idx="240">
                  <c:v>78.3</c:v>
                </c:pt>
                <c:pt idx="241">
                  <c:v>77.69</c:v>
                </c:pt>
                <c:pt idx="242">
                  <c:v>77.849999999999994</c:v>
                </c:pt>
                <c:pt idx="243">
                  <c:v>77.209999999999994</c:v>
                </c:pt>
                <c:pt idx="244">
                  <c:v>77.22</c:v>
                </c:pt>
                <c:pt idx="245">
                  <c:v>77.56</c:v>
                </c:pt>
                <c:pt idx="246">
                  <c:v>76.930000000000007</c:v>
                </c:pt>
                <c:pt idx="247">
                  <c:v>74.040000000000006</c:v>
                </c:pt>
                <c:pt idx="248">
                  <c:v>73.290000000000006</c:v>
                </c:pt>
                <c:pt idx="249">
                  <c:v>73.3</c:v>
                </c:pt>
                <c:pt idx="250">
                  <c:v>71.02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20-4DAA-B1AC-705E02D3FF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7812224"/>
        <c:axId val="1807810784"/>
      </c:lineChart>
      <c:dateAx>
        <c:axId val="1783475664"/>
        <c:scaling>
          <c:orientation val="minMax"/>
        </c:scaling>
        <c:delete val="0"/>
        <c:axPos val="b"/>
        <c:numFmt formatCode="mm/dd/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3453584"/>
        <c:crosses val="autoZero"/>
        <c:auto val="1"/>
        <c:lblOffset val="100"/>
        <c:baseTimeUnit val="days"/>
      </c:dateAx>
      <c:valAx>
        <c:axId val="1783453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chemeClr val="tx1">
                <a:alpha val="83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3475664"/>
        <c:crosses val="autoZero"/>
        <c:crossBetween val="between"/>
      </c:valAx>
      <c:valAx>
        <c:axId val="1807810784"/>
        <c:scaling>
          <c:orientation val="minMax"/>
        </c:scaling>
        <c:delete val="0"/>
        <c:axPos val="r"/>
        <c:numFmt formatCode="_(&quot;$&quot;* #,##0.00_);_(&quot;$&quot;* \(#,##0.00\);_(&quot;$&quot;* &quot;-&quot;??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7812224"/>
        <c:crosses val="max"/>
        <c:crossBetween val="between"/>
      </c:valAx>
      <c:dateAx>
        <c:axId val="1807812224"/>
        <c:scaling>
          <c:orientation val="minMax"/>
        </c:scaling>
        <c:delete val="1"/>
        <c:axPos val="b"/>
        <c:numFmt formatCode="mm/dd/yy;@" sourceLinked="1"/>
        <c:majorTickMark val="out"/>
        <c:minorTickMark val="none"/>
        <c:tickLblPos val="nextTo"/>
        <c:crossAx val="180781078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ValGraph!$W$1</c:f>
          <c:strCache>
            <c:ptCount val="1"/>
            <c:pt idx="0">
              <c:v>Lam Research Corporation Valuation - Upside Case - Range of Implied Share Prices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1"/>
          <c:spPr>
            <a:noFill/>
            <a:ln>
              <a:noFill/>
            </a:ln>
            <a:effectLst/>
          </c:spPr>
          <c:invertIfNegative val="0"/>
          <c:cat>
            <c:strRef>
              <c:f>ValGraph!$A$34:$A$50</c:f>
              <c:strCache>
                <c:ptCount val="17"/>
                <c:pt idx="0">
                  <c:v>(9.9% - 11.9% WACC, 5.5% - 8.5% Free Cash Flow Growth Rate</c:v>
                </c:pt>
                <c:pt idx="2">
                  <c:v>#REF!</c:v>
                </c:pt>
                <c:pt idx="3">
                  <c:v>1-Week Premiums:</c:v>
                </c:pt>
                <c:pt idx="4">
                  <c:v>1-Day Premiums:</c:v>
                </c:pt>
                <c:pt idx="5">
                  <c:v>#REF!</c:v>
                </c:pt>
                <c:pt idx="6">
                  <c:v>#REF!</c:v>
                </c:pt>
                <c:pt idx="8">
                  <c:v>CY 26 P / E:</c:v>
                </c:pt>
                <c:pt idx="9">
                  <c:v>CY 25 P / E:</c:v>
                </c:pt>
                <c:pt idx="10">
                  <c:v>LTM P / E:</c:v>
                </c:pt>
                <c:pt idx="11">
                  <c:v>CY 26 TEV / EBITDA:</c:v>
                </c:pt>
                <c:pt idx="12">
                  <c:v>CY 25 TEV / EBITDA:</c:v>
                </c:pt>
                <c:pt idx="13">
                  <c:v>LTM TEV / EBITDA:</c:v>
                </c:pt>
                <c:pt idx="14">
                  <c:v>CY 26 TEV / Revenue:</c:v>
                </c:pt>
                <c:pt idx="15">
                  <c:v>CY 25 TEV / Revenue:</c:v>
                </c:pt>
                <c:pt idx="16">
                  <c:v>LTM TEV / Revenue:</c:v>
                </c:pt>
              </c:strCache>
            </c:strRef>
          </c:cat>
          <c:val>
            <c:numRef>
              <c:f>ValGraph!$M$34:$M$50</c:f>
              <c:numCache>
                <c:formatCode>General</c:formatCode>
                <c:ptCount val="17"/>
                <c:pt idx="0" formatCode="_([$$-409]* #,##0.00_);_([$$-409]* \(#,##0.00\);_([$$-409]* &quot;-&quot;??_);_(@_)">
                  <c:v>75.448050133657972</c:v>
                </c:pt>
                <c:pt idx="2" formatCode="_(* #,##0.00_);_(* \(#,##0.00\);_(* &quot;-&quot;??_);_(@_)">
                  <c:v>0</c:v>
                </c:pt>
                <c:pt idx="3" formatCode="_(* #,##0.00_);_(* \(#,##0.00\);_(* &quot;-&quot;??_);_(@_)">
                  <c:v>0</c:v>
                </c:pt>
                <c:pt idx="4" formatCode="_(* #,##0.00_);_(* \(#,##0.00\);_(* &quot;-&quot;??_);_(@_)">
                  <c:v>0</c:v>
                </c:pt>
                <c:pt idx="5" formatCode="_(* #,##0.00_);_(* \(#,##0.00\);_(* &quot;-&quot;??_);_(@_)">
                  <c:v>0</c:v>
                </c:pt>
                <c:pt idx="6" formatCode="_(* #,##0.00_);_(* \(#,##0.00\);_(* &quot;-&quot;??_);_(@_)">
                  <c:v>0</c:v>
                </c:pt>
                <c:pt idx="8" formatCode="_(* #,##0.00_);_(* \(#,##0.00\);_(* &quot;-&quot;??_);_(@_)">
                  <c:v>79.36390253646708</c:v>
                </c:pt>
                <c:pt idx="9" formatCode="_(* #,##0.00_);_(* \(#,##0.00\);_(* &quot;-&quot;??_);_(@_)">
                  <c:v>71.935339351206693</c:v>
                </c:pt>
                <c:pt idx="10" formatCode="_(* #,##0.00_);_(* \(#,##0.00\);_(* &quot;-&quot;??_);_(@_)">
                  <c:v>82.036406364581822</c:v>
                </c:pt>
                <c:pt idx="11" formatCode="_(* #,##0.00_);_(* \(#,##0.00\);_(* &quot;-&quot;??_);_(@_)">
                  <c:v>60.980021177613175</c:v>
                </c:pt>
                <c:pt idx="12" formatCode="_(* #,##0.00_);_(* \(#,##0.00\);_(* &quot;-&quot;??_);_(@_)">
                  <c:v>62.016841600768032</c:v>
                </c:pt>
                <c:pt idx="13" formatCode="_(* #,##0.00_);_(* \(#,##0.00\);_(* &quot;-&quot;??_);_(@_)">
                  <c:v>63.696599782942073</c:v>
                </c:pt>
                <c:pt idx="14" formatCode="_(* #,##0.00_);_(* \(#,##0.00\);_(* &quot;-&quot;??_);_(@_)">
                  <c:v>57.4321512921302</c:v>
                </c:pt>
                <c:pt idx="15" formatCode="_(* #,##0.00_);_(* \(#,##0.00\);_(* &quot;-&quot;??_);_(@_)">
                  <c:v>58.407410502660227</c:v>
                </c:pt>
                <c:pt idx="16" formatCode="_(* #,##0.00_);_(* \(#,##0.00\);_(* &quot;-&quot;??_);_(@_)">
                  <c:v>60.164807370775478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B3-4900-8EA2-D882D0E6B38B}"/>
            </c:ext>
          </c:extLst>
        </c:ser>
        <c:ser>
          <c:idx val="1"/>
          <c:order val="2"/>
          <c:tx>
            <c:v>25th to Median</c:v>
          </c:tx>
          <c:spPr>
            <a:solidFill>
              <a:schemeClr val="accent4">
                <a:shade val="76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ValGraph!$A$34:$A$50</c:f>
              <c:strCache>
                <c:ptCount val="17"/>
                <c:pt idx="0">
                  <c:v>(9.9% - 11.9% WACC, 5.5% - 8.5% Free Cash Flow Growth Rate</c:v>
                </c:pt>
                <c:pt idx="2">
                  <c:v>#REF!</c:v>
                </c:pt>
                <c:pt idx="3">
                  <c:v>1-Week Premiums:</c:v>
                </c:pt>
                <c:pt idx="4">
                  <c:v>1-Day Premiums:</c:v>
                </c:pt>
                <c:pt idx="5">
                  <c:v>#REF!</c:v>
                </c:pt>
                <c:pt idx="6">
                  <c:v>#REF!</c:v>
                </c:pt>
                <c:pt idx="8">
                  <c:v>CY 26 P / E:</c:v>
                </c:pt>
                <c:pt idx="9">
                  <c:v>CY 25 P / E:</c:v>
                </c:pt>
                <c:pt idx="10">
                  <c:v>LTM P / E:</c:v>
                </c:pt>
                <c:pt idx="11">
                  <c:v>CY 26 TEV / EBITDA:</c:v>
                </c:pt>
                <c:pt idx="12">
                  <c:v>CY 25 TEV / EBITDA:</c:v>
                </c:pt>
                <c:pt idx="13">
                  <c:v>LTM TEV / EBITDA:</c:v>
                </c:pt>
                <c:pt idx="14">
                  <c:v>CY 26 TEV / Revenue:</c:v>
                </c:pt>
                <c:pt idx="15">
                  <c:v>CY 25 TEV / Revenue:</c:v>
                </c:pt>
                <c:pt idx="16">
                  <c:v>LTM TEV / Revenue:</c:v>
                </c:pt>
              </c:strCache>
            </c:strRef>
          </c:cat>
          <c:val>
            <c:numRef>
              <c:f>ValGraph!$N$34:$N$50</c:f>
              <c:numCache>
                <c:formatCode>General</c:formatCode>
                <c:ptCount val="17"/>
                <c:pt idx="0" formatCode="_([$$-409]* #,##0.00_);_([$$-409]* \(#,##0.00\);_([$$-409]* &quot;-&quot;??_);_(@_)">
                  <c:v>10.732921144482873</c:v>
                </c:pt>
                <c:pt idx="2" formatCode="_(* #,##0.00_);_(* \(#,##0.00\);_(* &quot;-&quot;??_);_(@_)">
                  <c:v>0</c:v>
                </c:pt>
                <c:pt idx="3" formatCode="_(* #,##0.00_);_(* \(#,##0.00\);_(* &quot;-&quot;??_);_(@_)">
                  <c:v>0</c:v>
                </c:pt>
                <c:pt idx="4" formatCode="_(* #,##0.00_);_(* \(#,##0.00\);_(* &quot;-&quot;??_);_(@_)">
                  <c:v>0</c:v>
                </c:pt>
                <c:pt idx="5" formatCode="_(* #,##0.00_);_(* \(#,##0.00\);_(* &quot;-&quot;??_);_(@_)">
                  <c:v>0</c:v>
                </c:pt>
                <c:pt idx="6" formatCode="_(* #,##0.00_);_(* \(#,##0.00\);_(* &quot;-&quot;??_);_(@_)">
                  <c:v>0</c:v>
                </c:pt>
                <c:pt idx="8" formatCode="_(* #,##0.00_);_(* \(#,##0.00\);_(* &quot;-&quot;??_);_(@_)">
                  <c:v>86.863948580603406</c:v>
                </c:pt>
                <c:pt idx="9" formatCode="_(* #,##0.00_);_(* \(#,##0.00\);_(* &quot;-&quot;??_);_(@_)">
                  <c:v>78.605756285968567</c:v>
                </c:pt>
                <c:pt idx="10" formatCode="_(* #,##0.00_);_(* \(#,##0.00\);_(* &quot;-&quot;??_);_(@_)">
                  <c:v>89.677532224894875</c:v>
                </c:pt>
                <c:pt idx="11" formatCode="_(* #,##0.00_);_(* \(#,##0.00\);_(* &quot;-&quot;??_);_(@_)">
                  <c:v>179.26111037953865</c:v>
                </c:pt>
                <c:pt idx="12" formatCode="_(* #,##0.00_);_(* \(#,##0.00\);_(* &quot;-&quot;??_);_(@_)">
                  <c:v>182.37157713498272</c:v>
                </c:pt>
                <c:pt idx="13" formatCode="_(* #,##0.00_);_(* \(#,##0.00\);_(* &quot;-&quot;??_);_(@_)">
                  <c:v>122.91832225948203</c:v>
                </c:pt>
                <c:pt idx="14" formatCode="_(* #,##0.00_);_(* \(#,##0.00\);_(* &quot;-&quot;??_);_(@_)">
                  <c:v>193.26587375974555</c:v>
                </c:pt>
                <c:pt idx="15" formatCode="_(* #,##0.00_);_(* \(#,##0.00\);_(* &quot;-&quot;??_);_(@_)">
                  <c:v>196.61934554187809</c:v>
                </c:pt>
                <c:pt idx="16" formatCode="_(* #,##0.00_);_(* \(#,##0.00\);_(* &quot;-&quot;??_);_(@_)">
                  <c:v>141.21696079117044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B3-4900-8EA2-D882D0E6B38B}"/>
            </c:ext>
          </c:extLst>
        </c:ser>
        <c:ser>
          <c:idx val="2"/>
          <c:order val="3"/>
          <c:tx>
            <c:v>Median</c:v>
          </c:tx>
          <c:spPr>
            <a:solidFill>
              <a:schemeClr val="accent4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ValGraph!$A$34:$A$50</c:f>
              <c:strCache>
                <c:ptCount val="17"/>
                <c:pt idx="0">
                  <c:v>(9.9% - 11.9% WACC, 5.5% - 8.5% Free Cash Flow Growth Rate</c:v>
                </c:pt>
                <c:pt idx="2">
                  <c:v>#REF!</c:v>
                </c:pt>
                <c:pt idx="3">
                  <c:v>1-Week Premiums:</c:v>
                </c:pt>
                <c:pt idx="4">
                  <c:v>1-Day Premiums:</c:v>
                </c:pt>
                <c:pt idx="5">
                  <c:v>#REF!</c:v>
                </c:pt>
                <c:pt idx="6">
                  <c:v>#REF!</c:v>
                </c:pt>
                <c:pt idx="8">
                  <c:v>CY 26 P / E:</c:v>
                </c:pt>
                <c:pt idx="9">
                  <c:v>CY 25 P / E:</c:v>
                </c:pt>
                <c:pt idx="10">
                  <c:v>LTM P / E:</c:v>
                </c:pt>
                <c:pt idx="11">
                  <c:v>CY 26 TEV / EBITDA:</c:v>
                </c:pt>
                <c:pt idx="12">
                  <c:v>CY 25 TEV / EBITDA:</c:v>
                </c:pt>
                <c:pt idx="13">
                  <c:v>LTM TEV / EBITDA:</c:v>
                </c:pt>
                <c:pt idx="14">
                  <c:v>CY 26 TEV / Revenue:</c:v>
                </c:pt>
                <c:pt idx="15">
                  <c:v>CY 25 TEV / Revenue:</c:v>
                </c:pt>
                <c:pt idx="16">
                  <c:v>LTM TEV / Revenue:</c:v>
                </c:pt>
              </c:strCache>
            </c:strRef>
          </c:cat>
          <c:val>
            <c:numRef>
              <c:f>ValGraph!$O$34:$O$50</c:f>
              <c:numCache>
                <c:formatCode>General</c:formatCode>
                <c:ptCount val="17"/>
                <c:pt idx="0" formatCode="_([$$-409]* #,##0.00_);_([$$-409]* \(#,##0.00\);_([$$-409]* &quot;-&quot;??_);_(@_)">
                  <c:v>23.816607548065903</c:v>
                </c:pt>
                <c:pt idx="2" formatCode="_(* #,##0.00_);_(* \(#,##0.00\);_(* &quot;-&quot;??_);_(@_)">
                  <c:v>0</c:v>
                </c:pt>
                <c:pt idx="3" formatCode="_(* #,##0.00_);_(* \(#,##0.00\);_(* &quot;-&quot;??_);_(@_)">
                  <c:v>0</c:v>
                </c:pt>
                <c:pt idx="4" formatCode="_(* #,##0.00_);_(* \(#,##0.00\);_(* &quot;-&quot;??_);_(@_)">
                  <c:v>0</c:v>
                </c:pt>
                <c:pt idx="5" formatCode="_(* #,##0.00_);_(* \(#,##0.00\);_(* &quot;-&quot;??_);_(@_)">
                  <c:v>0</c:v>
                </c:pt>
                <c:pt idx="6" formatCode="_(* #,##0.00_);_(* \(#,##0.00\);_(* &quot;-&quot;??_);_(@_)">
                  <c:v>0</c:v>
                </c:pt>
                <c:pt idx="8" formatCode="_(* #,##0.00_);_(* \(#,##0.00\);_(* &quot;-&quot;??_);_(@_)">
                  <c:v>-97.799764943657237</c:v>
                </c:pt>
                <c:pt idx="9" formatCode="_(* #,##0.00_);_(* \(#,##0.00\);_(* &quot;-&quot;??_);_(@_)">
                  <c:v>-70.400043541856832</c:v>
                </c:pt>
                <c:pt idx="10" formatCode="_(* #,##0.00_);_(* \(#,##0.00\);_(* &quot;-&quot;??_);_(@_)">
                  <c:v>-78.504702003539876</c:v>
                </c:pt>
                <c:pt idx="11" formatCode="_(* #,##0.00_);_(* \(#,##0.00\);_(* &quot;-&quot;??_);_(@_)">
                  <c:v>-154.96855926295223</c:v>
                </c:pt>
                <c:pt idx="12" formatCode="_(* #,##0.00_);_(* \(#,##0.00\);_(* &quot;-&quot;??_);_(@_)">
                  <c:v>-164.79567752822061</c:v>
                </c:pt>
                <c:pt idx="13" formatCode="_(* #,##0.00_);_(* \(#,##0.00\);_(* &quot;-&quot;??_);_(@_)">
                  <c:v>-104.24661064757227</c:v>
                </c:pt>
                <c:pt idx="14" formatCode="_(* #,##0.00_);_(* \(#,##0.00\);_(* &quot;-&quot;??_);_(@_)">
                  <c:v>-139.42367535267618</c:v>
                </c:pt>
                <c:pt idx="15" formatCode="_(* #,##0.00_);_(* \(#,##0.00\);_(* &quot;-&quot;??_);_(@_)">
                  <c:v>-151.18943517444654</c:v>
                </c:pt>
                <c:pt idx="16" formatCode="_(* #,##0.00_);_(* \(#,##0.00\);_(* &quot;-&quot;??_);_(@_)">
                  <c:v>-93.353310431922296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B3-4900-8EA2-D882D0E6B38B}"/>
            </c:ext>
          </c:extLst>
        </c:ser>
        <c:ser>
          <c:idx val="3"/>
          <c:order val="4"/>
          <c:tx>
            <c:v>Median to 75th</c:v>
          </c:tx>
          <c:spPr>
            <a:solidFill>
              <a:schemeClr val="accent4">
                <a:tint val="77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ValGraph!$A$34:$A$50</c:f>
              <c:strCache>
                <c:ptCount val="17"/>
                <c:pt idx="0">
                  <c:v>(9.9% - 11.9% WACC, 5.5% - 8.5% Free Cash Flow Growth Rate</c:v>
                </c:pt>
                <c:pt idx="2">
                  <c:v>#REF!</c:v>
                </c:pt>
                <c:pt idx="3">
                  <c:v>1-Week Premiums:</c:v>
                </c:pt>
                <c:pt idx="4">
                  <c:v>1-Day Premiums:</c:v>
                </c:pt>
                <c:pt idx="5">
                  <c:v>#REF!</c:v>
                </c:pt>
                <c:pt idx="6">
                  <c:v>#REF!</c:v>
                </c:pt>
                <c:pt idx="8">
                  <c:v>CY 26 P / E:</c:v>
                </c:pt>
                <c:pt idx="9">
                  <c:v>CY 25 P / E:</c:v>
                </c:pt>
                <c:pt idx="10">
                  <c:v>LTM P / E:</c:v>
                </c:pt>
                <c:pt idx="11">
                  <c:v>CY 26 TEV / EBITDA:</c:v>
                </c:pt>
                <c:pt idx="12">
                  <c:v>CY 25 TEV / EBITDA:</c:v>
                </c:pt>
                <c:pt idx="13">
                  <c:v>LTM TEV / EBITDA:</c:v>
                </c:pt>
                <c:pt idx="14">
                  <c:v>CY 26 TEV / Revenue:</c:v>
                </c:pt>
                <c:pt idx="15">
                  <c:v>CY 25 TEV / Revenue:</c:v>
                </c:pt>
                <c:pt idx="16">
                  <c:v>LTM TEV / Revenue:</c:v>
                </c:pt>
              </c:strCache>
            </c:strRef>
          </c:cat>
          <c:val>
            <c:numRef>
              <c:f>ValGraph!$P$34:$P$50</c:f>
              <c:numCache>
                <c:formatCode>General</c:formatCode>
                <c:ptCount val="17"/>
                <c:pt idx="0" formatCode="_([$$-409]* #,##0.00_);_([$$-409]* \(#,##0.00\);_([$$-409]* &quot;-&quot;??_);_(@_)">
                  <c:v>43.087953892284119</c:v>
                </c:pt>
                <c:pt idx="2" formatCode="_(* #,##0.00_);_(* \(#,##0.00\);_(* &quot;-&quot;??_);_(@_)">
                  <c:v>0</c:v>
                </c:pt>
                <c:pt idx="3" formatCode="_(* #,##0.00_);_(* \(#,##0.00\);_(* &quot;-&quot;??_);_(@_)">
                  <c:v>0</c:v>
                </c:pt>
                <c:pt idx="4" formatCode="_(* #,##0.00_);_(* \(#,##0.00\);_(* &quot;-&quot;??_);_(@_)">
                  <c:v>0</c:v>
                </c:pt>
                <c:pt idx="5" formatCode="_(* #,##0.00_);_(* \(#,##0.00\);_(* &quot;-&quot;??_);_(@_)">
                  <c:v>0</c:v>
                </c:pt>
                <c:pt idx="6" formatCode="_(* #,##0.00_);_(* \(#,##0.00\);_(* &quot;-&quot;??_);_(@_)">
                  <c:v>0</c:v>
                </c:pt>
                <c:pt idx="8" formatCode="_(* #,##0.00_);_(* \(#,##0.00\);_(* &quot;-&quot;??_);_(@_)">
                  <c:v>24.018899861171533</c:v>
                </c:pt>
                <c:pt idx="9" formatCode="_(* #,##0.00_);_(* \(#,##0.00\);_(* &quot;-&quot;??_);_(@_)">
                  <c:v>12.02089626945039</c:v>
                </c:pt>
                <c:pt idx="10" formatCode="_(* #,##0.00_);_(* \(#,##0.00\);_(* &quot;-&quot;??_);_(@_)">
                  <c:v>28.271440227104037</c:v>
                </c:pt>
                <c:pt idx="11" formatCode="_(* #,##0.00_);_(* \(#,##0.00\);_(* &quot;-&quot;??_);_(@_)">
                  <c:v>4.4083798356076329</c:v>
                </c:pt>
                <c:pt idx="12" formatCode="_(* #,##0.00_);_(* \(#,##0.00\);_(* &quot;-&quot;??_);_(@_)">
                  <c:v>13.113463343746233</c:v>
                </c:pt>
                <c:pt idx="13" formatCode="_(* #,##0.00_);_(* \(#,##0.00\);_(* &quot;-&quot;??_);_(@_)">
                  <c:v>32.308528211982946</c:v>
                </c:pt>
                <c:pt idx="14" formatCode="_(* #,##0.00_);_(* \(#,##0.00\);_(* &quot;-&quot;??_);_(@_)">
                  <c:v>-16.064989505424421</c:v>
                </c:pt>
                <c:pt idx="15" formatCode="_(* #,##0.00_);_(* \(#,##0.00\);_(* &quot;-&quot;??_);_(@_)">
                  <c:v>-5.4136299785056394</c:v>
                </c:pt>
                <c:pt idx="16" formatCode="_(* #,##0.00_);_(* \(#,##0.00\);_(* &quot;-&quot;??_);_(@_)">
                  <c:v>13.426602905535077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B3-4900-8EA2-D882D0E6B3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5878528"/>
        <c:axId val="1015859808"/>
      </c:barChart>
      <c:scatterChart>
        <c:scatterStyle val="smoothMarker"/>
        <c:varyColors val="0"/>
        <c:ser>
          <c:idx val="4"/>
          <c:order val="0"/>
          <c:tx>
            <c:strRef>
              <c:f>ValGraph!$A$52</c:f>
              <c:strCache>
                <c:ptCount val="1"/>
                <c:pt idx="0">
                  <c:v>Current Share Price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ValGraph!$H$52:$L$52</c:f>
              <c:numCache>
                <c:formatCode>_([$$-409]* #,##0.00_);_([$$-409]* \(#,##0.00\);_([$$-409]* "-"??_);_(@_)</c:formatCode>
                <c:ptCount val="5"/>
                <c:pt idx="0">
                  <c:v>78.25</c:v>
                </c:pt>
                <c:pt idx="1">
                  <c:v>78.25</c:v>
                </c:pt>
                <c:pt idx="2">
                  <c:v>78.25</c:v>
                </c:pt>
                <c:pt idx="3">
                  <c:v>78.25</c:v>
                </c:pt>
                <c:pt idx="4">
                  <c:v>78.25</c:v>
                </c:pt>
              </c:numCache>
            </c:numRef>
          </c:xVal>
          <c:yVal>
            <c:numRef>
              <c:f>ValGraph!$M$52:$Q$52</c:f>
              <c:numCache>
                <c:formatCode>_(* #,##0.00_);_(* \(#,##0.00\);_(* "-"??_);_(@_)</c:formatCode>
                <c:ptCount val="5"/>
                <c:pt idx="0">
                  <c:v>1000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B3-4900-8EA2-D882D0E6B3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5407952"/>
        <c:axId val="1255398832"/>
      </c:scatterChart>
      <c:catAx>
        <c:axId val="10158785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5859808"/>
        <c:crosses val="autoZero"/>
        <c:auto val="1"/>
        <c:lblAlgn val="ctr"/>
        <c:lblOffset val="100"/>
        <c:noMultiLvlLbl val="0"/>
      </c:catAx>
      <c:valAx>
        <c:axId val="1015859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5878528"/>
        <c:crosses val="autoZero"/>
        <c:crossBetween val="between"/>
      </c:valAx>
      <c:valAx>
        <c:axId val="1255398832"/>
        <c:scaling>
          <c:orientation val="minMax"/>
          <c:max val="1000"/>
          <c:min val="0"/>
        </c:scaling>
        <c:delete val="1"/>
        <c:axPos val="r"/>
        <c:numFmt formatCode="_(* #,##0.00_);_(* \(#,##0.00\);_(* &quot;-&quot;??_);_(@_)" sourceLinked="1"/>
        <c:majorTickMark val="out"/>
        <c:minorTickMark val="none"/>
        <c:tickLblPos val="nextTo"/>
        <c:crossAx val="1255407952"/>
        <c:crosses val="max"/>
        <c:crossBetween val="midCat"/>
      </c:valAx>
      <c:valAx>
        <c:axId val="1255407952"/>
        <c:scaling>
          <c:orientation val="minMax"/>
        </c:scaling>
        <c:delete val="1"/>
        <c:axPos val="b"/>
        <c:numFmt formatCode="_([$$-409]* #,##0.00_);_([$$-409]* \(#,##0.00\);_([$$-409]* &quot;-&quot;??_);_(@_)" sourceLinked="1"/>
        <c:majorTickMark val="out"/>
        <c:minorTickMark val="none"/>
        <c:tickLblPos val="nextTo"/>
        <c:crossAx val="12553988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Graphs!$Q$52</c:f>
          <c:strCache>
            <c:ptCount val="1"/>
            <c:pt idx="0">
              <c:v>Lam Research Corporation: Revenue and Operating Margins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Summary!$B$17</c:f>
              <c:strCache>
                <c:ptCount val="1"/>
                <c:pt idx="0">
                  <c:v>Revenue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numRef>
              <c:f>Summary!$F$3:$P$3</c:f>
              <c:numCache>
                <c:formatCode>"FY"yy</c:formatCode>
                <c:ptCount val="11"/>
                <c:pt idx="0">
                  <c:v>43646</c:v>
                </c:pt>
                <c:pt idx="1">
                  <c:v>44012</c:v>
                </c:pt>
                <c:pt idx="2">
                  <c:v>44377</c:v>
                </c:pt>
                <c:pt idx="3">
                  <c:v>44742</c:v>
                </c:pt>
                <c:pt idx="4">
                  <c:v>45107</c:v>
                </c:pt>
                <c:pt idx="5">
                  <c:v>45473</c:v>
                </c:pt>
                <c:pt idx="6">
                  <c:v>45838</c:v>
                </c:pt>
                <c:pt idx="7">
                  <c:v>46203</c:v>
                </c:pt>
                <c:pt idx="8">
                  <c:v>46568</c:v>
                </c:pt>
                <c:pt idx="9">
                  <c:v>46934</c:v>
                </c:pt>
                <c:pt idx="10">
                  <c:v>47299</c:v>
                </c:pt>
              </c:numCache>
            </c:numRef>
          </c:cat>
          <c:val>
            <c:numRef>
              <c:f>Summary!$F$17:$P$17</c:f>
              <c:numCache>
                <c:formatCode>_("$"* #,##0_);_("$"* \(#,##0\);_("$"* "-"_);_(@_)</c:formatCode>
                <c:ptCount val="11"/>
                <c:pt idx="0">
                  <c:v>9653.5589999999993</c:v>
                </c:pt>
                <c:pt idx="1">
                  <c:v>10044.736000000001</c:v>
                </c:pt>
                <c:pt idx="2">
                  <c:v>14626.150000000001</c:v>
                </c:pt>
                <c:pt idx="3">
                  <c:v>17227.039000000001</c:v>
                </c:pt>
                <c:pt idx="4">
                  <c:v>17428.516</c:v>
                </c:pt>
                <c:pt idx="5">
                  <c:v>14905.386</c:v>
                </c:pt>
                <c:pt idx="6">
                  <c:v>18002.444559000003</c:v>
                </c:pt>
                <c:pt idx="7">
                  <c:v>20984.735161650002</c:v>
                </c:pt>
                <c:pt idx="8">
                  <c:v>23692.110812564999</c:v>
                </c:pt>
                <c:pt idx="9">
                  <c:v>26300.445899654551</c:v>
                </c:pt>
                <c:pt idx="10">
                  <c:v>28648.549283758774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756-478D-8A1F-0BF3A3799E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54345536"/>
        <c:axId val="1754338816"/>
      </c:barChart>
      <c:lineChart>
        <c:grouping val="standard"/>
        <c:varyColors val="0"/>
        <c:ser>
          <c:idx val="1"/>
          <c:order val="1"/>
          <c:tx>
            <c:strRef>
              <c:f>Summary!$B$21</c:f>
              <c:strCache>
                <c:ptCount val="1"/>
                <c:pt idx="0">
                  <c:v>Profit Margin</c:v>
                </c:pt>
              </c:strCache>
            </c:strRef>
          </c:tx>
          <c:spPr>
            <a:ln w="28575" cap="rnd">
              <a:solidFill>
                <a:schemeClr val="accent4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Summary!$F$3:$P$3</c:f>
              <c:numCache>
                <c:formatCode>"FY"yy</c:formatCode>
                <c:ptCount val="11"/>
                <c:pt idx="0">
                  <c:v>43646</c:v>
                </c:pt>
                <c:pt idx="1">
                  <c:v>44012</c:v>
                </c:pt>
                <c:pt idx="2">
                  <c:v>44377</c:v>
                </c:pt>
                <c:pt idx="3">
                  <c:v>44742</c:v>
                </c:pt>
                <c:pt idx="4">
                  <c:v>45107</c:v>
                </c:pt>
                <c:pt idx="5">
                  <c:v>45473</c:v>
                </c:pt>
                <c:pt idx="6">
                  <c:v>45838</c:v>
                </c:pt>
                <c:pt idx="7">
                  <c:v>46203</c:v>
                </c:pt>
                <c:pt idx="8">
                  <c:v>46568</c:v>
                </c:pt>
                <c:pt idx="9">
                  <c:v>46934</c:v>
                </c:pt>
                <c:pt idx="10">
                  <c:v>47299</c:v>
                </c:pt>
              </c:numCache>
            </c:numRef>
          </c:cat>
          <c:val>
            <c:numRef>
              <c:f>Summary!$F$21:$P$21</c:f>
              <c:numCache>
                <c:formatCode>0.0%</c:formatCode>
                <c:ptCount val="11"/>
                <c:pt idx="0">
                  <c:v>0.45148727013529405</c:v>
                </c:pt>
                <c:pt idx="1">
                  <c:v>0.45881673744337342</c:v>
                </c:pt>
                <c:pt idx="2">
                  <c:v>0.46528348198261338</c:v>
                </c:pt>
                <c:pt idx="3">
                  <c:v>0.45694486440763271</c:v>
                </c:pt>
                <c:pt idx="4">
                  <c:v>0.4462184273176214</c:v>
                </c:pt>
                <c:pt idx="5">
                  <c:v>0.47317063778153751</c:v>
                </c:pt>
                <c:pt idx="6">
                  <c:v>0.45988606494647399</c:v>
                </c:pt>
                <c:pt idx="7">
                  <c:v>0.45988606494647394</c:v>
                </c:pt>
                <c:pt idx="8">
                  <c:v>0.45988606494647399</c:v>
                </c:pt>
                <c:pt idx="9">
                  <c:v>0.45988606494647399</c:v>
                </c:pt>
                <c:pt idx="10">
                  <c:v>0.45988606494647399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756-478D-8A1F-0BF3A3799E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1493040"/>
        <c:axId val="1721477680"/>
      </c:lineChart>
      <c:dateAx>
        <c:axId val="1754345536"/>
        <c:scaling>
          <c:orientation val="minMax"/>
        </c:scaling>
        <c:delete val="0"/>
        <c:axPos val="b"/>
        <c:numFmt formatCode="&quot;FY&quot;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4338816"/>
        <c:crosses val="autoZero"/>
        <c:auto val="1"/>
        <c:lblOffset val="100"/>
        <c:baseTimeUnit val="years"/>
      </c:dateAx>
      <c:valAx>
        <c:axId val="1754338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4345536"/>
        <c:crosses val="autoZero"/>
        <c:crossBetween val="between"/>
      </c:valAx>
      <c:valAx>
        <c:axId val="1721477680"/>
        <c:scaling>
          <c:orientation val="minMax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1493040"/>
        <c:crosses val="max"/>
        <c:crossBetween val="between"/>
      </c:valAx>
      <c:dateAx>
        <c:axId val="1721493040"/>
        <c:scaling>
          <c:orientation val="minMax"/>
        </c:scaling>
        <c:delete val="1"/>
        <c:axPos val="b"/>
        <c:numFmt formatCode="&quot;FY&quot;yy" sourceLinked="1"/>
        <c:majorTickMark val="out"/>
        <c:minorTickMark val="none"/>
        <c:tickLblPos val="nextTo"/>
        <c:crossAx val="1721477680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Graphs!$Q$59</c:f>
          <c:strCache>
            <c:ptCount val="1"/>
            <c:pt idx="0">
              <c:v>Annual Revenue, FY25 - FY26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B84A-48E0-9BDA-6F5E8F1EB584}"/>
              </c:ext>
            </c:extLst>
          </c:dPt>
          <c:cat>
            <c:strRef>
              <c:f>Graphs!$Q$34:$Q$39</c:f>
              <c:strCache>
                <c:ptCount val="6"/>
                <c:pt idx="0">
                  <c:v>AMAT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LRCX</c:v>
                </c:pt>
              </c:strCache>
            </c:strRef>
          </c:cat>
          <c:val>
            <c:numRef>
              <c:f>Graphs!$R$34:$R$39</c:f>
              <c:numCache>
                <c:formatCode>_("$"* #,##0_);_("$"* \(#,##0\);_("$"* "-"_);_(@_)</c:formatCode>
                <c:ptCount val="6"/>
                <c:pt idx="0">
                  <c:v>28207.022910228687</c:v>
                </c:pt>
                <c:pt idx="1">
                  <c:v>33975</c:v>
                </c:pt>
                <c:pt idx="2">
                  <c:v>11175.868</c:v>
                </c:pt>
                <c:pt idx="3">
                  <c:v>38648.701000000001</c:v>
                </c:pt>
                <c:pt idx="4">
                  <c:v>42039.998</c:v>
                </c:pt>
                <c:pt idx="5">
                  <c:v>16321.412999999999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4A-48E0-9BDA-6F5E8F1EB584}"/>
            </c:ext>
          </c:extLst>
        </c:ser>
        <c:ser>
          <c:idx val="1"/>
          <c:order val="1"/>
          <c:spPr>
            <a:solidFill>
              <a:schemeClr val="accent4">
                <a:tint val="77000"/>
              </a:schemeClr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84A-48E0-9BDA-6F5E8F1EB584}"/>
              </c:ext>
            </c:extLst>
          </c:dPt>
          <c:cat>
            <c:strRef>
              <c:f>Graphs!$Q$34:$Q$39</c:f>
              <c:strCache>
                <c:ptCount val="6"/>
                <c:pt idx="0">
                  <c:v>AMAT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LRCX</c:v>
                </c:pt>
              </c:strCache>
            </c:strRef>
          </c:cat>
          <c:val>
            <c:numRef>
              <c:f>Graphs!$S$34:$S$39</c:f>
              <c:numCache>
                <c:formatCode>_("$"* #,##0_);_("$"* \(#,##0\);_("$"* "-"_);_(@_)</c:formatCode>
                <c:ptCount val="6"/>
                <c:pt idx="0">
                  <c:v>29577.653506353243</c:v>
                </c:pt>
                <c:pt idx="1">
                  <c:v>38475</c:v>
                </c:pt>
                <c:pt idx="2">
                  <c:v>11410.561227999999</c:v>
                </c:pt>
                <c:pt idx="3">
                  <c:v>43054.652914000006</c:v>
                </c:pt>
                <c:pt idx="4">
                  <c:v>46832.557772000007</c:v>
                </c:pt>
                <c:pt idx="5">
                  <c:v>17871.947235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4A-48E0-9BDA-6F5E8F1EB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17516416"/>
        <c:axId val="817519296"/>
      </c:barChart>
      <c:catAx>
        <c:axId val="81751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7519296"/>
        <c:crosses val="autoZero"/>
        <c:auto val="1"/>
        <c:lblAlgn val="ctr"/>
        <c:lblOffset val="100"/>
        <c:noMultiLvlLbl val="0"/>
      </c:catAx>
      <c:valAx>
        <c:axId val="817519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7516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Graphs!$Q$60</c:f>
          <c:strCache>
            <c:ptCount val="1"/>
            <c:pt idx="0">
              <c:v>Annual EBITDA, FY25 - FY26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1E6-4191-846B-CFBFC719CE3A}"/>
              </c:ext>
            </c:extLst>
          </c:dPt>
          <c:cat>
            <c:strRef>
              <c:f>Graphs!$Q$34:$Q$39</c:f>
              <c:strCache>
                <c:ptCount val="6"/>
                <c:pt idx="0">
                  <c:v>AMAT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LRCX</c:v>
                </c:pt>
              </c:strCache>
            </c:strRef>
          </c:cat>
          <c:val>
            <c:numRef>
              <c:f>Graphs!$U$34:$U$39</c:f>
              <c:numCache>
                <c:formatCode>_("$"* #,##0_);_("$"* \(#,##0\);_("$"* "-"_);_(@_)</c:formatCode>
                <c:ptCount val="6"/>
                <c:pt idx="0">
                  <c:v>8747.9925771195904</c:v>
                </c:pt>
                <c:pt idx="1">
                  <c:v>11551.5</c:v>
                </c:pt>
                <c:pt idx="2">
                  <c:v>4682.6886919999997</c:v>
                </c:pt>
                <c:pt idx="3">
                  <c:v>12908.666134000001</c:v>
                </c:pt>
                <c:pt idx="4">
                  <c:v>12654.039397999999</c:v>
                </c:pt>
                <c:pt idx="5">
                  <c:v>5222.8521599999995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E6-4191-846B-CFBFC719CE3A}"/>
            </c:ext>
          </c:extLst>
        </c:ser>
        <c:ser>
          <c:idx val="1"/>
          <c:order val="1"/>
          <c:spPr>
            <a:solidFill>
              <a:schemeClr val="accent4">
                <a:tint val="77000"/>
              </a:schemeClr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71E6-4191-846B-CFBFC719CE3A}"/>
              </c:ext>
            </c:extLst>
          </c:dPt>
          <c:cat>
            <c:strRef>
              <c:f>Graphs!$Q$34:$Q$39</c:f>
              <c:strCache>
                <c:ptCount val="6"/>
                <c:pt idx="0">
                  <c:v>AMAT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LRCX</c:v>
                </c:pt>
              </c:strCache>
            </c:strRef>
          </c:cat>
          <c:val>
            <c:numRef>
              <c:f>Graphs!$V$34:$V$39</c:f>
              <c:numCache>
                <c:formatCode>_("$"* #,##0_);_("$"* \(#,##0\);_("$"* "-"_);_(@_)</c:formatCode>
                <c:ptCount val="6"/>
                <c:pt idx="0">
                  <c:v>9202.1888249477997</c:v>
                </c:pt>
                <c:pt idx="1">
                  <c:v>13081.500000000002</c:v>
                </c:pt>
                <c:pt idx="2">
                  <c:v>4781.0251545319989</c:v>
                </c:pt>
                <c:pt idx="3">
                  <c:v>14380.254073276003</c:v>
                </c:pt>
                <c:pt idx="4">
                  <c:v>14096.599889372003</c:v>
                </c:pt>
                <c:pt idx="5">
                  <c:v>5719.0231151999997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E6-4191-846B-CFBFC719CE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3070176"/>
        <c:axId val="1803090336"/>
      </c:barChart>
      <c:catAx>
        <c:axId val="180307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3090336"/>
        <c:crosses val="autoZero"/>
        <c:auto val="1"/>
        <c:lblAlgn val="ctr"/>
        <c:lblOffset val="100"/>
        <c:noMultiLvlLbl val="0"/>
      </c:catAx>
      <c:valAx>
        <c:axId val="1803090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3070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Graphs!$Q$65</c:f>
          <c:strCache>
            <c:ptCount val="1"/>
            <c:pt idx="0">
              <c:v>FY26 Revenue Multiples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F0CF-4A88-A817-8016021E7D69}"/>
              </c:ext>
            </c:extLst>
          </c:dPt>
          <c:cat>
            <c:strRef>
              <c:f>Graphs!$Q$34:$Q$39</c:f>
              <c:strCache>
                <c:ptCount val="6"/>
                <c:pt idx="0">
                  <c:v>AMAT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LRCX</c:v>
                </c:pt>
              </c:strCache>
            </c:strRef>
          </c:cat>
          <c:val>
            <c:numRef>
              <c:f>Graphs!$X$34:$X$39</c:f>
              <c:numCache>
                <c:formatCode>0.0\ \x</c:formatCode>
                <c:ptCount val="6"/>
                <c:pt idx="0">
                  <c:v>7.9193265879539423</c:v>
                </c:pt>
                <c:pt idx="1">
                  <c:v>7.7133528300220746</c:v>
                </c:pt>
                <c:pt idx="2">
                  <c:v>8.1429661212891897</c:v>
                </c:pt>
                <c:pt idx="3">
                  <c:v>20.141013846752568</c:v>
                </c:pt>
                <c:pt idx="4">
                  <c:v>4.5377523566961155</c:v>
                </c:pt>
                <c:pt idx="5">
                  <c:v>5.5746678366634068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CF-4A88-A817-8016021E7D69}"/>
            </c:ext>
          </c:extLst>
        </c:ser>
        <c:ser>
          <c:idx val="1"/>
          <c:order val="1"/>
          <c:spPr>
            <a:solidFill>
              <a:schemeClr val="accent4">
                <a:tint val="77000"/>
              </a:schemeClr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0CF-4A88-A817-8016021E7D69}"/>
              </c:ext>
            </c:extLst>
          </c:dPt>
          <c:cat>
            <c:strRef>
              <c:f>Graphs!$Q$34:$Q$39</c:f>
              <c:strCache>
                <c:ptCount val="6"/>
                <c:pt idx="0">
                  <c:v>AMAT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LRCX</c:v>
                </c:pt>
              </c:strCache>
            </c:strRef>
          </c:cat>
          <c:val>
            <c:numRef>
              <c:f>Graphs!$Y$34:$Y$39</c:f>
              <c:numCache>
                <c:formatCode>0.0\ \x</c:formatCode>
                <c:ptCount val="6"/>
                <c:pt idx="0">
                  <c:v>7.5523444228602559</c:v>
                </c:pt>
                <c:pt idx="1">
                  <c:v>6.8112063001949315</c:v>
                </c:pt>
                <c:pt idx="2">
                  <c:v>7.9754810198718822</c:v>
                </c:pt>
                <c:pt idx="3">
                  <c:v>18.079904709831748</c:v>
                </c:pt>
                <c:pt idx="4">
                  <c:v>4.0733863166033348</c:v>
                </c:pt>
                <c:pt idx="5">
                  <c:v>5.0910208554003713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CF-4A88-A817-8016021E7D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0871695"/>
        <c:axId val="767979615"/>
      </c:barChart>
      <c:catAx>
        <c:axId val="770871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7979615"/>
        <c:crosses val="autoZero"/>
        <c:auto val="1"/>
        <c:lblAlgn val="ctr"/>
        <c:lblOffset val="100"/>
        <c:noMultiLvlLbl val="0"/>
      </c:catAx>
      <c:valAx>
        <c:axId val="767979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 \x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08716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Graphs!$Q$54</c:f>
          <c:strCache>
            <c:ptCount val="1"/>
            <c:pt idx="0">
              <c:v>Lam Research Corporation: Revenue by Segment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Summary!$B$6</c:f>
              <c:strCache>
                <c:ptCount val="1"/>
                <c:pt idx="0">
                  <c:v>Memory</c:v>
                </c:pt>
              </c:strCache>
            </c:strRef>
          </c:tx>
          <c:spPr>
            <a:solidFill>
              <a:schemeClr val="accent4">
                <a:shade val="58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Summary!$F$3:$P$3</c:f>
              <c:numCache>
                <c:formatCode>"FY"yy</c:formatCode>
                <c:ptCount val="11"/>
                <c:pt idx="0">
                  <c:v>43646</c:v>
                </c:pt>
                <c:pt idx="1">
                  <c:v>44012</c:v>
                </c:pt>
                <c:pt idx="2">
                  <c:v>44377</c:v>
                </c:pt>
                <c:pt idx="3">
                  <c:v>44742</c:v>
                </c:pt>
                <c:pt idx="4">
                  <c:v>45107</c:v>
                </c:pt>
                <c:pt idx="5">
                  <c:v>45473</c:v>
                </c:pt>
                <c:pt idx="6">
                  <c:v>45838</c:v>
                </c:pt>
                <c:pt idx="7">
                  <c:v>46203</c:v>
                </c:pt>
                <c:pt idx="8">
                  <c:v>46568</c:v>
                </c:pt>
                <c:pt idx="9">
                  <c:v>46934</c:v>
                </c:pt>
                <c:pt idx="10">
                  <c:v>47299</c:v>
                </c:pt>
              </c:numCache>
            </c:numRef>
          </c:cat>
          <c:val>
            <c:numRef>
              <c:f>Summary!$F$6:$P$6</c:f>
              <c:numCache>
                <c:formatCode>_("$"* #,##0_);_("$"* \(#,##0\);_("$"* "-"??_);_(@_)</c:formatCode>
                <c:ptCount val="11"/>
                <c:pt idx="0">
                  <c:v>4515.7727999999997</c:v>
                </c:pt>
                <c:pt idx="1">
                  <c:v>3842.5753999999997</c:v>
                </c:pt>
                <c:pt idx="2">
                  <c:v>5956.5554499999998</c:v>
                </c:pt>
                <c:pt idx="3">
                  <c:v>6793.3625999999995</c:v>
                </c:pt>
                <c:pt idx="4">
                  <c:v>4492.2767400000002</c:v>
                </c:pt>
                <c:pt idx="5">
                  <c:v>3747.09006</c:v>
                </c:pt>
                <c:pt idx="6">
                  <c:v>4871.2170780000006</c:v>
                </c:pt>
                <c:pt idx="7">
                  <c:v>6089.021347500001</c:v>
                </c:pt>
                <c:pt idx="8">
                  <c:v>7306.8256170000013</c:v>
                </c:pt>
                <c:pt idx="9">
                  <c:v>8768.1907404000012</c:v>
                </c:pt>
                <c:pt idx="10">
                  <c:v>10083.419351460001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0D-46A5-9860-A639DE33BAAA}"/>
            </c:ext>
          </c:extLst>
        </c:ser>
        <c:ser>
          <c:idx val="1"/>
          <c:order val="1"/>
          <c:tx>
            <c:strRef>
              <c:f>Summary!$B$8</c:f>
              <c:strCache>
                <c:ptCount val="1"/>
                <c:pt idx="0">
                  <c:v>Foundry</c:v>
                </c:pt>
              </c:strCache>
            </c:strRef>
          </c:tx>
          <c:spPr>
            <a:solidFill>
              <a:schemeClr val="accent4">
                <a:shade val="86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Summary!$F$8:$P$8</c:f>
              <c:numCache>
                <c:formatCode>_("$"* #,##0_);_("$"* \(#,##0\);_("$"* "-"??_);_(@_)</c:formatCode>
                <c:ptCount val="11"/>
                <c:pt idx="0">
                  <c:v>1290.2208000000001</c:v>
                </c:pt>
                <c:pt idx="1">
                  <c:v>2053.7903000000001</c:v>
                </c:pt>
                <c:pt idx="2">
                  <c:v>3124.7503999999999</c:v>
                </c:pt>
                <c:pt idx="3">
                  <c:v>2943.7904600000002</c:v>
                </c:pt>
                <c:pt idx="4">
                  <c:v>4064.4408599999997</c:v>
                </c:pt>
                <c:pt idx="5">
                  <c:v>3568.6572000000001</c:v>
                </c:pt>
                <c:pt idx="6">
                  <c:v>4103.9557800000002</c:v>
                </c:pt>
                <c:pt idx="7">
                  <c:v>4514.3513580000008</c:v>
                </c:pt>
                <c:pt idx="8">
                  <c:v>4965.7864938000012</c:v>
                </c:pt>
                <c:pt idx="9">
                  <c:v>5313.3915483660012</c:v>
                </c:pt>
                <c:pt idx="10">
                  <c:v>5685.3289567516213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0D-46A5-9860-A639DE33BAAA}"/>
            </c:ext>
          </c:extLst>
        </c:ser>
        <c:ser>
          <c:idx val="2"/>
          <c:order val="2"/>
          <c:tx>
            <c:strRef>
              <c:f>Summary!$B$10</c:f>
              <c:strCache>
                <c:ptCount val="1"/>
                <c:pt idx="0">
                  <c:v>Logic/Integrated Device Manufacturing</c:v>
                </c:pt>
              </c:strCache>
            </c:strRef>
          </c:tx>
          <c:spPr>
            <a:solidFill>
              <a:schemeClr val="accent4">
                <a:tint val="86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Summary!$F$10:$P$10</c:f>
              <c:numCache>
                <c:formatCode>_("$"* #,##0_);_("$"* \(#,##0\);_("$"* "-"??_);_(@_)</c:formatCode>
                <c:ptCount val="11"/>
                <c:pt idx="0">
                  <c:v>645.11040000000003</c:v>
                </c:pt>
                <c:pt idx="1">
                  <c:v>728.76430000000005</c:v>
                </c:pt>
                <c:pt idx="2">
                  <c:v>683.53915000000006</c:v>
                </c:pt>
                <c:pt idx="3">
                  <c:v>1585.1179400000001</c:v>
                </c:pt>
                <c:pt idx="4">
                  <c:v>2139.1794</c:v>
                </c:pt>
                <c:pt idx="5">
                  <c:v>1605.8957399999999</c:v>
                </c:pt>
                <c:pt idx="6">
                  <c:v>1846.7801009999998</c:v>
                </c:pt>
                <c:pt idx="7">
                  <c:v>2123.7971161499995</c:v>
                </c:pt>
                <c:pt idx="8">
                  <c:v>2336.1768277649999</c:v>
                </c:pt>
                <c:pt idx="9">
                  <c:v>2499.7092057085501</c:v>
                </c:pt>
                <c:pt idx="10">
                  <c:v>2674.6888501081489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0D-46A5-9860-A639DE33BAAA}"/>
            </c:ext>
          </c:extLst>
        </c:ser>
        <c:ser>
          <c:idx val="3"/>
          <c:order val="3"/>
          <c:tx>
            <c:strRef>
              <c:f>Summary!$B$12</c:f>
              <c:strCache>
                <c:ptCount val="1"/>
                <c:pt idx="0">
                  <c:v>Customer Support-Related Revenue and Other</c:v>
                </c:pt>
              </c:strCache>
            </c:strRef>
          </c:tx>
          <c:spPr>
            <a:solidFill>
              <a:schemeClr val="accent4">
                <a:tint val="58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Summary!$F$12:$P$12</c:f>
              <c:numCache>
                <c:formatCode>_("$"* #,##0_);_("$"* \(#,##0\);_("$"* "-"??_);_(@_)</c:formatCode>
                <c:ptCount val="11"/>
                <c:pt idx="0">
                  <c:v>3202.4549999999999</c:v>
                </c:pt>
                <c:pt idx="1">
                  <c:v>3419.6060000000002</c:v>
                </c:pt>
                <c:pt idx="2">
                  <c:v>4861.3050000000003</c:v>
                </c:pt>
                <c:pt idx="3">
                  <c:v>5904.768</c:v>
                </c:pt>
                <c:pt idx="4">
                  <c:v>6732.6189999999997</c:v>
                </c:pt>
                <c:pt idx="5">
                  <c:v>5983.7430000000004</c:v>
                </c:pt>
                <c:pt idx="6">
                  <c:v>7180.4916000000003</c:v>
                </c:pt>
                <c:pt idx="7">
                  <c:v>8257.5653399999992</c:v>
                </c:pt>
                <c:pt idx="8">
                  <c:v>9083.3218739999993</c:v>
                </c:pt>
                <c:pt idx="9">
                  <c:v>9719.1544051799992</c:v>
                </c:pt>
                <c:pt idx="10">
                  <c:v>10205.112125439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0D-46A5-9860-A639DE33B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20516288"/>
        <c:axId val="1720511968"/>
      </c:barChart>
      <c:dateAx>
        <c:axId val="1720516288"/>
        <c:scaling>
          <c:orientation val="minMax"/>
        </c:scaling>
        <c:delete val="0"/>
        <c:axPos val="b"/>
        <c:numFmt formatCode="&quot;FY&quot;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0511968"/>
        <c:crosses val="autoZero"/>
        <c:auto val="1"/>
        <c:lblOffset val="100"/>
        <c:baseTimeUnit val="years"/>
      </c:dateAx>
      <c:valAx>
        <c:axId val="1720511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0516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Graphs!$Q$62</c:f>
          <c:strCache>
            <c:ptCount val="1"/>
            <c:pt idx="0">
              <c:v>Projected Revenue Growth, FY25 - FY26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3B6-42FD-9C31-10AD38367191}"/>
              </c:ext>
            </c:extLst>
          </c:dPt>
          <c:cat>
            <c:strRef>
              <c:f>Graphs!$Q$44:$Q$49</c:f>
              <c:strCache>
                <c:ptCount val="6"/>
                <c:pt idx="0">
                  <c:v>AMAT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LRCX</c:v>
                </c:pt>
              </c:strCache>
            </c:strRef>
          </c:cat>
          <c:val>
            <c:numRef>
              <c:f>Graphs!$R$44:$R$49</c:f>
              <c:numCache>
                <c:formatCode>0.0%</c:formatCode>
                <c:ptCount val="6"/>
                <c:pt idx="0">
                  <c:v>4.8591820572015276E-2</c:v>
                </c:pt>
                <c:pt idx="1">
                  <c:v>0.13245033112582782</c:v>
                </c:pt>
                <c:pt idx="2">
                  <c:v>2.0999999999999908E-2</c:v>
                </c:pt>
                <c:pt idx="3">
                  <c:v>0.1140000000000001</c:v>
                </c:pt>
                <c:pt idx="4">
                  <c:v>0.1140000000000001</c:v>
                </c:pt>
                <c:pt idx="5">
                  <c:v>9.4999999999999973E-2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B6-42FD-9C31-10AD38367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25657104"/>
        <c:axId val="1325657584"/>
      </c:barChart>
      <c:catAx>
        <c:axId val="132565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5657584"/>
        <c:crosses val="autoZero"/>
        <c:auto val="1"/>
        <c:lblAlgn val="ctr"/>
        <c:lblOffset val="100"/>
        <c:noMultiLvlLbl val="0"/>
      </c:catAx>
      <c:valAx>
        <c:axId val="132565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565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Graphs!$Q$63</c:f>
          <c:strCache>
            <c:ptCount val="1"/>
            <c:pt idx="0">
              <c:v>Projected EBITDA Growth, FY25 - FY26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2A7-428C-9E89-ACA2DEF99209}"/>
              </c:ext>
            </c:extLst>
          </c:dPt>
          <c:cat>
            <c:strRef>
              <c:f>Graphs!$Q$44:$Q$49</c:f>
              <c:strCache>
                <c:ptCount val="6"/>
                <c:pt idx="0">
                  <c:v>AMAT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LRCX</c:v>
                </c:pt>
              </c:strCache>
            </c:strRef>
          </c:cat>
          <c:val>
            <c:numRef>
              <c:f>Graphs!$U$44:$U$49</c:f>
              <c:numCache>
                <c:formatCode>0.0%</c:formatCode>
                <c:ptCount val="6"/>
                <c:pt idx="0">
                  <c:v>5.1920054095171642E-2</c:v>
                </c:pt>
                <c:pt idx="1">
                  <c:v>0.13245033112582805</c:v>
                </c:pt>
                <c:pt idx="2">
                  <c:v>2.0999999999999908E-2</c:v>
                </c:pt>
                <c:pt idx="3">
                  <c:v>0.1140000000000001</c:v>
                </c:pt>
                <c:pt idx="4">
                  <c:v>0.11400000000000032</c:v>
                </c:pt>
                <c:pt idx="5">
                  <c:v>9.4999999999999973E-2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A7-428C-9E89-ACA2DEF99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21481520"/>
        <c:axId val="1721486320"/>
      </c:barChart>
      <c:catAx>
        <c:axId val="172148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1486320"/>
        <c:crosses val="autoZero"/>
        <c:auto val="1"/>
        <c:lblAlgn val="ctr"/>
        <c:lblOffset val="100"/>
        <c:noMultiLvlLbl val="0"/>
      </c:catAx>
      <c:valAx>
        <c:axId val="1721486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148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Graphs!$Q$66</c:f>
          <c:strCache>
            <c:ptCount val="1"/>
            <c:pt idx="0">
              <c:v>FY26 EBITDA Multiples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9A0C-46EE-B9EE-95BD00719F18}"/>
              </c:ext>
            </c:extLst>
          </c:dPt>
          <c:cat>
            <c:strRef>
              <c:f>Graphs!$Q$34:$Q$39</c:f>
              <c:strCache>
                <c:ptCount val="6"/>
                <c:pt idx="0">
                  <c:v>AMAT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LRCX</c:v>
                </c:pt>
              </c:strCache>
            </c:strRef>
          </c:cat>
          <c:val>
            <c:numRef>
              <c:f>Graphs!$AA$34:$AA$39</c:f>
              <c:numCache>
                <c:formatCode>0.0\ \x</c:formatCode>
                <c:ptCount val="6"/>
                <c:pt idx="0">
                  <c:v>25.53507270733779</c:v>
                </c:pt>
                <c:pt idx="1">
                  <c:v>22.686331853006102</c:v>
                </c:pt>
                <c:pt idx="2">
                  <c:v>19.434286685654396</c:v>
                </c:pt>
                <c:pt idx="3">
                  <c:v>60.302436666923853</c:v>
                </c:pt>
                <c:pt idx="4">
                  <c:v>15.075589224904039</c:v>
                </c:pt>
                <c:pt idx="5">
                  <c:v>17.420836989573147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0C-46EE-B9EE-95BD00719F18}"/>
            </c:ext>
          </c:extLst>
        </c:ser>
        <c:ser>
          <c:idx val="1"/>
          <c:order val="1"/>
          <c:spPr>
            <a:solidFill>
              <a:schemeClr val="accent4">
                <a:tint val="77000"/>
              </a:schemeClr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A0C-46EE-B9EE-95BD00719F18}"/>
              </c:ext>
            </c:extLst>
          </c:dPt>
          <c:cat>
            <c:strRef>
              <c:f>Graphs!$Q$34:$Q$39</c:f>
              <c:strCache>
                <c:ptCount val="6"/>
                <c:pt idx="0">
                  <c:v>AMAT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LRCX</c:v>
                </c:pt>
              </c:strCache>
            </c:strRef>
          </c:cat>
          <c:val>
            <c:numRef>
              <c:f>Graphs!$AB$34:$AB$39</c:f>
              <c:numCache>
                <c:formatCode>0.0\ \x</c:formatCode>
                <c:ptCount val="6"/>
                <c:pt idx="0">
                  <c:v>24.274727540299864</c:v>
                </c:pt>
                <c:pt idx="1">
                  <c:v>20.032959706455678</c:v>
                </c:pt>
                <c:pt idx="2">
                  <c:v>19.034560906615475</c:v>
                </c:pt>
                <c:pt idx="3">
                  <c:v>54.131451227041161</c:v>
                </c:pt>
                <c:pt idx="4">
                  <c:v>13.532844905658918</c:v>
                </c:pt>
                <c:pt idx="5">
                  <c:v>15.909440173126161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0C-46EE-B9EE-95BD00719F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53707696"/>
        <c:axId val="951953760"/>
      </c:barChart>
      <c:catAx>
        <c:axId val="953707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1953760"/>
        <c:crosses val="autoZero"/>
        <c:auto val="1"/>
        <c:lblAlgn val="ctr"/>
        <c:lblOffset val="100"/>
        <c:noMultiLvlLbl val="0"/>
      </c:catAx>
      <c:valAx>
        <c:axId val="951953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 \x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3707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3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5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6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7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8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9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31750</xdr:colOff>
      <xdr:row>2</xdr:row>
      <xdr:rowOff>76200</xdr:rowOff>
    </xdr:from>
    <xdr:to>
      <xdr:col>2</xdr:col>
      <xdr:colOff>3708400</xdr:colOff>
      <xdr:row>8</xdr:row>
      <xdr:rowOff>95250</xdr:rowOff>
    </xdr:to>
    <xdr:pic>
      <xdr:nvPicPr>
        <xdr:cNvPr id="5" name="Picture 4" descr="Lam Research - Wikipedia">
          <a:extLst>
            <a:ext uri="{FF2B5EF4-FFF2-40B4-BE49-F238E27FC236}">
              <a16:creationId xmlns:a16="http://schemas.microsoft.com/office/drawing/2014/main" id="{1CAE5D57-D9C9-E341-0CFB-23C61C33F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" y="514350"/>
          <a:ext cx="3676650" cy="1238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108119</xdr:colOff>
      <xdr:row>2</xdr:row>
      <xdr:rowOff>121507</xdr:rowOff>
    </xdr:from>
    <xdr:to>
      <xdr:col>14</xdr:col>
      <xdr:colOff>463378</xdr:colOff>
      <xdr:row>29</xdr:row>
      <xdr:rowOff>128717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4012A89-B7E2-0F91-7976-85589CEDE2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116702</xdr:colOff>
      <xdr:row>30</xdr:row>
      <xdr:rowOff>112927</xdr:rowOff>
    </xdr:from>
    <xdr:to>
      <xdr:col>14</xdr:col>
      <xdr:colOff>497702</xdr:colOff>
      <xdr:row>49</xdr:row>
      <xdr:rowOff>25744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A7F943D-FFF5-6AA2-E5A1-03141C1A9F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374135</xdr:colOff>
      <xdr:row>70</xdr:row>
      <xdr:rowOff>44277</xdr:rowOff>
    </xdr:from>
    <xdr:to>
      <xdr:col>8</xdr:col>
      <xdr:colOff>72081</xdr:colOff>
      <xdr:row>86</xdr:row>
      <xdr:rowOff>58693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683388-E2CD-51BE-FAD8-3A9BD87A1B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219678</xdr:colOff>
      <xdr:row>70</xdr:row>
      <xdr:rowOff>52861</xdr:rowOff>
    </xdr:from>
    <xdr:to>
      <xdr:col>15</xdr:col>
      <xdr:colOff>523448</xdr:colOff>
      <xdr:row>86</xdr:row>
      <xdr:rowOff>68649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FDD76A-16A3-9EA5-EA8A-E29E439907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392480</xdr:colOff>
      <xdr:row>103</xdr:row>
      <xdr:rowOff>1078</xdr:rowOff>
    </xdr:from>
    <xdr:to>
      <xdr:col>8</xdr:col>
      <xdr:colOff>86579</xdr:colOff>
      <xdr:row>118</xdr:row>
      <xdr:rowOff>41237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7D0F52D-4490-377C-5CD2-B11B2B9C97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108121</xdr:colOff>
      <xdr:row>49</xdr:row>
      <xdr:rowOff>78603</xdr:rowOff>
    </xdr:from>
    <xdr:to>
      <xdr:col>14</xdr:col>
      <xdr:colOff>497702</xdr:colOff>
      <xdr:row>69</xdr:row>
      <xdr:rowOff>154458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D2541DC9-1157-7340-67AE-AFAEB9C672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374136</xdr:colOff>
      <xdr:row>86</xdr:row>
      <xdr:rowOff>172994</xdr:rowOff>
    </xdr:from>
    <xdr:to>
      <xdr:col>8</xdr:col>
      <xdr:colOff>72082</xdr:colOff>
      <xdr:row>102</xdr:row>
      <xdr:rowOff>32951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A67C7A5-84F8-662C-803D-3B8050429A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236837</xdr:colOff>
      <xdr:row>87</xdr:row>
      <xdr:rowOff>1373</xdr:rowOff>
    </xdr:from>
    <xdr:to>
      <xdr:col>15</xdr:col>
      <xdr:colOff>544040</xdr:colOff>
      <xdr:row>102</xdr:row>
      <xdr:rowOff>41533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E542E67-BCCC-B083-335D-98D40DD204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237578</xdr:colOff>
      <xdr:row>103</xdr:row>
      <xdr:rowOff>16932</xdr:rowOff>
    </xdr:from>
    <xdr:to>
      <xdr:col>15</xdr:col>
      <xdr:colOff>517854</xdr:colOff>
      <xdr:row>118</xdr:row>
      <xdr:rowOff>59265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7262C044-F825-640D-6E06-871533B166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393700</xdr:colOff>
      <xdr:row>118</xdr:row>
      <xdr:rowOff>177800</xdr:rowOff>
    </xdr:from>
    <xdr:to>
      <xdr:col>15</xdr:col>
      <xdr:colOff>533400</xdr:colOff>
      <xdr:row>143</xdr:row>
      <xdr:rowOff>101600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F91D166F-150B-9AE7-D8FC-6D8FE4D8E7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76</xdr:row>
      <xdr:rowOff>0</xdr:rowOff>
    </xdr:from>
    <xdr:to>
      <xdr:col>9</xdr:col>
      <xdr:colOff>298450</xdr:colOff>
      <xdr:row>77</xdr:row>
      <xdr:rowOff>101599</xdr:rowOff>
    </xdr:to>
    <xdr:sp macro="" textlink="">
      <xdr:nvSpPr>
        <xdr:cNvPr id="2089" name="AutoShape 41">
          <a:extLst>
            <a:ext uri="{FF2B5EF4-FFF2-40B4-BE49-F238E27FC236}">
              <a16:creationId xmlns:a16="http://schemas.microsoft.com/office/drawing/2014/main" id="{46B18069-8328-2470-6DF3-D705DF218C41}"/>
            </a:ext>
          </a:extLst>
        </xdr:cNvPr>
        <xdr:cNvSpPr>
          <a:spLocks noChangeAspect="1" noChangeArrowheads="1"/>
        </xdr:cNvSpPr>
      </xdr:nvSpPr>
      <xdr:spPr bwMode="auto">
        <a:xfrm>
          <a:off x="10013950" y="15849600"/>
          <a:ext cx="29845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10</xdr:col>
      <xdr:colOff>0</xdr:colOff>
      <xdr:row>76</xdr:row>
      <xdr:rowOff>0</xdr:rowOff>
    </xdr:from>
    <xdr:to>
      <xdr:col>10</xdr:col>
      <xdr:colOff>298450</xdr:colOff>
      <xdr:row>77</xdr:row>
      <xdr:rowOff>101599</xdr:rowOff>
    </xdr:to>
    <xdr:sp macro="" textlink="">
      <xdr:nvSpPr>
        <xdr:cNvPr id="2090" name="AutoShape 42">
          <a:extLst>
            <a:ext uri="{FF2B5EF4-FFF2-40B4-BE49-F238E27FC236}">
              <a16:creationId xmlns:a16="http://schemas.microsoft.com/office/drawing/2014/main" id="{8619686B-C040-45C9-500D-593C1FD68966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5849600"/>
          <a:ext cx="29845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76</xdr:row>
      <xdr:rowOff>0</xdr:rowOff>
    </xdr:from>
    <xdr:to>
      <xdr:col>11</xdr:col>
      <xdr:colOff>298450</xdr:colOff>
      <xdr:row>77</xdr:row>
      <xdr:rowOff>101599</xdr:rowOff>
    </xdr:to>
    <xdr:sp macro="" textlink="">
      <xdr:nvSpPr>
        <xdr:cNvPr id="2091" name="AutoShape 43">
          <a:extLst>
            <a:ext uri="{FF2B5EF4-FFF2-40B4-BE49-F238E27FC236}">
              <a16:creationId xmlns:a16="http://schemas.microsoft.com/office/drawing/2014/main" id="{2F16A58C-47FC-3FD0-2E7C-7730E235F4E8}"/>
            </a:ext>
          </a:extLst>
        </xdr:cNvPr>
        <xdr:cNvSpPr>
          <a:spLocks noChangeAspect="1" noChangeArrowheads="1"/>
        </xdr:cNvSpPr>
      </xdr:nvSpPr>
      <xdr:spPr bwMode="auto">
        <a:xfrm>
          <a:off x="12084050" y="15849600"/>
          <a:ext cx="29845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12</xdr:col>
      <xdr:colOff>0</xdr:colOff>
      <xdr:row>76</xdr:row>
      <xdr:rowOff>0</xdr:rowOff>
    </xdr:from>
    <xdr:to>
      <xdr:col>12</xdr:col>
      <xdr:colOff>298450</xdr:colOff>
      <xdr:row>77</xdr:row>
      <xdr:rowOff>101599</xdr:rowOff>
    </xdr:to>
    <xdr:sp macro="" textlink="">
      <xdr:nvSpPr>
        <xdr:cNvPr id="2092" name="AutoShape 44">
          <a:extLst>
            <a:ext uri="{FF2B5EF4-FFF2-40B4-BE49-F238E27FC236}">
              <a16:creationId xmlns:a16="http://schemas.microsoft.com/office/drawing/2014/main" id="{F972927D-EC18-FED4-8059-ED0337D5A8AA}"/>
            </a:ext>
          </a:extLst>
        </xdr:cNvPr>
        <xdr:cNvSpPr>
          <a:spLocks noChangeAspect="1" noChangeArrowheads="1"/>
        </xdr:cNvSpPr>
      </xdr:nvSpPr>
      <xdr:spPr bwMode="auto">
        <a:xfrm>
          <a:off x="13119100" y="15849600"/>
          <a:ext cx="29845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298450</xdr:colOff>
      <xdr:row>77</xdr:row>
      <xdr:rowOff>101599</xdr:rowOff>
    </xdr:to>
    <xdr:sp macro="" textlink="">
      <xdr:nvSpPr>
        <xdr:cNvPr id="2093" name="AutoShape 45">
          <a:extLst>
            <a:ext uri="{FF2B5EF4-FFF2-40B4-BE49-F238E27FC236}">
              <a16:creationId xmlns:a16="http://schemas.microsoft.com/office/drawing/2014/main" id="{07C9BFC6-F562-D0E0-CA6D-A7B69C769A2F}"/>
            </a:ext>
          </a:extLst>
        </xdr:cNvPr>
        <xdr:cNvSpPr>
          <a:spLocks noChangeAspect="1" noChangeArrowheads="1"/>
        </xdr:cNvSpPr>
      </xdr:nvSpPr>
      <xdr:spPr bwMode="auto">
        <a:xfrm>
          <a:off x="14154150" y="15849600"/>
          <a:ext cx="29845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624416</xdr:colOff>
      <xdr:row>30</xdr:row>
      <xdr:rowOff>137583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2CC9085-2B27-9B1C-6AA3-EC324F52BE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59063F627C2EB15/Documents/XL-Walmart-Model-Complete-Macros.xlsm" TargetMode="External"/><Relationship Id="rId1" Type="http://schemas.openxmlformats.org/officeDocument/2006/relationships/externalLinkPath" Target="XL-Walmart-Model-Complete-Macros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59063F627C2EB15/Documents/07-11-Cost-of-Equity-Company-Beta-Before.xlsx" TargetMode="External"/><Relationship Id="rId1" Type="http://schemas.openxmlformats.org/officeDocument/2006/relationships/externalLinkPath" Target="07-11-Cost-of-Equity-Company-Beta-Before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rent\Downloads\AMAT_MODEL_FULL.xlsx" TargetMode="External"/><Relationship Id="rId1" Type="http://schemas.openxmlformats.org/officeDocument/2006/relationships/externalLinkPath" Target="file:///C:\Users\grent\Downloads\AMAT_MODEL_FUL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Summary"/>
      <sheetName val="Graphs"/>
      <sheetName val="WMT_Model"/>
      <sheetName val="Q1_Results"/>
      <sheetName val="DCF"/>
      <sheetName val="WACC"/>
      <sheetName val="ValSum"/>
      <sheetName val="ValGraph"/>
      <sheetName val="Public_Comps"/>
      <sheetName val="Public_Comps_Data"/>
      <sheetName val="MA_Comps"/>
    </sheetNames>
    <sheetDataSet>
      <sheetData sheetId="0"/>
      <sheetData sheetId="1"/>
      <sheetData sheetId="2"/>
      <sheetData sheetId="3">
        <row r="3">
          <cell r="B3" t="str">
            <v>($ in Millions Except Per Share and Per Unit Data)</v>
          </cell>
        </row>
        <row r="90">
          <cell r="E90" t="str">
            <v>Historical:</v>
          </cell>
          <cell r="I90" t="str">
            <v>Projected:</v>
          </cell>
        </row>
        <row r="91">
          <cell r="D91" t="str">
            <v>Units: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hart2"/>
      <sheetName val="Chart1"/>
      <sheetName val="STLD_DCF"/>
      <sheetName val="WACC"/>
      <sheetName val="Public_Comps"/>
      <sheetName val="MA_Comps"/>
      <sheetName val="ValSum"/>
      <sheetName val="ValGraph"/>
    </sheetNames>
    <sheetDataSet>
      <sheetData sheetId="0" refreshError="1"/>
      <sheetData sheetId="1" refreshError="1"/>
      <sheetData sheetId="2"/>
      <sheetData sheetId="3"/>
      <sheetData sheetId="4">
        <row r="3">
          <cell r="B3" t="str">
            <v>($ USD in Millions Except Per Share Amounts in USD as Stated)</v>
          </cell>
        </row>
      </sheetData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Summary"/>
      <sheetName val="Graphs"/>
      <sheetName val="Model"/>
      <sheetName val="Debt"/>
      <sheetName val="Q3_Results"/>
      <sheetName val="DCF"/>
      <sheetName val="WACC"/>
      <sheetName val="ValSum"/>
      <sheetName val="ValGraph"/>
      <sheetName val="PubComps"/>
      <sheetName val="PubCompsData"/>
      <sheetName val="MAComps"/>
    </sheetNames>
    <sheetDataSet>
      <sheetData sheetId="0"/>
      <sheetData sheetId="1"/>
      <sheetData sheetId="2"/>
      <sheetData sheetId="3">
        <row r="98">
          <cell r="J98">
            <v>-238</v>
          </cell>
        </row>
        <row r="101">
          <cell r="L101">
            <v>7016.7458934992974</v>
          </cell>
          <cell r="M101">
            <v>7397.2100046436117</v>
          </cell>
          <cell r="N101">
            <v>7878.0374515538824</v>
          </cell>
        </row>
      </sheetData>
      <sheetData sheetId="4"/>
      <sheetData sheetId="5"/>
      <sheetData sheetId="6">
        <row r="28">
          <cell r="I28" t="str">
            <v>(+) Cash and Investments:</v>
          </cell>
        </row>
        <row r="29">
          <cell r="I29" t="str">
            <v>(+) Net Operating Losses:</v>
          </cell>
          <cell r="L29">
            <v>0</v>
          </cell>
        </row>
        <row r="30">
          <cell r="I30" t="str">
            <v>(-)Debt and Finance Leases:</v>
          </cell>
        </row>
        <row r="31">
          <cell r="I31" t="str">
            <v>(-)Preferred Stock:</v>
          </cell>
        </row>
        <row r="32">
          <cell r="I32" t="str">
            <v>(-) Operating Leases:</v>
          </cell>
        </row>
        <row r="33">
          <cell r="I33" t="str">
            <v>(-) Noncontrolling Interests:</v>
          </cell>
        </row>
        <row r="34">
          <cell r="I34" t="str">
            <v>(-)Unfunded Pensions:</v>
          </cell>
        </row>
        <row r="36">
          <cell r="I36" t="str">
            <v xml:space="preserve">Implied Equity Value: </v>
          </cell>
        </row>
        <row r="56">
          <cell r="L56">
            <v>28207.022910228687</v>
          </cell>
          <cell r="M56">
            <v>29577.653506353243</v>
          </cell>
          <cell r="N56">
            <v>31316.528779159173</v>
          </cell>
        </row>
        <row r="79">
          <cell r="L79">
            <v>8747.9925771195904</v>
          </cell>
          <cell r="M79">
            <v>9202.1888249477997</v>
          </cell>
          <cell r="N79">
            <v>9767.1405018221212</v>
          </cell>
        </row>
      </sheetData>
      <sheetData sheetId="7"/>
      <sheetData sheetId="8"/>
      <sheetData sheetId="9"/>
      <sheetData sheetId="10">
        <row r="22">
          <cell r="J22">
            <v>5461</v>
          </cell>
        </row>
      </sheetData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4A3F0-038B-4FF3-9A89-5A984DC27FFD}">
  <dimension ref="B2:H95"/>
  <sheetViews>
    <sheetView showGridLines="0" topLeftCell="A15" workbookViewId="0"/>
  </sheetViews>
  <sheetFormatPr defaultColWidth="9.1796875" defaultRowHeight="16" x14ac:dyDescent="0.4"/>
  <cols>
    <col min="1" max="1" width="2.7265625" style="541" customWidth="1"/>
    <col min="2" max="2" width="6.26953125" style="541" bestFit="1" customWidth="1"/>
    <col min="3" max="3" width="53.7265625" style="541" bestFit="1" customWidth="1"/>
    <col min="4" max="7" width="12.7265625" style="541" customWidth="1"/>
    <col min="8" max="8" width="2.7265625" style="541" customWidth="1"/>
    <col min="9" max="16384" width="9.1796875" style="541"/>
  </cols>
  <sheetData>
    <row r="2" spans="2:8" ht="18.5" x14ac:dyDescent="0.45">
      <c r="B2" s="503" t="str">
        <f>Company_Name&amp;" - Operating Model and Valuation - Cover Page and Navigation"</f>
        <v>Lam Research Corporation - Operating Model and Valuation - Cover Page and Navigation</v>
      </c>
      <c r="H2" s="5"/>
    </row>
    <row r="3" spans="2:8" x14ac:dyDescent="0.4">
      <c r="H3" s="613"/>
    </row>
    <row r="6" spans="2:8" x14ac:dyDescent="0.4">
      <c r="E6"/>
    </row>
    <row r="7" spans="2:8" x14ac:dyDescent="0.4">
      <c r="C7" s="287"/>
    </row>
    <row r="10" spans="2:8" x14ac:dyDescent="0.4">
      <c r="C10" s="541" t="s">
        <v>18</v>
      </c>
      <c r="D10" s="614" t="str">
        <f>Company_Name</f>
        <v>Lam Research Corporation</v>
      </c>
    </row>
    <row r="11" spans="2:8" x14ac:dyDescent="0.4">
      <c r="C11" s="541" t="s">
        <v>421</v>
      </c>
      <c r="D11" s="541" t="s">
        <v>422</v>
      </c>
    </row>
    <row r="12" spans="2:8" x14ac:dyDescent="0.4">
      <c r="C12" s="541" t="s">
        <v>423</v>
      </c>
      <c r="D12" s="541" t="s">
        <v>448</v>
      </c>
    </row>
    <row r="13" spans="2:8" x14ac:dyDescent="0.4">
      <c r="H13" s="5"/>
    </row>
    <row r="14" spans="2:8" x14ac:dyDescent="0.4">
      <c r="C14" s="541" t="s">
        <v>424</v>
      </c>
      <c r="D14" s="541" t="str">
        <f ca="1">MID(CELL("filename"),SEARCH("[",CELL("filename"))+1, SEARCH("]",CELL("filename"))-SEARCH("[",CELL("filename"))-1)</f>
        <v>LRCX_MODEL.xlsx</v>
      </c>
      <c r="H14" s="613"/>
    </row>
    <row r="15" spans="2:8" x14ac:dyDescent="0.4">
      <c r="C15" s="541" t="s">
        <v>425</v>
      </c>
      <c r="D15" s="615">
        <f>Valuation_Date</f>
        <v>45626</v>
      </c>
    </row>
    <row r="17" spans="2:6" x14ac:dyDescent="0.4">
      <c r="C17" s="541" t="s">
        <v>426</v>
      </c>
      <c r="D17" s="616"/>
    </row>
    <row r="18" spans="2:6" x14ac:dyDescent="0.4">
      <c r="C18" s="541" t="s">
        <v>427</v>
      </c>
      <c r="D18" s="617"/>
    </row>
    <row r="19" spans="2:6" x14ac:dyDescent="0.4">
      <c r="C19" s="541" t="s">
        <v>428</v>
      </c>
      <c r="D19" s="618"/>
    </row>
    <row r="21" spans="2:6" x14ac:dyDescent="0.4">
      <c r="B21" s="619" t="s">
        <v>35</v>
      </c>
      <c r="C21" s="620" t="s">
        <v>429</v>
      </c>
      <c r="D21" s="620" t="s">
        <v>430</v>
      </c>
      <c r="E21" s="620"/>
      <c r="F21" s="620"/>
    </row>
    <row r="22" spans="2:6" x14ac:dyDescent="0.4">
      <c r="B22" s="551">
        <f ca="1">_xlfn.SHEET(INDIRECT(D22&amp;"!A1"))</f>
        <v>2</v>
      </c>
      <c r="C22" s="541" t="s">
        <v>431</v>
      </c>
      <c r="D22" s="288" t="s">
        <v>432</v>
      </c>
    </row>
    <row r="23" spans="2:6" x14ac:dyDescent="0.4">
      <c r="B23" s="551">
        <f t="shared" ref="B23:B32" ca="1" si="0">_xlfn.SHEET(INDIRECT(D23&amp;"!A1"))</f>
        <v>3</v>
      </c>
      <c r="C23" s="541" t="s">
        <v>433</v>
      </c>
      <c r="D23" s="288" t="s">
        <v>434</v>
      </c>
    </row>
    <row r="24" spans="2:6" x14ac:dyDescent="0.4">
      <c r="B24" s="551">
        <f ca="1">_xlfn.SHEET(INDIRECT(D24&amp;"!A1"))</f>
        <v>4</v>
      </c>
      <c r="C24" s="541" t="s">
        <v>435</v>
      </c>
      <c r="D24" s="288" t="s">
        <v>449</v>
      </c>
    </row>
    <row r="25" spans="2:6" x14ac:dyDescent="0.4">
      <c r="B25" s="551">
        <f t="shared" ca="1" si="0"/>
        <v>5</v>
      </c>
      <c r="C25" s="541" t="s">
        <v>436</v>
      </c>
      <c r="D25" s="288" t="s">
        <v>453</v>
      </c>
    </row>
    <row r="26" spans="2:6" x14ac:dyDescent="0.4">
      <c r="B26" s="551">
        <f t="shared" ca="1" si="0"/>
        <v>7</v>
      </c>
      <c r="C26" s="541" t="s">
        <v>437</v>
      </c>
      <c r="D26" s="288" t="s">
        <v>438</v>
      </c>
    </row>
    <row r="27" spans="2:6" x14ac:dyDescent="0.4">
      <c r="B27" s="551">
        <f t="shared" ca="1" si="0"/>
        <v>8</v>
      </c>
      <c r="C27" s="541" t="s">
        <v>439</v>
      </c>
      <c r="D27" s="288" t="s">
        <v>440</v>
      </c>
    </row>
    <row r="28" spans="2:6" x14ac:dyDescent="0.4">
      <c r="B28" s="551">
        <f t="shared" ca="1" si="0"/>
        <v>9</v>
      </c>
      <c r="C28" s="541" t="s">
        <v>441</v>
      </c>
      <c r="D28" s="288" t="s">
        <v>442</v>
      </c>
    </row>
    <row r="29" spans="2:6" x14ac:dyDescent="0.4">
      <c r="B29" s="551">
        <f t="shared" ca="1" si="0"/>
        <v>10</v>
      </c>
      <c r="C29" s="541" t="s">
        <v>443</v>
      </c>
      <c r="D29" s="288" t="s">
        <v>444</v>
      </c>
    </row>
    <row r="30" spans="2:6" x14ac:dyDescent="0.4">
      <c r="B30" s="551">
        <f t="shared" ca="1" si="0"/>
        <v>11</v>
      </c>
      <c r="C30" s="541" t="s">
        <v>445</v>
      </c>
      <c r="D30" s="288" t="s">
        <v>450</v>
      </c>
    </row>
    <row r="31" spans="2:6" x14ac:dyDescent="0.4">
      <c r="B31" s="551">
        <f t="shared" ca="1" si="0"/>
        <v>12</v>
      </c>
      <c r="C31" s="541" t="s">
        <v>446</v>
      </c>
      <c r="D31" s="288" t="s">
        <v>451</v>
      </c>
    </row>
    <row r="32" spans="2:6" x14ac:dyDescent="0.4">
      <c r="B32" s="551">
        <f t="shared" ca="1" si="0"/>
        <v>13</v>
      </c>
      <c r="C32" s="541" t="s">
        <v>447</v>
      </c>
      <c r="D32" s="288" t="s">
        <v>452</v>
      </c>
    </row>
    <row r="39" spans="8:8" x14ac:dyDescent="0.4">
      <c r="H39" s="5"/>
    </row>
    <row r="40" spans="8:8" x14ac:dyDescent="0.4">
      <c r="H40" s="613"/>
    </row>
    <row r="54" spans="8:8" x14ac:dyDescent="0.4">
      <c r="H54" s="5"/>
    </row>
    <row r="55" spans="8:8" x14ac:dyDescent="0.4">
      <c r="H55" s="613"/>
    </row>
    <row r="94" spans="8:8" x14ac:dyDescent="0.4">
      <c r="H94" s="5"/>
    </row>
    <row r="95" spans="8:8" x14ac:dyDescent="0.4">
      <c r="H95" s="613"/>
    </row>
  </sheetData>
  <hyperlinks>
    <hyperlink ref="D22" location="Summary!A1" display="Summary" xr:uid="{61AD25AA-E935-4A80-8B0E-486E2E87467B}"/>
    <hyperlink ref="D23" location="Graphs!A1" display="Graphs" xr:uid="{2C04D526-61F4-4E17-9FAD-3356D67A44B5}"/>
    <hyperlink ref="D24" location="WMT_Model!A1" display="WMT_Model" xr:uid="{49A226B4-3259-4AE8-BE93-CC2F2D30CD08}"/>
    <hyperlink ref="D25" location="Q1_Results!A1" display="Q1_Results" xr:uid="{9752B060-F942-4E68-B065-378DBCEF89FD}"/>
    <hyperlink ref="D26" location="DCF!A1" display="DCF" xr:uid="{C51050F0-D479-41B9-8E71-02216380B420}"/>
    <hyperlink ref="D27" location="WACC!A1" display="WACC" xr:uid="{5F0A4E3E-7D81-4F2D-8378-A2D3707392C9}"/>
    <hyperlink ref="D28" location="ValSum!A1" display="ValSum" xr:uid="{7FC22FE6-CA82-477D-A42C-4CBAFA85F1B5}"/>
    <hyperlink ref="D29" location="ValGraph!A1" display="ValGraph" xr:uid="{BA21F0F1-E5B9-46A6-82A9-7CB96524E410}"/>
    <hyperlink ref="D30" location="Public_Comps!A1" display="Public_Comps" xr:uid="{6C62827D-5384-49DE-BAEC-4DE48942407F}"/>
    <hyperlink ref="D31" location="Public_Comps_Data!A1" display="Public_Comps_Data" xr:uid="{9C9DAB80-A60D-4EFE-9975-8D9D95DE2EC1}"/>
    <hyperlink ref="D32" location="MA_Comps!A1" display="MA_Comps" xr:uid="{149A1B4B-DC2C-4239-8435-3EACE76E90B9}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46086-B9D1-40DB-A5E5-22A241B17C2A}">
  <dimension ref="A1:W52"/>
  <sheetViews>
    <sheetView showGridLines="0" topLeftCell="A9" zoomScale="60" zoomScaleNormal="43" workbookViewId="0">
      <selection activeCell="W10" sqref="W10"/>
    </sheetView>
  </sheetViews>
  <sheetFormatPr defaultRowHeight="14.5" x14ac:dyDescent="0.35"/>
  <cols>
    <col min="8" max="12" width="9.453125" bestFit="1" customWidth="1"/>
    <col min="13" max="13" width="10.81640625" bestFit="1" customWidth="1"/>
    <col min="14" max="14" width="9.54296875" bestFit="1" customWidth="1"/>
    <col min="15" max="15" width="12" bestFit="1" customWidth="1"/>
    <col min="16" max="16" width="9.54296875" bestFit="1" customWidth="1"/>
    <col min="17" max="17" width="9.1796875" bestFit="1" customWidth="1"/>
  </cols>
  <sheetData>
    <row r="1" spans="23:23" ht="16" x14ac:dyDescent="0.4">
      <c r="W1" s="531" t="str">
        <f>Company_Name&amp;" Valuation - "&amp;Scenario&amp;" Case - Range of Implied Share Prices"</f>
        <v>Lam Research Corporation Valuation - Upside Case - Range of Implied Share Prices</v>
      </c>
    </row>
    <row r="32" spans="8:17" ht="16" x14ac:dyDescent="0.4">
      <c r="H32" s="532" t="s">
        <v>378</v>
      </c>
      <c r="I32" s="532" t="s">
        <v>336</v>
      </c>
      <c r="J32" s="532" t="s">
        <v>301</v>
      </c>
      <c r="K32" s="532" t="s">
        <v>335</v>
      </c>
      <c r="L32" s="532" t="s">
        <v>379</v>
      </c>
      <c r="M32" s="532" t="s">
        <v>380</v>
      </c>
      <c r="N32" s="532" t="s">
        <v>381</v>
      </c>
      <c r="O32" s="532" t="s">
        <v>382</v>
      </c>
      <c r="P32" s="532" t="s">
        <v>383</v>
      </c>
      <c r="Q32" s="532" t="s">
        <v>384</v>
      </c>
    </row>
    <row r="34" spans="1:17" ht="16" x14ac:dyDescent="0.4">
      <c r="A34" s="46" t="str">
        <f>ValSum!B22</f>
        <v>(9.9% - 11.9% WACC, 5.5% - 8.5% Free Cash Flow Growth Rate</v>
      </c>
      <c r="H34" s="534">
        <f>ValSum!I22</f>
        <v>75.448050133657972</v>
      </c>
      <c r="I34" s="534">
        <f>ValSum!J22</f>
        <v>86.180971278140845</v>
      </c>
      <c r="J34" s="534">
        <f>ValSum!K22</f>
        <v>109.99757882620675</v>
      </c>
      <c r="K34" s="534">
        <f>ValSum!L22</f>
        <v>153.08553271849087</v>
      </c>
      <c r="L34" s="534">
        <f>ValSum!M22</f>
        <v>208.37766885057769</v>
      </c>
      <c r="M34" s="536">
        <f>H34</f>
        <v>75.448050133657972</v>
      </c>
      <c r="N34" s="536">
        <f>I34-H34</f>
        <v>10.732921144482873</v>
      </c>
      <c r="O34" s="536">
        <f>J34-I34</f>
        <v>23.816607548065903</v>
      </c>
      <c r="P34" s="536">
        <f>K34-J34</f>
        <v>43.087953892284119</v>
      </c>
      <c r="Q34" s="536">
        <f>L34-K34</f>
        <v>55.292136132086824</v>
      </c>
    </row>
    <row r="36" spans="1:17" ht="16" x14ac:dyDescent="0.4">
      <c r="A36" s="535" t="e">
        <f>ValSum!#REF!</f>
        <v>#REF!</v>
      </c>
      <c r="H36" s="534" t="e">
        <f>ValSum!#REF!</f>
        <v>#REF!</v>
      </c>
      <c r="I36" s="534" t="e">
        <f>ValSum!#REF!</f>
        <v>#REF!</v>
      </c>
      <c r="J36" s="534" t="e">
        <f>ValSum!#REF!</f>
        <v>#REF!</v>
      </c>
      <c r="K36" s="534" t="e">
        <f>ValSum!#REF!</f>
        <v>#REF!</v>
      </c>
      <c r="L36" s="534" t="e">
        <f>ValSum!#REF!</f>
        <v>#REF!</v>
      </c>
      <c r="M36" s="533" t="e">
        <f>H36</f>
        <v>#REF!</v>
      </c>
      <c r="N36" s="533" t="e">
        <f>I36-H36</f>
        <v>#REF!</v>
      </c>
      <c r="O36" s="533" t="e">
        <f>J36-I36</f>
        <v>#REF!</v>
      </c>
      <c r="P36" s="533" t="e">
        <f>K36-J36</f>
        <v>#REF!</v>
      </c>
      <c r="Q36" s="533" t="e">
        <f>L36-K36</f>
        <v>#REF!</v>
      </c>
    </row>
    <row r="37" spans="1:17" ht="16" x14ac:dyDescent="0.4">
      <c r="A37" s="535" t="s">
        <v>347</v>
      </c>
      <c r="H37" s="534" t="e">
        <f>ValSum!#REF!</f>
        <v>#REF!</v>
      </c>
      <c r="I37" s="534" t="e">
        <f>ValSum!#REF!</f>
        <v>#REF!</v>
      </c>
      <c r="J37" s="534" t="e">
        <f>ValSum!#REF!</f>
        <v>#REF!</v>
      </c>
      <c r="K37" s="534" t="e">
        <f>ValSum!#REF!</f>
        <v>#REF!</v>
      </c>
      <c r="L37" s="534" t="e">
        <f>ValSum!#REF!</f>
        <v>#REF!</v>
      </c>
      <c r="M37" s="533" t="e">
        <f t="shared" ref="M37:M38" si="0">H37</f>
        <v>#REF!</v>
      </c>
      <c r="N37" s="533" t="e">
        <f t="shared" ref="N37:N38" si="1">I37-H37</f>
        <v>#REF!</v>
      </c>
      <c r="O37" s="533" t="e">
        <f t="shared" ref="O37:O38" si="2">J37-I37</f>
        <v>#REF!</v>
      </c>
      <c r="P37" s="533" t="e">
        <f t="shared" ref="P37:P38" si="3">K37-J37</f>
        <v>#REF!</v>
      </c>
      <c r="Q37" s="533" t="e">
        <f t="shared" ref="Q37:Q38" si="4">L37-K37</f>
        <v>#REF!</v>
      </c>
    </row>
    <row r="38" spans="1:17" ht="16" x14ac:dyDescent="0.4">
      <c r="A38" s="535" t="s">
        <v>346</v>
      </c>
      <c r="H38" s="534" t="e">
        <f>ValSum!#REF!</f>
        <v>#REF!</v>
      </c>
      <c r="I38" s="534" t="e">
        <f>ValSum!#REF!</f>
        <v>#REF!</v>
      </c>
      <c r="J38" s="534" t="e">
        <f>ValSum!#REF!</f>
        <v>#REF!</v>
      </c>
      <c r="K38" s="534" t="e">
        <f>ValSum!#REF!</f>
        <v>#REF!</v>
      </c>
      <c r="L38" s="534" t="e">
        <f>ValSum!#REF!</f>
        <v>#REF!</v>
      </c>
      <c r="M38" s="533" t="e">
        <f t="shared" si="0"/>
        <v>#REF!</v>
      </c>
      <c r="N38" s="533" t="e">
        <f t="shared" si="1"/>
        <v>#REF!</v>
      </c>
      <c r="O38" s="533" t="e">
        <f t="shared" si="2"/>
        <v>#REF!</v>
      </c>
      <c r="P38" s="533" t="e">
        <f t="shared" si="3"/>
        <v>#REF!</v>
      </c>
      <c r="Q38" s="533" t="e">
        <f t="shared" si="4"/>
        <v>#REF!</v>
      </c>
    </row>
    <row r="39" spans="1:17" ht="16" x14ac:dyDescent="0.4">
      <c r="A39" s="535" t="e">
        <f>ValSum!#REF!</f>
        <v>#REF!</v>
      </c>
      <c r="H39" s="534" t="e">
        <f>ValSum!#REF!</f>
        <v>#REF!</v>
      </c>
      <c r="I39" s="534" t="e">
        <f>ValSum!#REF!</f>
        <v>#REF!</v>
      </c>
      <c r="J39" s="534" t="e">
        <f>ValSum!#REF!</f>
        <v>#REF!</v>
      </c>
      <c r="K39" s="534" t="e">
        <f>ValSum!#REF!</f>
        <v>#REF!</v>
      </c>
      <c r="L39" s="534" t="e">
        <f>ValSum!#REF!</f>
        <v>#REF!</v>
      </c>
      <c r="M39" s="533" t="e">
        <f>H39</f>
        <v>#REF!</v>
      </c>
      <c r="N39" s="533" t="e">
        <f>I39-H39</f>
        <v>#REF!</v>
      </c>
      <c r="O39" s="533" t="e">
        <f>J39-I39</f>
        <v>#REF!</v>
      </c>
      <c r="P39" s="533" t="e">
        <f>K39-J39</f>
        <v>#REF!</v>
      </c>
      <c r="Q39" s="533" t="e">
        <f>L39-K39</f>
        <v>#REF!</v>
      </c>
    </row>
    <row r="40" spans="1:17" ht="16" x14ac:dyDescent="0.4">
      <c r="A40" s="535" t="e">
        <f>ValSum!#REF!</f>
        <v>#REF!</v>
      </c>
      <c r="H40" s="534" t="e">
        <f>ValSum!#REF!</f>
        <v>#REF!</v>
      </c>
      <c r="I40" s="534" t="e">
        <f>ValSum!#REF!</f>
        <v>#REF!</v>
      </c>
      <c r="J40" s="534" t="e">
        <f>ValSum!#REF!</f>
        <v>#REF!</v>
      </c>
      <c r="K40" s="534" t="e">
        <f>ValSum!#REF!</f>
        <v>#REF!</v>
      </c>
      <c r="L40" s="534" t="e">
        <f>ValSum!#REF!</f>
        <v>#REF!</v>
      </c>
      <c r="M40" s="533" t="e">
        <f t="shared" ref="M40:M50" si="5">H40</f>
        <v>#REF!</v>
      </c>
      <c r="N40" s="533" t="e">
        <f t="shared" ref="N40:N50" si="6">I40-H40</f>
        <v>#REF!</v>
      </c>
      <c r="O40" s="533" t="e">
        <f t="shared" ref="O40:O52" si="7">J40-I40</f>
        <v>#REF!</v>
      </c>
      <c r="P40" s="533" t="e">
        <f t="shared" ref="P40:P52" si="8">K40-J40</f>
        <v>#REF!</v>
      </c>
      <c r="Q40" s="533" t="e">
        <f t="shared" ref="Q40:Q52" si="9">L40-K40</f>
        <v>#REF!</v>
      </c>
    </row>
    <row r="41" spans="1:17" ht="16" x14ac:dyDescent="0.4">
      <c r="A41" s="535"/>
      <c r="H41" s="534"/>
      <c r="I41" s="534"/>
      <c r="J41" s="534"/>
      <c r="K41" s="534"/>
      <c r="L41" s="534"/>
      <c r="M41" s="533"/>
      <c r="N41" s="533"/>
      <c r="O41" s="533"/>
      <c r="P41" s="533"/>
      <c r="Q41" s="533"/>
    </row>
    <row r="42" spans="1:17" ht="16" x14ac:dyDescent="0.4">
      <c r="A42" s="535" t="str">
        <f>ValSum!B20</f>
        <v>CY 26 P / E:</v>
      </c>
      <c r="H42" s="534">
        <f>ValSum!I20</f>
        <v>79.36390253646708</v>
      </c>
      <c r="I42" s="534">
        <f>ValSum!J20</f>
        <v>166.22785111707049</v>
      </c>
      <c r="J42" s="534">
        <f>ValSum!K20</f>
        <v>68.428086173413249</v>
      </c>
      <c r="K42" s="534">
        <f>ValSum!L20</f>
        <v>92.446986034584782</v>
      </c>
      <c r="L42" s="534">
        <f>ValSum!M20</f>
        <v>118.46255404406648</v>
      </c>
      <c r="M42" s="533">
        <f t="shared" si="5"/>
        <v>79.36390253646708</v>
      </c>
      <c r="N42" s="533">
        <f t="shared" si="6"/>
        <v>86.863948580603406</v>
      </c>
      <c r="O42" s="533">
        <f t="shared" si="7"/>
        <v>-97.799764943657237</v>
      </c>
      <c r="P42" s="533">
        <f t="shared" si="8"/>
        <v>24.018899861171533</v>
      </c>
      <c r="Q42" s="533">
        <f t="shared" si="9"/>
        <v>26.015568009481697</v>
      </c>
    </row>
    <row r="43" spans="1:17" ht="16" x14ac:dyDescent="0.4">
      <c r="A43" s="535" t="str">
        <f>ValSum!B19</f>
        <v>CY 25 P / E:</v>
      </c>
      <c r="H43" s="534">
        <f>ValSum!I19</f>
        <v>71.935339351206693</v>
      </c>
      <c r="I43" s="534">
        <f>ValSum!J19</f>
        <v>150.54109563717526</v>
      </c>
      <c r="J43" s="534">
        <f>ValSum!K19</f>
        <v>80.141052095318429</v>
      </c>
      <c r="K43" s="534">
        <f>ValSum!L19</f>
        <v>92.161948364768818</v>
      </c>
      <c r="L43" s="534">
        <f>ValSum!M19</f>
        <v>110.02302853951099</v>
      </c>
      <c r="M43" s="533">
        <f t="shared" si="5"/>
        <v>71.935339351206693</v>
      </c>
      <c r="N43" s="533">
        <f t="shared" si="6"/>
        <v>78.605756285968567</v>
      </c>
      <c r="O43" s="533">
        <f t="shared" si="7"/>
        <v>-70.400043541856832</v>
      </c>
      <c r="P43" s="533">
        <f t="shared" si="8"/>
        <v>12.02089626945039</v>
      </c>
      <c r="Q43" s="533">
        <f t="shared" si="9"/>
        <v>17.86108017474217</v>
      </c>
    </row>
    <row r="44" spans="1:17" ht="16" x14ac:dyDescent="0.4">
      <c r="A44" s="535" t="str">
        <f>ValSum!B18</f>
        <v>LTM P / E:</v>
      </c>
      <c r="H44" s="534">
        <f>ValSum!I18</f>
        <v>82.036406364581822</v>
      </c>
      <c r="I44" s="534">
        <f>ValSum!J18</f>
        <v>171.7139385894767</v>
      </c>
      <c r="J44" s="534">
        <f>ValSum!K18</f>
        <v>93.209236585936821</v>
      </c>
      <c r="K44" s="534">
        <f>ValSum!L18</f>
        <v>121.48067681304086</v>
      </c>
      <c r="L44" s="534">
        <f>ValSum!M18</f>
        <v>100.46097096754424</v>
      </c>
      <c r="M44" s="533">
        <f t="shared" si="5"/>
        <v>82.036406364581822</v>
      </c>
      <c r="N44" s="533">
        <f t="shared" si="6"/>
        <v>89.677532224894875</v>
      </c>
      <c r="O44" s="533">
        <f t="shared" si="7"/>
        <v>-78.504702003539876</v>
      </c>
      <c r="P44" s="533">
        <f t="shared" si="8"/>
        <v>28.271440227104037</v>
      </c>
      <c r="Q44" s="533">
        <f t="shared" si="9"/>
        <v>-21.019705845496617</v>
      </c>
    </row>
    <row r="45" spans="1:17" ht="16" x14ac:dyDescent="0.4">
      <c r="A45" s="535" t="str">
        <f>ValSum!B17</f>
        <v>CY 26 TEV / EBITDA:</v>
      </c>
      <c r="H45" s="534">
        <f>ValSum!I17</f>
        <v>60.980021177613175</v>
      </c>
      <c r="I45" s="534">
        <f>ValSum!J17</f>
        <v>240.24113155715182</v>
      </c>
      <c r="J45" s="534">
        <f>ValSum!K17</f>
        <v>85.272572294199605</v>
      </c>
      <c r="K45" s="534">
        <f>ValSum!L17</f>
        <v>89.680952129807238</v>
      </c>
      <c r="L45" s="534">
        <f>ValSum!M17</f>
        <v>108.4102652950881</v>
      </c>
      <c r="M45" s="533">
        <f t="shared" si="5"/>
        <v>60.980021177613175</v>
      </c>
      <c r="N45" s="533">
        <f t="shared" si="6"/>
        <v>179.26111037953865</v>
      </c>
      <c r="O45" s="533">
        <f t="shared" si="7"/>
        <v>-154.96855926295223</v>
      </c>
      <c r="P45" s="533">
        <f t="shared" si="8"/>
        <v>4.4083798356076329</v>
      </c>
      <c r="Q45" s="533">
        <f t="shared" si="9"/>
        <v>18.729313165280857</v>
      </c>
    </row>
    <row r="46" spans="1:17" ht="16" x14ac:dyDescent="0.4">
      <c r="A46" s="535" t="str">
        <f>ValSum!B16</f>
        <v>CY 25 TEV / EBITDA:</v>
      </c>
      <c r="H46" s="534">
        <f>ValSum!I16</f>
        <v>62.016841600768032</v>
      </c>
      <c r="I46" s="534">
        <f>ValSum!J16</f>
        <v>244.38841873575075</v>
      </c>
      <c r="J46" s="534">
        <f>ValSum!K16</f>
        <v>79.592741207530153</v>
      </c>
      <c r="K46" s="534">
        <f>ValSum!L16</f>
        <v>92.706204551276386</v>
      </c>
      <c r="L46" s="534">
        <f>ValSum!M16</f>
        <v>104.19339394955043</v>
      </c>
      <c r="M46" s="533">
        <f t="shared" si="5"/>
        <v>62.016841600768032</v>
      </c>
      <c r="N46" s="533">
        <f t="shared" si="6"/>
        <v>182.37157713498272</v>
      </c>
      <c r="O46" s="533">
        <f t="shared" si="7"/>
        <v>-164.79567752822061</v>
      </c>
      <c r="P46" s="533">
        <f t="shared" si="8"/>
        <v>13.113463343746233</v>
      </c>
      <c r="Q46" s="533">
        <f t="shared" si="9"/>
        <v>11.48718939827404</v>
      </c>
    </row>
    <row r="47" spans="1:17" ht="16" x14ac:dyDescent="0.4">
      <c r="A47" s="535" t="str">
        <f>ValSum!B15</f>
        <v>LTM TEV / EBITDA:</v>
      </c>
      <c r="H47" s="534">
        <f>ValSum!I15</f>
        <v>63.696599782942073</v>
      </c>
      <c r="I47" s="534">
        <f>ValSum!J15</f>
        <v>186.6149220424241</v>
      </c>
      <c r="J47" s="534">
        <f>ValSum!K15</f>
        <v>82.36831139485183</v>
      </c>
      <c r="K47" s="534">
        <f>ValSum!L15</f>
        <v>114.67683960683478</v>
      </c>
      <c r="L47" s="534">
        <f>ValSum!M15</f>
        <v>105.03061855249204</v>
      </c>
      <c r="M47" s="533">
        <f t="shared" si="5"/>
        <v>63.696599782942073</v>
      </c>
      <c r="N47" s="533">
        <f t="shared" si="6"/>
        <v>122.91832225948203</v>
      </c>
      <c r="O47" s="533">
        <f t="shared" si="7"/>
        <v>-104.24661064757227</v>
      </c>
      <c r="P47" s="533">
        <f t="shared" si="8"/>
        <v>32.308528211982946</v>
      </c>
      <c r="Q47" s="533">
        <f t="shared" si="9"/>
        <v>-9.6462210543427318</v>
      </c>
    </row>
    <row r="48" spans="1:17" ht="16" x14ac:dyDescent="0.4">
      <c r="A48" s="535" t="str">
        <f>ValSum!B14</f>
        <v>CY 26 TEV / Revenue:</v>
      </c>
      <c r="H48" s="534">
        <f>ValSum!I14</f>
        <v>57.4321512921302</v>
      </c>
      <c r="I48" s="534">
        <f>ValSum!J14</f>
        <v>250.69802505187573</v>
      </c>
      <c r="J48" s="534">
        <f>ValSum!K14</f>
        <v>111.27434969919956</v>
      </c>
      <c r="K48" s="534">
        <f>ValSum!L14</f>
        <v>95.20936019377514</v>
      </c>
      <c r="L48" s="534">
        <f>ValSum!M14</f>
        <v>105.43579211870095</v>
      </c>
      <c r="M48" s="533">
        <f t="shared" si="5"/>
        <v>57.4321512921302</v>
      </c>
      <c r="N48" s="533">
        <f t="shared" si="6"/>
        <v>193.26587375974555</v>
      </c>
      <c r="O48" s="533">
        <f t="shared" si="7"/>
        <v>-139.42367535267618</v>
      </c>
      <c r="P48" s="533">
        <f t="shared" si="8"/>
        <v>-16.064989505424421</v>
      </c>
      <c r="Q48" s="533">
        <f t="shared" si="9"/>
        <v>10.226431924925805</v>
      </c>
    </row>
    <row r="49" spans="1:17" ht="16" x14ac:dyDescent="0.4">
      <c r="A49" s="535" t="str">
        <f>ValSum!B13</f>
        <v>CY 25 TEV / Revenue:</v>
      </c>
      <c r="H49" s="534">
        <f>ValSum!I13</f>
        <v>58.407410502660227</v>
      </c>
      <c r="I49" s="534">
        <f>ValSum!J13</f>
        <v>255.0267560445383</v>
      </c>
      <c r="J49" s="534">
        <f>ValSum!K13</f>
        <v>103.83732087009174</v>
      </c>
      <c r="K49" s="534">
        <f>ValSum!L13</f>
        <v>98.423690891586105</v>
      </c>
      <c r="L49" s="534">
        <f>ValSum!M13</f>
        <v>101.01920116417709</v>
      </c>
      <c r="M49" s="533">
        <f t="shared" si="5"/>
        <v>58.407410502660227</v>
      </c>
      <c r="N49" s="533">
        <f t="shared" si="6"/>
        <v>196.61934554187809</v>
      </c>
      <c r="O49" s="533">
        <f t="shared" si="7"/>
        <v>-151.18943517444654</v>
      </c>
      <c r="P49" s="533">
        <f t="shared" si="8"/>
        <v>-5.4136299785056394</v>
      </c>
      <c r="Q49" s="533">
        <f t="shared" si="9"/>
        <v>2.5955102725909853</v>
      </c>
    </row>
    <row r="50" spans="1:17" ht="16" x14ac:dyDescent="0.4">
      <c r="A50" s="535" t="str">
        <f>ValSum!B12</f>
        <v>LTM TEV / Revenue:</v>
      </c>
      <c r="H50" s="534">
        <f>ValSum!I12</f>
        <v>60.164807370775478</v>
      </c>
      <c r="I50" s="534">
        <f>ValSum!J12</f>
        <v>201.38176816194593</v>
      </c>
      <c r="J50" s="534">
        <f>ValSum!K12</f>
        <v>108.02845773002363</v>
      </c>
      <c r="K50" s="534">
        <f>ValSum!L12</f>
        <v>121.45506063555871</v>
      </c>
      <c r="L50" s="534">
        <f>ValSum!M12</f>
        <v>100.17190341361646</v>
      </c>
      <c r="M50" s="533">
        <f t="shared" si="5"/>
        <v>60.164807370775478</v>
      </c>
      <c r="N50" s="533">
        <f t="shared" si="6"/>
        <v>141.21696079117044</v>
      </c>
      <c r="O50" s="533">
        <f t="shared" si="7"/>
        <v>-93.353310431922296</v>
      </c>
      <c r="P50" s="533">
        <f t="shared" si="8"/>
        <v>13.426602905535077</v>
      </c>
      <c r="Q50" s="533">
        <f t="shared" si="9"/>
        <v>-21.283157221942247</v>
      </c>
    </row>
    <row r="51" spans="1:17" ht="16" x14ac:dyDescent="0.4">
      <c r="A51" s="531"/>
      <c r="M51" s="533"/>
      <c r="N51" s="533"/>
      <c r="O51" s="533"/>
      <c r="P51" s="533"/>
      <c r="Q51" s="533"/>
    </row>
    <row r="52" spans="1:17" ht="16" x14ac:dyDescent="0.4">
      <c r="A52" s="531" t="s">
        <v>385</v>
      </c>
      <c r="H52" s="534">
        <f>Share_Price</f>
        <v>78.25</v>
      </c>
      <c r="I52" s="534">
        <f>Share_Price</f>
        <v>78.25</v>
      </c>
      <c r="J52" s="534">
        <f>Share_Price</f>
        <v>78.25</v>
      </c>
      <c r="K52" s="534">
        <f>Share_Price</f>
        <v>78.25</v>
      </c>
      <c r="L52" s="534">
        <f>Share_Price</f>
        <v>78.25</v>
      </c>
      <c r="M52" s="533">
        <v>1000</v>
      </c>
      <c r="N52" s="533">
        <v>0</v>
      </c>
      <c r="O52" s="533">
        <f t="shared" si="7"/>
        <v>0</v>
      </c>
      <c r="P52" s="533">
        <f t="shared" si="8"/>
        <v>0</v>
      </c>
      <c r="Q52" s="533">
        <f t="shared" si="9"/>
        <v>0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6D644-D75D-4F06-888C-065068D1A625}">
  <dimension ref="A2:AG41"/>
  <sheetViews>
    <sheetView showGridLines="0" topLeftCell="C3" zoomScale="60" workbookViewId="0">
      <selection activeCell="N28" sqref="N28"/>
    </sheetView>
  </sheetViews>
  <sheetFormatPr defaultRowHeight="14.5" x14ac:dyDescent="0.35"/>
  <cols>
    <col min="2" max="2" width="20.54296875" bestFit="1" customWidth="1"/>
    <col min="3" max="3" width="6.54296875" bestFit="1" customWidth="1"/>
    <col min="4" max="4" width="10.54296875" bestFit="1" customWidth="1"/>
    <col min="5" max="5" width="8.54296875" bestFit="1" customWidth="1"/>
    <col min="6" max="6" width="13.7265625" bestFit="1" customWidth="1"/>
    <col min="7" max="8" width="8.453125" bestFit="1" customWidth="1"/>
    <col min="9" max="10" width="10.7265625" bestFit="1" customWidth="1"/>
    <col min="11" max="11" width="10.26953125" bestFit="1" customWidth="1"/>
    <col min="12" max="12" width="9" bestFit="1" customWidth="1"/>
    <col min="13" max="13" width="13.7265625" bestFit="1" customWidth="1"/>
    <col min="14" max="16" width="12.453125" bestFit="1" customWidth="1"/>
    <col min="17" max="17" width="12" bestFit="1" customWidth="1"/>
    <col min="18" max="19" width="12.453125" bestFit="1" customWidth="1"/>
    <col min="20" max="20" width="12" bestFit="1" customWidth="1"/>
    <col min="21" max="22" width="12.453125" bestFit="1" customWidth="1"/>
    <col min="23" max="27" width="8.81640625" bestFit="1" customWidth="1"/>
    <col min="28" max="33" width="10.1796875" bestFit="1" customWidth="1"/>
  </cols>
  <sheetData>
    <row r="2" spans="2:31" ht="16" x14ac:dyDescent="0.4">
      <c r="B2" s="291" t="s">
        <v>273</v>
      </c>
      <c r="C2" s="201"/>
      <c r="D2" s="201"/>
      <c r="E2" s="201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2:31" ht="16" x14ac:dyDescent="0.4">
      <c r="B3" s="19" t="s">
        <v>274</v>
      </c>
      <c r="C3" s="19"/>
      <c r="D3" s="201"/>
      <c r="E3" s="201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</row>
    <row r="4" spans="2:31" ht="16" x14ac:dyDescent="0.4">
      <c r="B4" s="19"/>
      <c r="C4" s="19"/>
      <c r="D4" s="201"/>
      <c r="E4" s="201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</row>
    <row r="5" spans="2:31" ht="16" x14ac:dyDescent="0.4">
      <c r="B5" s="292" t="s">
        <v>18</v>
      </c>
      <c r="C5" s="293" t="s">
        <v>21</v>
      </c>
      <c r="D5" s="294" t="s">
        <v>241</v>
      </c>
      <c r="E5" s="258" t="s">
        <v>253</v>
      </c>
      <c r="F5" s="209" t="s">
        <v>255</v>
      </c>
      <c r="G5" s="209" t="s">
        <v>257</v>
      </c>
      <c r="H5" s="204" t="s">
        <v>29</v>
      </c>
      <c r="I5" s="223" t="s">
        <v>232</v>
      </c>
      <c r="J5" s="223" t="s">
        <v>235</v>
      </c>
      <c r="K5" s="223" t="s">
        <v>143</v>
      </c>
      <c r="L5" s="223" t="s">
        <v>146</v>
      </c>
      <c r="M5" s="209" t="s">
        <v>256</v>
      </c>
      <c r="N5" s="204" t="s">
        <v>225</v>
      </c>
      <c r="O5" s="209" t="str">
        <f>PubCompsData!C73</f>
        <v>2025-06-30 Revenue:</v>
      </c>
      <c r="P5" s="209" t="str">
        <f>PubCompsData!C77</f>
        <v>2026-06-30 Revenue:</v>
      </c>
      <c r="Q5" s="486" t="str">
        <f>PubCompsData!C14</f>
        <v>LTM EBITDA:</v>
      </c>
      <c r="R5" s="209" t="str">
        <f>PubCompsData!C74</f>
        <v>2025-06-30 EBITDA:</v>
      </c>
      <c r="S5" s="209" t="str">
        <f>PubCompsData!C78</f>
        <v>2026-06-30 EBITDA:</v>
      </c>
      <c r="T5" s="223" t="s">
        <v>226</v>
      </c>
      <c r="U5" s="209" t="str">
        <f>PubCompsData!C75</f>
        <v>2025-06-30 Reported Net Income:</v>
      </c>
      <c r="V5" s="209" t="str">
        <f>PubCompsData!C79</f>
        <v>2026-06-30 Reported Net Income:</v>
      </c>
      <c r="W5" s="209" t="s">
        <v>263</v>
      </c>
      <c r="X5" s="209" t="s">
        <v>264</v>
      </c>
      <c r="Y5" s="209" t="s">
        <v>265</v>
      </c>
      <c r="Z5" s="209" t="str">
        <f>PubCompsData!C89</f>
        <v>2025-06-30 EBITDA Margin:</v>
      </c>
      <c r="AA5" s="209" t="str">
        <f>PubCompsData!C90</f>
        <v>2026-06-30 EBITDA Margin:</v>
      </c>
      <c r="AB5" s="19"/>
      <c r="AC5" s="19"/>
    </row>
    <row r="6" spans="2:31" ht="16" x14ac:dyDescent="0.4">
      <c r="B6" s="295" t="s">
        <v>275</v>
      </c>
      <c r="C6" s="296"/>
      <c r="D6" s="296"/>
      <c r="E6" s="296"/>
      <c r="F6" s="297" t="s">
        <v>276</v>
      </c>
      <c r="G6" s="297"/>
      <c r="H6" s="297"/>
      <c r="I6" s="297"/>
      <c r="J6" s="297"/>
      <c r="K6" s="297"/>
      <c r="L6" s="297"/>
      <c r="M6" s="298"/>
      <c r="N6" s="299"/>
      <c r="O6" s="299"/>
      <c r="P6" s="299"/>
      <c r="Q6" s="299"/>
      <c r="R6" s="299"/>
      <c r="S6" s="299"/>
      <c r="T6" s="299"/>
      <c r="U6" s="299"/>
      <c r="V6" s="299"/>
      <c r="W6" s="300" t="s">
        <v>277</v>
      </c>
      <c r="X6" s="300" t="s">
        <v>277</v>
      </c>
      <c r="Y6" s="297"/>
      <c r="Z6" s="297"/>
      <c r="AA6" s="301"/>
    </row>
    <row r="7" spans="2:31" ht="16" x14ac:dyDescent="0.4">
      <c r="B7" s="299"/>
      <c r="C7" s="299"/>
      <c r="D7" s="300" t="s">
        <v>278</v>
      </c>
      <c r="E7" s="300" t="s">
        <v>279</v>
      </c>
      <c r="F7" s="300" t="s">
        <v>280</v>
      </c>
      <c r="G7" s="300"/>
      <c r="H7" s="300"/>
      <c r="I7" s="300"/>
      <c r="J7" s="300"/>
      <c r="K7" s="300"/>
      <c r="L7" s="300" t="s">
        <v>281</v>
      </c>
      <c r="M7" s="300" t="s">
        <v>282</v>
      </c>
      <c r="N7" s="297" t="s">
        <v>0</v>
      </c>
      <c r="O7" s="297"/>
      <c r="P7" s="297"/>
      <c r="Q7" s="297" t="s">
        <v>283</v>
      </c>
      <c r="R7" s="297"/>
      <c r="S7" s="297"/>
      <c r="T7" s="297" t="s">
        <v>284</v>
      </c>
      <c r="U7" s="297"/>
      <c r="V7" s="297"/>
      <c r="W7" s="300" t="s">
        <v>0</v>
      </c>
      <c r="X7" s="300" t="s">
        <v>283</v>
      </c>
      <c r="Y7" s="297" t="s">
        <v>285</v>
      </c>
      <c r="Z7" s="297"/>
      <c r="AA7" s="297"/>
    </row>
    <row r="8" spans="2:31" ht="16" x14ac:dyDescent="0.4">
      <c r="B8" s="302" t="s">
        <v>286</v>
      </c>
      <c r="C8" s="302" t="s">
        <v>287</v>
      </c>
      <c r="D8" s="303" t="s">
        <v>288</v>
      </c>
      <c r="E8" s="303" t="s">
        <v>289</v>
      </c>
      <c r="F8" s="303" t="s">
        <v>290</v>
      </c>
      <c r="G8" s="303" t="s">
        <v>291</v>
      </c>
      <c r="H8" s="303" t="s">
        <v>292</v>
      </c>
      <c r="I8" s="303" t="s">
        <v>293</v>
      </c>
      <c r="J8" s="303" t="s">
        <v>294</v>
      </c>
      <c r="K8" s="303" t="s">
        <v>295</v>
      </c>
      <c r="L8" s="303" t="s">
        <v>296</v>
      </c>
      <c r="M8" s="303" t="s">
        <v>297</v>
      </c>
      <c r="N8" s="304" t="s">
        <v>224</v>
      </c>
      <c r="O8" s="305">
        <v>46022</v>
      </c>
      <c r="P8" s="305">
        <f>EOMONTH(O8,12)</f>
        <v>46387</v>
      </c>
      <c r="Q8" s="304" t="str">
        <f>$N$8</f>
        <v>LTM</v>
      </c>
      <c r="R8" s="305">
        <f>+$O$8</f>
        <v>46022</v>
      </c>
      <c r="S8" s="305">
        <f>+$P$8</f>
        <v>46387</v>
      </c>
      <c r="T8" s="304" t="str">
        <f>$N$8</f>
        <v>LTM</v>
      </c>
      <c r="U8" s="305">
        <f>+$O$8</f>
        <v>46022</v>
      </c>
      <c r="V8" s="305">
        <f>+$P$8</f>
        <v>46387</v>
      </c>
      <c r="W8" s="303" t="s">
        <v>298</v>
      </c>
      <c r="X8" s="303" t="s">
        <v>298</v>
      </c>
      <c r="Y8" s="304" t="str">
        <f>$N$8</f>
        <v>LTM</v>
      </c>
      <c r="Z8" s="305">
        <f>+$O$8</f>
        <v>46022</v>
      </c>
      <c r="AA8" s="305">
        <f>+$P$8</f>
        <v>46387</v>
      </c>
    </row>
    <row r="9" spans="2:31" ht="16" x14ac:dyDescent="0.4">
      <c r="B9" s="292" t="str">
        <f>INDEX(Pub_Comps_Range,MATCH(B$5,Pub_Comps_Params,0),MATCH($C9,Pub_Comps_Tickers,0))</f>
        <v>Applied Materials</v>
      </c>
      <c r="C9" s="19" t="s">
        <v>212</v>
      </c>
      <c r="D9" s="292">
        <f t="shared" ref="D9:M13" si="0">INDEX(Pub_Comps_Range,MATCH(D$5,Pub_Comps_Params,0),MATCH($C9,Pub_Comps_Tickers,0))</f>
        <v>175.55</v>
      </c>
      <c r="E9" s="292">
        <f t="shared" si="0"/>
        <v>1295.23</v>
      </c>
      <c r="F9" s="306">
        <f t="shared" si="0"/>
        <v>227377.62650000001</v>
      </c>
      <c r="G9" s="307">
        <f t="shared" si="0"/>
        <v>1.29</v>
      </c>
      <c r="H9" s="308">
        <f t="shared" si="0"/>
        <v>0.11960255152109912</v>
      </c>
      <c r="I9" s="306">
        <f t="shared" si="0"/>
        <v>-7177</v>
      </c>
      <c r="J9" s="306">
        <f t="shared" si="0"/>
        <v>5461</v>
      </c>
      <c r="K9" s="309">
        <f t="shared" si="0"/>
        <v>0</v>
      </c>
      <c r="L9" s="309">
        <f t="shared" si="0"/>
        <v>0</v>
      </c>
      <c r="M9" s="309">
        <f t="shared" si="0"/>
        <v>223380.62650000001</v>
      </c>
      <c r="N9" s="309">
        <f t="shared" ref="N9:AA13" si="1">INDEX(Pub_Comps_Range,MATCH(N$5,Pub_Comps_Params,0),MATCH($C9,Pub_Comps_Tickers,0))</f>
        <v>27176</v>
      </c>
      <c r="O9" s="309">
        <f t="shared" si="1"/>
        <v>28207.022910228687</v>
      </c>
      <c r="P9" s="309">
        <f t="shared" si="1"/>
        <v>29577.653506353243</v>
      </c>
      <c r="Q9" s="309">
        <f t="shared" si="1"/>
        <v>8259</v>
      </c>
      <c r="R9" s="309">
        <f t="shared" si="1"/>
        <v>8747.9925771195904</v>
      </c>
      <c r="S9" s="309">
        <f t="shared" si="1"/>
        <v>9202.1888249477997</v>
      </c>
      <c r="T9" s="309">
        <f t="shared" si="1"/>
        <v>7177</v>
      </c>
      <c r="U9" s="309">
        <f t="shared" si="1"/>
        <v>7016.7458934992974</v>
      </c>
      <c r="V9" s="309">
        <f t="shared" si="1"/>
        <v>7397.2100046436117</v>
      </c>
      <c r="W9" s="308">
        <f t="shared" si="1"/>
        <v>4.8591820572015276E-2</v>
      </c>
      <c r="X9" s="308">
        <f t="shared" si="1"/>
        <v>5.1920054095171642E-2</v>
      </c>
      <c r="Y9" s="308">
        <f t="shared" si="1"/>
        <v>0.30390785987636149</v>
      </c>
      <c r="Z9" s="308">
        <f t="shared" si="1"/>
        <v>0.31013526684332626</v>
      </c>
      <c r="AA9" s="308">
        <f t="shared" si="1"/>
        <v>0.31111963709261725</v>
      </c>
    </row>
    <row r="10" spans="2:31" ht="16" x14ac:dyDescent="0.4">
      <c r="B10" s="292" t="str">
        <f>INDEX(Pub_Comps_Range,MATCH(B$5,Pub_Comps_Params,0),MATCH($C10,Pub_Comps_Tickers,0))</f>
        <v>ASML Holding, N.V.</v>
      </c>
      <c r="C10" s="19" t="s">
        <v>208</v>
      </c>
      <c r="D10" s="292">
        <f t="shared" si="0"/>
        <v>672.88</v>
      </c>
      <c r="E10" s="292">
        <f t="shared" si="0"/>
        <v>395.22999999999996</v>
      </c>
      <c r="F10" s="306">
        <f t="shared" si="0"/>
        <v>265942.36239999998</v>
      </c>
      <c r="G10" s="307">
        <f t="shared" si="0"/>
        <v>1.1000000000000001</v>
      </c>
      <c r="H10" s="308">
        <f t="shared" si="0"/>
        <v>0.1623471646087051</v>
      </c>
      <c r="I10" s="306">
        <f t="shared" si="0"/>
        <v>-7004</v>
      </c>
      <c r="J10" s="306">
        <f t="shared" si="0"/>
        <v>4694.2</v>
      </c>
      <c r="K10" s="309">
        <f t="shared" si="0"/>
        <v>0</v>
      </c>
      <c r="L10" s="309">
        <f t="shared" si="0"/>
        <v>0</v>
      </c>
      <c r="M10" s="309">
        <f t="shared" si="0"/>
        <v>262061.16239999997</v>
      </c>
      <c r="N10" s="309">
        <f t="shared" si="1"/>
        <v>26238</v>
      </c>
      <c r="O10" s="309">
        <f t="shared" si="1"/>
        <v>33975</v>
      </c>
      <c r="P10" s="309">
        <f t="shared" si="1"/>
        <v>38475</v>
      </c>
      <c r="Q10" s="309">
        <f t="shared" si="1"/>
        <v>8865.2999999999993</v>
      </c>
      <c r="R10" s="309">
        <f t="shared" si="1"/>
        <v>11551.5</v>
      </c>
      <c r="S10" s="309">
        <f t="shared" si="1"/>
        <v>13081.500000000002</v>
      </c>
      <c r="T10" s="309">
        <f t="shared" si="1"/>
        <v>6927</v>
      </c>
      <c r="U10" s="309">
        <f t="shared" si="1"/>
        <v>9818.7749999999996</v>
      </c>
      <c r="V10" s="309">
        <f t="shared" si="1"/>
        <v>11119.275</v>
      </c>
      <c r="W10" s="308">
        <f t="shared" si="1"/>
        <v>0.13245033112582782</v>
      </c>
      <c r="X10" s="308">
        <f t="shared" si="1"/>
        <v>0.13245033112582805</v>
      </c>
      <c r="Y10" s="308">
        <f t="shared" si="1"/>
        <v>0.33788017379373425</v>
      </c>
      <c r="Z10" s="308">
        <f t="shared" si="1"/>
        <v>0.34</v>
      </c>
      <c r="AA10" s="308">
        <f t="shared" si="1"/>
        <v>0.34</v>
      </c>
      <c r="AE10" s="209"/>
    </row>
    <row r="11" spans="2:31" ht="16" x14ac:dyDescent="0.4">
      <c r="B11" s="292" t="str">
        <f>INDEX(Pub_Comps_Range,MATCH(B$5,Pub_Comps_Params,0),MATCH($C11,Pub_Comps_Tickers,0))</f>
        <v>KLA Corporation</v>
      </c>
      <c r="C11" s="19" t="s">
        <v>209</v>
      </c>
      <c r="D11" s="292">
        <f t="shared" si="0"/>
        <v>639.54999999999995</v>
      </c>
      <c r="E11" s="292">
        <f t="shared" si="0"/>
        <v>136.19</v>
      </c>
      <c r="F11" s="306">
        <f t="shared" si="0"/>
        <v>87100.314499999993</v>
      </c>
      <c r="G11" s="307">
        <f t="shared" si="0"/>
        <v>1.29</v>
      </c>
      <c r="H11" s="308">
        <f t="shared" si="0"/>
        <v>0.13187006145741881</v>
      </c>
      <c r="I11" s="306">
        <f t="shared" si="0"/>
        <v>-1977</v>
      </c>
      <c r="J11" s="306">
        <f t="shared" si="0"/>
        <v>5881.4</v>
      </c>
      <c r="K11" s="309">
        <f t="shared" si="0"/>
        <v>0</v>
      </c>
      <c r="L11" s="309">
        <f t="shared" si="0"/>
        <v>0</v>
      </c>
      <c r="M11" s="309">
        <f t="shared" si="0"/>
        <v>91004.714499999987</v>
      </c>
      <c r="N11" s="309">
        <f t="shared" si="1"/>
        <v>10257</v>
      </c>
      <c r="O11" s="309">
        <f t="shared" si="1"/>
        <v>11175.868</v>
      </c>
      <c r="P11" s="309">
        <f t="shared" si="1"/>
        <v>11410.561227999999</v>
      </c>
      <c r="Q11" s="309">
        <f t="shared" si="1"/>
        <v>4304.43</v>
      </c>
      <c r="R11" s="309">
        <f t="shared" si="1"/>
        <v>4682.6886919999997</v>
      </c>
      <c r="S11" s="309">
        <f t="shared" si="1"/>
        <v>4781.0251545319989</v>
      </c>
      <c r="T11" s="309">
        <f t="shared" si="1"/>
        <v>2966</v>
      </c>
      <c r="U11" s="309">
        <f t="shared" si="1"/>
        <v>3705.66</v>
      </c>
      <c r="V11" s="309">
        <f t="shared" si="1"/>
        <v>4943.3504400000002</v>
      </c>
      <c r="W11" s="308">
        <f t="shared" si="1"/>
        <v>2.0999999999999908E-2</v>
      </c>
      <c r="X11" s="308">
        <f t="shared" si="1"/>
        <v>2.0999999999999908E-2</v>
      </c>
      <c r="Y11" s="308">
        <f t="shared" si="1"/>
        <v>0.41965779467680614</v>
      </c>
      <c r="Z11" s="308">
        <f t="shared" si="1"/>
        <v>0.41899999999999998</v>
      </c>
      <c r="AA11" s="308">
        <f t="shared" si="1"/>
        <v>0.41899999999999993</v>
      </c>
      <c r="AE11" s="209"/>
    </row>
    <row r="12" spans="2:31" ht="16" x14ac:dyDescent="0.4">
      <c r="B12" s="292" t="str">
        <f>INDEX(Pub_Comps_Range,MATCH(B$5,Pub_Comps_Params,0),MATCH($C12,Pub_Comps_Tickers,0))</f>
        <v>Broadcom Inc.</v>
      </c>
      <c r="C12" s="19" t="s">
        <v>210</v>
      </c>
      <c r="D12" s="292">
        <f t="shared" si="0"/>
        <v>164.23</v>
      </c>
      <c r="E12" s="292">
        <f t="shared" si="0"/>
        <v>4671.3999999999996</v>
      </c>
      <c r="F12" s="306">
        <f t="shared" si="0"/>
        <v>767184.02199999988</v>
      </c>
      <c r="G12" s="307">
        <f t="shared" si="0"/>
        <v>1.19</v>
      </c>
      <c r="H12" s="308">
        <f t="shared" si="0"/>
        <v>0.39286017128805223</v>
      </c>
      <c r="I12" s="306">
        <f t="shared" si="0"/>
        <v>-1173</v>
      </c>
      <c r="J12" s="306">
        <f t="shared" si="0"/>
        <v>12413</v>
      </c>
      <c r="K12" s="309">
        <f t="shared" si="0"/>
        <v>0</v>
      </c>
      <c r="L12" s="309">
        <f t="shared" si="0"/>
        <v>0</v>
      </c>
      <c r="M12" s="309">
        <f t="shared" si="0"/>
        <v>778424.02199999988</v>
      </c>
      <c r="N12" s="309">
        <f t="shared" si="1"/>
        <v>46815</v>
      </c>
      <c r="O12" s="309">
        <f t="shared" si="1"/>
        <v>38648.701000000001</v>
      </c>
      <c r="P12" s="309">
        <f t="shared" si="1"/>
        <v>43054.652914000006</v>
      </c>
      <c r="Q12" s="309">
        <f t="shared" si="1"/>
        <v>16115</v>
      </c>
      <c r="R12" s="309">
        <f t="shared" si="1"/>
        <v>12908.666134000001</v>
      </c>
      <c r="S12" s="309">
        <f t="shared" si="1"/>
        <v>14380.254073276003</v>
      </c>
      <c r="T12" s="309">
        <f t="shared" si="1"/>
        <v>14095</v>
      </c>
      <c r="U12" s="309">
        <f t="shared" si="1"/>
        <v>17250.45</v>
      </c>
      <c r="V12" s="309">
        <f t="shared" si="1"/>
        <v>17733.462600000003</v>
      </c>
      <c r="W12" s="308">
        <f t="shared" si="1"/>
        <v>0.1140000000000001</v>
      </c>
      <c r="X12" s="308">
        <f t="shared" si="1"/>
        <v>0.1140000000000001</v>
      </c>
      <c r="Y12" s="308">
        <f t="shared" si="1"/>
        <v>0.34422727758197158</v>
      </c>
      <c r="Z12" s="308">
        <f t="shared" si="1"/>
        <v>0.33400000000000002</v>
      </c>
      <c r="AA12" s="308">
        <f t="shared" si="1"/>
        <v>0.33400000000000002</v>
      </c>
      <c r="AE12" s="209"/>
    </row>
    <row r="13" spans="2:31" ht="16" x14ac:dyDescent="0.4">
      <c r="B13" s="292" t="str">
        <f>INDEX(Pub_Comps_Range,MATCH(B$5,Pub_Comps_Params,0),MATCH($C13,Pub_Comps_Tickers,0))</f>
        <v>Qualcomm Incorporated</v>
      </c>
      <c r="C13" s="19" t="s">
        <v>211</v>
      </c>
      <c r="D13" s="292">
        <f t="shared" si="0"/>
        <v>156.79</v>
      </c>
      <c r="E13" s="292">
        <f t="shared" si="0"/>
        <v>1190</v>
      </c>
      <c r="F13" s="306">
        <f t="shared" si="0"/>
        <v>186580.09999999998</v>
      </c>
      <c r="G13" s="307">
        <f t="shared" si="0"/>
        <v>1.29</v>
      </c>
      <c r="H13" s="308">
        <f t="shared" si="0"/>
        <v>2.186532507739938E-2</v>
      </c>
      <c r="I13" s="306">
        <f t="shared" si="0"/>
        <v>-7849</v>
      </c>
      <c r="J13" s="306">
        <f t="shared" si="0"/>
        <v>13270</v>
      </c>
      <c r="K13" s="309">
        <f t="shared" si="0"/>
        <v>0</v>
      </c>
      <c r="L13" s="309">
        <f t="shared" si="0"/>
        <v>0</v>
      </c>
      <c r="M13" s="309">
        <f t="shared" si="0"/>
        <v>190767.09999999998</v>
      </c>
      <c r="N13" s="309">
        <f t="shared" si="1"/>
        <v>38962</v>
      </c>
      <c r="O13" s="309">
        <f t="shared" si="1"/>
        <v>42039.998</v>
      </c>
      <c r="P13" s="309">
        <f t="shared" si="1"/>
        <v>46832.557772000007</v>
      </c>
      <c r="Q13" s="309">
        <f t="shared" si="1"/>
        <v>11720</v>
      </c>
      <c r="R13" s="309">
        <f t="shared" si="1"/>
        <v>12654.039397999999</v>
      </c>
      <c r="S13" s="309">
        <f t="shared" si="1"/>
        <v>14096.599889372003</v>
      </c>
      <c r="T13" s="309">
        <f t="shared" si="1"/>
        <v>7232</v>
      </c>
      <c r="U13" s="309">
        <f t="shared" si="1"/>
        <v>8859.2000000000007</v>
      </c>
      <c r="V13" s="309">
        <f t="shared" si="1"/>
        <v>9107.2576000000008</v>
      </c>
      <c r="W13" s="308">
        <f t="shared" si="1"/>
        <v>0.1140000000000001</v>
      </c>
      <c r="X13" s="308">
        <f t="shared" si="1"/>
        <v>0.11400000000000032</v>
      </c>
      <c r="Y13" s="308">
        <f t="shared" si="1"/>
        <v>0.30080591345413482</v>
      </c>
      <c r="Z13" s="308">
        <f t="shared" si="1"/>
        <v>0.30099999999999999</v>
      </c>
      <c r="AA13" s="308">
        <f t="shared" si="1"/>
        <v>0.30099999999999999</v>
      </c>
      <c r="AD13" s="209"/>
      <c r="AE13" s="209"/>
    </row>
    <row r="14" spans="2:31" ht="16" x14ac:dyDescent="0.4">
      <c r="B14" s="19"/>
      <c r="C14" s="19"/>
      <c r="D14" s="310"/>
      <c r="E14" s="311"/>
      <c r="F14" s="123"/>
      <c r="H14" s="312"/>
      <c r="I14" s="313"/>
      <c r="J14" s="123"/>
      <c r="K14" s="311"/>
      <c r="L14" s="311"/>
      <c r="M14" s="311"/>
      <c r="N14" s="123"/>
      <c r="P14" s="123"/>
      <c r="Q14" s="311"/>
      <c r="S14" s="123"/>
      <c r="T14" s="311"/>
      <c r="V14" s="123"/>
      <c r="W14" s="314"/>
      <c r="X14" s="314"/>
      <c r="Y14" s="314"/>
      <c r="Z14" s="314"/>
      <c r="AA14" s="314"/>
      <c r="AE14" s="209"/>
    </row>
    <row r="15" spans="2:31" ht="16" x14ac:dyDescent="0.4">
      <c r="B15" s="19"/>
      <c r="C15" s="19"/>
      <c r="D15" s="19"/>
      <c r="E15" s="19"/>
      <c r="F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E15" s="209"/>
    </row>
    <row r="16" spans="2:31" ht="16" x14ac:dyDescent="0.4">
      <c r="B16" s="315" t="s">
        <v>299</v>
      </c>
      <c r="C16" s="316"/>
      <c r="D16" s="317">
        <f>MAX(D9:D14)</f>
        <v>672.88</v>
      </c>
      <c r="E16" s="317"/>
      <c r="F16" s="318">
        <f>MAX(F9:F14)</f>
        <v>767184.02199999988</v>
      </c>
      <c r="G16" s="318"/>
      <c r="H16" s="318"/>
      <c r="I16" s="318"/>
      <c r="J16" s="318"/>
      <c r="K16" s="318"/>
      <c r="L16" s="318"/>
      <c r="M16" s="318">
        <f t="shared" ref="M16:AA16" si="2">MAX(M9:M14)</f>
        <v>778424.02199999988</v>
      </c>
      <c r="N16" s="318">
        <f t="shared" si="2"/>
        <v>46815</v>
      </c>
      <c r="O16" s="318">
        <f>MAX(P9:P11)</f>
        <v>38475</v>
      </c>
      <c r="P16" s="318">
        <f>MAX(P9:P14)</f>
        <v>46832.557772000007</v>
      </c>
      <c r="Q16" s="318">
        <f t="shared" si="2"/>
        <v>16115</v>
      </c>
      <c r="R16" s="318">
        <f>MAX(S9:S11)</f>
        <v>13081.500000000002</v>
      </c>
      <c r="S16" s="318">
        <f>MAX(S9:S14)</f>
        <v>14380.254073276003</v>
      </c>
      <c r="T16" s="318">
        <f t="shared" si="2"/>
        <v>14095</v>
      </c>
      <c r="U16" s="318">
        <f>MAX(V9:V11)</f>
        <v>11119.275</v>
      </c>
      <c r="V16" s="318">
        <f>MAX(V9:V14)</f>
        <v>17733.462600000003</v>
      </c>
      <c r="W16" s="319">
        <f t="shared" si="2"/>
        <v>0.13245033112582782</v>
      </c>
      <c r="X16" s="319">
        <f t="shared" si="2"/>
        <v>0.13245033112582805</v>
      </c>
      <c r="Y16" s="319">
        <f t="shared" si="2"/>
        <v>0.41965779467680614</v>
      </c>
      <c r="Z16" s="319">
        <f t="shared" si="2"/>
        <v>0.41899999999999998</v>
      </c>
      <c r="AA16" s="320">
        <f t="shared" si="2"/>
        <v>0.41899999999999993</v>
      </c>
      <c r="AE16" s="209"/>
    </row>
    <row r="17" spans="1:33" ht="16" x14ac:dyDescent="0.4">
      <c r="B17" s="321" t="s">
        <v>300</v>
      </c>
      <c r="C17" s="19"/>
      <c r="D17" s="322">
        <f>QUARTILE(D9:D14,3)</f>
        <v>639.54999999999995</v>
      </c>
      <c r="E17" s="322"/>
      <c r="F17" s="323">
        <f>QUARTILE(F9:F14,3)</f>
        <v>265942.36239999998</v>
      </c>
      <c r="G17" s="323"/>
      <c r="H17" s="323"/>
      <c r="I17" s="323"/>
      <c r="J17" s="323"/>
      <c r="K17" s="323"/>
      <c r="L17" s="323"/>
      <c r="M17" s="323">
        <f t="shared" ref="M17:AA17" si="3">QUARTILE(M9:M14,3)</f>
        <v>262061.16239999997</v>
      </c>
      <c r="N17" s="323">
        <f t="shared" si="3"/>
        <v>38962</v>
      </c>
      <c r="O17" s="323">
        <f>QUARTILE(P9:P11,3)</f>
        <v>34026.326753176618</v>
      </c>
      <c r="P17" s="323">
        <f>QUARTILE(P9:P14,3)</f>
        <v>43054.652914000006</v>
      </c>
      <c r="Q17" s="323">
        <f t="shared" si="3"/>
        <v>11720</v>
      </c>
      <c r="R17" s="323">
        <f>QUARTILE(S9:S11,3)</f>
        <v>11141.8444124739</v>
      </c>
      <c r="S17" s="323">
        <f>QUARTILE(S9:S14,3)</f>
        <v>14096.599889372003</v>
      </c>
      <c r="T17" s="323">
        <f t="shared" si="3"/>
        <v>7232</v>
      </c>
      <c r="U17" s="323">
        <f>QUARTILE(V9:V11,3)</f>
        <v>9258.2425023218057</v>
      </c>
      <c r="V17" s="323">
        <f>QUARTILE(V9:V14,3)</f>
        <v>11119.275</v>
      </c>
      <c r="W17" s="314">
        <f t="shared" si="3"/>
        <v>0.1140000000000001</v>
      </c>
      <c r="X17" s="314">
        <f t="shared" si="3"/>
        <v>0.11400000000000032</v>
      </c>
      <c r="Y17" s="314">
        <f t="shared" si="3"/>
        <v>0.34422727758197158</v>
      </c>
      <c r="Z17" s="314">
        <f t="shared" si="3"/>
        <v>0.34</v>
      </c>
      <c r="AA17" s="324">
        <f t="shared" si="3"/>
        <v>0.34</v>
      </c>
      <c r="AD17" s="209"/>
      <c r="AE17" s="209"/>
    </row>
    <row r="18" spans="1:33" ht="16" x14ac:dyDescent="0.4">
      <c r="B18" s="325" t="s">
        <v>301</v>
      </c>
      <c r="C18" s="326"/>
      <c r="D18" s="327">
        <f>MEDIAN(D9:D14)</f>
        <v>175.55</v>
      </c>
      <c r="E18" s="327"/>
      <c r="F18" s="328">
        <f>MEDIAN(F9:F14)</f>
        <v>227377.62650000001</v>
      </c>
      <c r="G18" s="328"/>
      <c r="H18" s="328"/>
      <c r="I18" s="329"/>
      <c r="J18" s="329"/>
      <c r="K18" s="329"/>
      <c r="L18" s="329"/>
      <c r="M18" s="328">
        <f t="shared" ref="M18:AA18" si="4">MEDIAN(M9:M14)</f>
        <v>223380.62650000001</v>
      </c>
      <c r="N18" s="328">
        <f t="shared" si="4"/>
        <v>27176</v>
      </c>
      <c r="O18" s="328">
        <f>MEDIAN(P9:P11)</f>
        <v>29577.653506353243</v>
      </c>
      <c r="P18" s="328">
        <f>MEDIAN(P9:P14)</f>
        <v>38475</v>
      </c>
      <c r="Q18" s="328">
        <f t="shared" si="4"/>
        <v>8865.2999999999993</v>
      </c>
      <c r="R18" s="328">
        <f>MEDIAN(S9:S11)</f>
        <v>9202.1888249477997</v>
      </c>
      <c r="S18" s="328">
        <f>MEDIAN(S9:S14)</f>
        <v>13081.500000000002</v>
      </c>
      <c r="T18" s="328">
        <f t="shared" si="4"/>
        <v>7177</v>
      </c>
      <c r="U18" s="328">
        <f>MEDIAN(V9:V11)</f>
        <v>7397.2100046436117</v>
      </c>
      <c r="V18" s="328">
        <f>MEDIAN(V9:V14)</f>
        <v>9107.2576000000008</v>
      </c>
      <c r="W18" s="330">
        <f t="shared" si="4"/>
        <v>0.1140000000000001</v>
      </c>
      <c r="X18" s="330">
        <f t="shared" si="4"/>
        <v>0.1140000000000001</v>
      </c>
      <c r="Y18" s="330">
        <f t="shared" si="4"/>
        <v>0.33788017379373425</v>
      </c>
      <c r="Z18" s="330">
        <f t="shared" si="4"/>
        <v>0.33400000000000002</v>
      </c>
      <c r="AA18" s="331">
        <f t="shared" si="4"/>
        <v>0.33400000000000002</v>
      </c>
      <c r="AD18" s="209"/>
      <c r="AE18" s="209"/>
    </row>
    <row r="19" spans="1:33" ht="16" x14ac:dyDescent="0.4">
      <c r="B19" s="321" t="s">
        <v>302</v>
      </c>
      <c r="C19" s="201"/>
      <c r="D19" s="322">
        <f>QUARTILE(D9:D14,1)</f>
        <v>164.23</v>
      </c>
      <c r="E19" s="322"/>
      <c r="F19" s="323">
        <f>QUARTILE(F9:F14,1)</f>
        <v>186580.09999999998</v>
      </c>
      <c r="G19" s="323"/>
      <c r="H19" s="323"/>
      <c r="I19" s="323"/>
      <c r="J19" s="323"/>
      <c r="K19" s="323"/>
      <c r="L19" s="323"/>
      <c r="M19" s="323">
        <f t="shared" ref="M19:AA19" si="5">QUARTILE(M9:M14,1)</f>
        <v>190767.09999999998</v>
      </c>
      <c r="N19" s="323">
        <f t="shared" si="5"/>
        <v>26238</v>
      </c>
      <c r="O19" s="323">
        <f>QUARTILE(P9:P11,1)</f>
        <v>20494.107367176621</v>
      </c>
      <c r="P19" s="323">
        <f>QUARTILE(P9:P14,1)</f>
        <v>29577.653506353243</v>
      </c>
      <c r="Q19" s="323">
        <f t="shared" si="5"/>
        <v>8259</v>
      </c>
      <c r="R19" s="323">
        <f>QUARTILE(S9:S11,1)</f>
        <v>6991.6069897398993</v>
      </c>
      <c r="S19" s="323">
        <f>QUARTILE(S9:S14,1)</f>
        <v>9202.1888249477997</v>
      </c>
      <c r="T19" s="323">
        <f t="shared" si="5"/>
        <v>6927</v>
      </c>
      <c r="U19" s="323">
        <f>QUARTILE(V9:V11,1)</f>
        <v>6170.2802223218059</v>
      </c>
      <c r="V19" s="323">
        <f>QUARTILE(V9:V14,1)</f>
        <v>7397.2100046436117</v>
      </c>
      <c r="W19" s="314">
        <f t="shared" si="5"/>
        <v>4.8591820572015276E-2</v>
      </c>
      <c r="X19" s="314">
        <f t="shared" si="5"/>
        <v>5.1920054095171642E-2</v>
      </c>
      <c r="Y19" s="314">
        <f t="shared" si="5"/>
        <v>0.30390785987636149</v>
      </c>
      <c r="Z19" s="314">
        <f t="shared" si="5"/>
        <v>0.31013526684332626</v>
      </c>
      <c r="AA19" s="324">
        <f t="shared" si="5"/>
        <v>0.31111963709261725</v>
      </c>
      <c r="AD19" s="209"/>
      <c r="AE19" s="209"/>
    </row>
    <row r="20" spans="1:33" ht="16" x14ac:dyDescent="0.4">
      <c r="B20" s="332" t="s">
        <v>303</v>
      </c>
      <c r="C20" s="333"/>
      <c r="D20" s="334">
        <f>MIN(D9:D14)</f>
        <v>156.79</v>
      </c>
      <c r="E20" s="334"/>
      <c r="F20" s="335">
        <f>MIN(F9:F14)</f>
        <v>87100.314499999993</v>
      </c>
      <c r="G20" s="335"/>
      <c r="H20" s="335"/>
      <c r="I20" s="335"/>
      <c r="J20" s="335"/>
      <c r="K20" s="335"/>
      <c r="L20" s="335"/>
      <c r="M20" s="335">
        <f t="shared" ref="M20:AA22" si="6">MIN(M9:M14)</f>
        <v>91004.714499999987</v>
      </c>
      <c r="N20" s="335">
        <f t="shared" si="6"/>
        <v>10257</v>
      </c>
      <c r="O20" s="335">
        <f>MIN(P9:P11)</f>
        <v>11410.561227999999</v>
      </c>
      <c r="P20" s="335">
        <f>MIN(P9:P14)</f>
        <v>11410.561227999999</v>
      </c>
      <c r="Q20" s="335">
        <f t="shared" si="6"/>
        <v>4304.43</v>
      </c>
      <c r="R20" s="335">
        <f>MIN(S9:S11)</f>
        <v>4781.0251545319989</v>
      </c>
      <c r="S20" s="335">
        <f>MIN(S9:S14)</f>
        <v>4781.0251545319989</v>
      </c>
      <c r="T20" s="335">
        <f t="shared" si="6"/>
        <v>2966</v>
      </c>
      <c r="U20" s="335">
        <f>MIN(V9:V11)</f>
        <v>4943.3504400000002</v>
      </c>
      <c r="V20" s="335">
        <f>MIN(V9:V14)</f>
        <v>4943.3504400000002</v>
      </c>
      <c r="W20" s="336">
        <f t="shared" si="6"/>
        <v>2.0999999999999908E-2</v>
      </c>
      <c r="X20" s="336">
        <f t="shared" si="6"/>
        <v>2.0999999999999908E-2</v>
      </c>
      <c r="Y20" s="336">
        <f t="shared" si="6"/>
        <v>0.30080591345413482</v>
      </c>
      <c r="Z20" s="336">
        <f t="shared" si="6"/>
        <v>0.30099999999999999</v>
      </c>
      <c r="AA20" s="337">
        <f t="shared" si="6"/>
        <v>0.30099999999999999</v>
      </c>
      <c r="AD20" s="209"/>
      <c r="AE20" s="209"/>
    </row>
    <row r="21" spans="1:33" ht="16" x14ac:dyDescent="0.4"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D21" s="209"/>
      <c r="AE21" s="209"/>
    </row>
    <row r="22" spans="1:33" ht="16" x14ac:dyDescent="0.4">
      <c r="A22" s="338"/>
      <c r="B22" s="339" t="str">
        <f t="shared" ref="B22:V22" si="7">INDEX(Pub_Comps_Range,MATCH(B$5,Pub_Comps_Params,0),MATCH($C22,Pub_Comps_Tickers,0))</f>
        <v>Lam Research Corp.</v>
      </c>
      <c r="C22" s="340" t="str">
        <f>Ticker</f>
        <v>LRCX</v>
      </c>
      <c r="D22" s="442">
        <f>Share_Price</f>
        <v>78.25</v>
      </c>
      <c r="E22" s="441">
        <f t="shared" si="7"/>
        <v>1295.23</v>
      </c>
      <c r="F22" s="341">
        <f t="shared" si="7"/>
        <v>94642.456099999996</v>
      </c>
      <c r="G22" s="374">
        <f t="shared" si="7"/>
        <v>1.49</v>
      </c>
      <c r="H22" s="373">
        <f t="shared" si="7"/>
        <v>0.12212742534746113</v>
      </c>
      <c r="I22" s="341">
        <f t="shared" si="7"/>
        <v>-6067.5</v>
      </c>
      <c r="J22" s="341">
        <f t="shared" si="7"/>
        <v>4479</v>
      </c>
      <c r="K22" s="341">
        <f t="shared" si="7"/>
        <v>0</v>
      </c>
      <c r="L22" s="341">
        <f t="shared" si="7"/>
        <v>0</v>
      </c>
      <c r="M22" s="341">
        <f t="shared" si="7"/>
        <v>90986.456099999996</v>
      </c>
      <c r="N22" s="341">
        <f t="shared" si="7"/>
        <v>15591.319999999998</v>
      </c>
      <c r="O22" s="341">
        <f t="shared" si="7"/>
        <v>16321.412999999999</v>
      </c>
      <c r="P22" s="341">
        <f t="shared" si="7"/>
        <v>17871.947235</v>
      </c>
      <c r="Q22" s="341">
        <f t="shared" si="7"/>
        <v>4971</v>
      </c>
      <c r="R22" s="341">
        <f t="shared" si="7"/>
        <v>5222.8521599999995</v>
      </c>
      <c r="S22" s="341">
        <f t="shared" si="7"/>
        <v>5719.0231151999997</v>
      </c>
      <c r="T22" s="341">
        <f t="shared" si="7"/>
        <v>4057</v>
      </c>
      <c r="U22" s="341">
        <f t="shared" si="7"/>
        <v>4348.6080000000002</v>
      </c>
      <c r="V22" s="341">
        <f t="shared" si="7"/>
        <v>4940.018688000001</v>
      </c>
      <c r="W22" s="342">
        <f t="shared" si="6"/>
        <v>2.0999999999999908E-2</v>
      </c>
      <c r="X22" s="342">
        <f t="shared" si="6"/>
        <v>2.0999999999999908E-2</v>
      </c>
      <c r="Y22" s="342">
        <f t="shared" si="6"/>
        <v>0.30080591345413482</v>
      </c>
      <c r="Z22" s="342">
        <f t="shared" si="6"/>
        <v>0.30099999999999999</v>
      </c>
      <c r="AA22" s="343">
        <f t="shared" si="6"/>
        <v>0.30099999999999999</v>
      </c>
      <c r="AE22" s="209"/>
    </row>
    <row r="23" spans="1:33" ht="16" x14ac:dyDescent="0.4">
      <c r="B23" s="344"/>
      <c r="C23" s="344"/>
      <c r="D23" s="345"/>
      <c r="E23" s="346"/>
      <c r="F23" s="347"/>
      <c r="G23" s="348"/>
      <c r="H23" s="349"/>
      <c r="I23" s="347"/>
      <c r="J23" s="347"/>
      <c r="K23" s="347"/>
      <c r="L23" s="347"/>
      <c r="M23" s="347"/>
      <c r="N23" s="347"/>
      <c r="O23" s="347"/>
      <c r="P23" s="347"/>
      <c r="Q23" s="347"/>
      <c r="R23" s="347"/>
      <c r="S23" s="347"/>
      <c r="T23" s="347"/>
      <c r="U23" s="347"/>
      <c r="V23" s="347"/>
      <c r="W23" s="350"/>
      <c r="X23" s="350"/>
      <c r="Y23" s="350"/>
      <c r="Z23" s="350"/>
      <c r="AA23" s="350"/>
      <c r="AE23" s="209"/>
    </row>
    <row r="24" spans="1:33" ht="16" x14ac:dyDescent="0.4">
      <c r="B24" s="292" t="s">
        <v>18</v>
      </c>
      <c r="C24" s="293" t="s">
        <v>21</v>
      </c>
      <c r="D24" s="294" t="s">
        <v>241</v>
      </c>
      <c r="F24" s="294" t="s">
        <v>255</v>
      </c>
      <c r="M24" s="294" t="s">
        <v>256</v>
      </c>
      <c r="N24" s="209" t="s">
        <v>304</v>
      </c>
      <c r="O24" s="209" t="str">
        <f>PubCompsData!C96</f>
        <v>2025-06-30 EV / Revenue:</v>
      </c>
      <c r="P24" s="209" t="str">
        <f>PubCompsData!C100</f>
        <v>2026-06-30 EV / Revenue:</v>
      </c>
      <c r="Q24" s="209" t="s">
        <v>305</v>
      </c>
      <c r="R24" s="209" t="str">
        <f>PubCompsData!C97</f>
        <v>2025-06-30 EV / EBITDA:</v>
      </c>
      <c r="S24" s="209" t="str">
        <f>PubCompsData!C101</f>
        <v>2026-06-30 EV / EBITDA:</v>
      </c>
      <c r="T24" s="209" t="s">
        <v>306</v>
      </c>
      <c r="U24" s="209" t="str">
        <f>PubCompsData!C98</f>
        <v>2025-06-30 P / E:</v>
      </c>
      <c r="V24" s="209" t="str">
        <f>PubCompsData!C102</f>
        <v>2026-06-30 P / E:</v>
      </c>
      <c r="W24" s="19"/>
      <c r="X24" s="19"/>
      <c r="Y24" s="19"/>
      <c r="Z24" s="19"/>
      <c r="AA24" s="19"/>
      <c r="AE24" s="209"/>
    </row>
    <row r="25" spans="1:33" ht="16" x14ac:dyDescent="0.4">
      <c r="B25" s="296" t="s">
        <v>307</v>
      </c>
      <c r="C25" s="296"/>
      <c r="D25" s="296"/>
      <c r="E25" s="296"/>
      <c r="F25" s="297" t="s">
        <v>276</v>
      </c>
      <c r="G25" s="297"/>
      <c r="H25" s="297"/>
      <c r="I25" s="297"/>
      <c r="J25" s="297"/>
      <c r="K25" s="297"/>
      <c r="L25" s="297"/>
      <c r="M25" s="298"/>
      <c r="N25" s="297" t="s">
        <v>308</v>
      </c>
      <c r="O25" s="298"/>
      <c r="P25" s="298"/>
      <c r="Q25" s="297" t="s">
        <v>308</v>
      </c>
      <c r="R25" s="298"/>
      <c r="S25" s="298"/>
      <c r="T25" s="299"/>
      <c r="U25" s="299"/>
      <c r="V25" s="299"/>
      <c r="W25" s="19"/>
      <c r="X25" s="19"/>
      <c r="Y25" s="19"/>
      <c r="Z25" s="19"/>
      <c r="AA25" s="19"/>
      <c r="AD25" s="209"/>
      <c r="AE25" s="209"/>
    </row>
    <row r="26" spans="1:33" ht="16" x14ac:dyDescent="0.4">
      <c r="B26" s="299"/>
      <c r="C26" s="299"/>
      <c r="D26" s="300"/>
      <c r="E26" s="300"/>
      <c r="F26" s="300" t="s">
        <v>280</v>
      </c>
      <c r="G26" s="300"/>
      <c r="H26" s="300"/>
      <c r="I26" s="300"/>
      <c r="J26" s="300"/>
      <c r="K26" s="300"/>
      <c r="L26" s="300"/>
      <c r="M26" s="300" t="s">
        <v>282</v>
      </c>
      <c r="N26" s="297" t="s">
        <v>0</v>
      </c>
      <c r="O26" s="298"/>
      <c r="P26" s="298"/>
      <c r="Q26" s="297" t="s">
        <v>283</v>
      </c>
      <c r="R26" s="301"/>
      <c r="S26" s="301"/>
      <c r="T26" s="297" t="s">
        <v>309</v>
      </c>
      <c r="U26" s="297"/>
      <c r="V26" s="297"/>
      <c r="W26" s="351"/>
      <c r="X26" s="351"/>
      <c r="Y26" s="352"/>
      <c r="Z26" s="352"/>
      <c r="AA26" s="352"/>
      <c r="AB26" s="352"/>
      <c r="AC26" s="352"/>
      <c r="AE26" s="209"/>
      <c r="AF26" s="352"/>
      <c r="AG26" s="352"/>
    </row>
    <row r="27" spans="1:33" ht="16" x14ac:dyDescent="0.4">
      <c r="B27" s="302" t="s">
        <v>286</v>
      </c>
      <c r="C27" s="302"/>
      <c r="D27" s="303"/>
      <c r="E27" s="303"/>
      <c r="F27" s="303" t="s">
        <v>297</v>
      </c>
      <c r="G27" s="303"/>
      <c r="H27" s="303"/>
      <c r="I27" s="303"/>
      <c r="J27" s="303"/>
      <c r="K27" s="303"/>
      <c r="L27" s="303"/>
      <c r="M27" s="303" t="s">
        <v>297</v>
      </c>
      <c r="N27" s="353" t="str">
        <f>$N$8</f>
        <v>LTM</v>
      </c>
      <c r="O27" s="354">
        <f>+$O$8</f>
        <v>46022</v>
      </c>
      <c r="P27" s="354">
        <f>+$P$8</f>
        <v>46387</v>
      </c>
      <c r="Q27" s="353" t="str">
        <f>$N$8</f>
        <v>LTM</v>
      </c>
      <c r="R27" s="354">
        <f>+$O$8</f>
        <v>46022</v>
      </c>
      <c r="S27" s="354">
        <f>+$P$8</f>
        <v>46387</v>
      </c>
      <c r="T27" s="353" t="str">
        <f>$N$8</f>
        <v>LTM</v>
      </c>
      <c r="U27" s="354">
        <f>+$O$8</f>
        <v>46022</v>
      </c>
      <c r="V27" s="354">
        <f>+$P$8</f>
        <v>46387</v>
      </c>
      <c r="W27" s="355"/>
      <c r="X27" s="355"/>
      <c r="Y27" s="352"/>
      <c r="Z27" s="352"/>
      <c r="AA27" s="352"/>
      <c r="AB27" s="352"/>
      <c r="AC27" s="352"/>
      <c r="AE27" s="209"/>
      <c r="AF27" s="352"/>
      <c r="AG27" s="352"/>
    </row>
    <row r="28" spans="1:33" ht="16" x14ac:dyDescent="0.4">
      <c r="B28" s="292" t="str">
        <f>INDEX(Pub_Comps_Range,MATCH(B$24,Pub_Comps_Params,0),MATCH($C28,Pub_Comps_Tickers,0))</f>
        <v>Applied Materials</v>
      </c>
      <c r="C28" s="19" t="s">
        <v>212</v>
      </c>
      <c r="D28" s="292">
        <f>INDEX(Pub_Comps_Range,MATCH(D$24,Pub_Comps_Params,0),MATCH($C28,Pub_Comps_Tickers,0))</f>
        <v>175.55</v>
      </c>
      <c r="E28" s="292"/>
      <c r="F28" s="306">
        <f>INDEX(Pub_Comps_Range,MATCH(F$24,Pub_Comps_Params,0),MATCH($C28,Pub_Comps_Tickers,0))</f>
        <v>227377.62650000001</v>
      </c>
      <c r="G28" s="306"/>
      <c r="H28" s="306"/>
      <c r="I28" s="306"/>
      <c r="J28" s="306"/>
      <c r="K28" s="306"/>
      <c r="L28" s="306"/>
      <c r="M28" s="306">
        <f t="shared" ref="M28:V32" si="8">INDEX(Pub_Comps_Range,MATCH(M$24,Pub_Comps_Params,0),MATCH($C28,Pub_Comps_Tickers,0))</f>
        <v>223380.62650000001</v>
      </c>
      <c r="N28" s="104">
        <f t="shared" si="8"/>
        <v>8.2197757764203718</v>
      </c>
      <c r="O28" s="104">
        <f t="shared" si="8"/>
        <v>7.9193265879539423</v>
      </c>
      <c r="P28" s="104">
        <f t="shared" si="8"/>
        <v>7.5523444228602559</v>
      </c>
      <c r="Q28" s="104">
        <f t="shared" si="8"/>
        <v>27.046933829761475</v>
      </c>
      <c r="R28" s="104">
        <f t="shared" si="8"/>
        <v>25.53507270733779</v>
      </c>
      <c r="S28" s="104">
        <f t="shared" si="8"/>
        <v>24.274727540299864</v>
      </c>
      <c r="T28" s="104">
        <f t="shared" si="8"/>
        <v>31.681430472342207</v>
      </c>
      <c r="U28" s="104">
        <f t="shared" si="8"/>
        <v>32.404996554122796</v>
      </c>
      <c r="V28" s="104">
        <f t="shared" si="8"/>
        <v>30.738295432637887</v>
      </c>
      <c r="W28" s="19"/>
      <c r="X28" s="356"/>
      <c r="Y28" s="352"/>
      <c r="Z28" s="352"/>
      <c r="AA28" s="352"/>
      <c r="AB28" s="352"/>
      <c r="AC28" s="352"/>
      <c r="AE28" s="209"/>
      <c r="AF28" s="352"/>
      <c r="AG28" s="352"/>
    </row>
    <row r="29" spans="1:33" ht="16" x14ac:dyDescent="0.4">
      <c r="B29" s="292" t="str">
        <f>INDEX(Pub_Comps_Range,MATCH(B$24,Pub_Comps_Params,0),MATCH($C29,Pub_Comps_Tickers,0))</f>
        <v>ASML Holding, N.V.</v>
      </c>
      <c r="C29" s="19" t="s">
        <v>208</v>
      </c>
      <c r="D29" s="292">
        <f>INDEX(Pub_Comps_Range,MATCH(D$24,Pub_Comps_Params,0),MATCH($C29,Pub_Comps_Tickers,0))</f>
        <v>672.88</v>
      </c>
      <c r="E29" s="292"/>
      <c r="F29" s="306">
        <f>INDEX(Pub_Comps_Range,MATCH(F$24,Pub_Comps_Params,0),MATCH($C29,Pub_Comps_Tickers,0))</f>
        <v>265942.36239999998</v>
      </c>
      <c r="G29" s="306"/>
      <c r="H29" s="306"/>
      <c r="I29" s="306"/>
      <c r="J29" s="306"/>
      <c r="K29" s="306"/>
      <c r="L29" s="306"/>
      <c r="M29" s="306">
        <f t="shared" si="8"/>
        <v>262061.16239999997</v>
      </c>
      <c r="N29" s="104">
        <f t="shared" si="8"/>
        <v>9.9878482506288577</v>
      </c>
      <c r="O29" s="104">
        <f t="shared" si="8"/>
        <v>7.7133528300220746</v>
      </c>
      <c r="P29" s="104">
        <f t="shared" si="8"/>
        <v>6.8112063001949315</v>
      </c>
      <c r="Q29" s="104">
        <f t="shared" si="8"/>
        <v>29.56032648641332</v>
      </c>
      <c r="R29" s="104">
        <f t="shared" si="8"/>
        <v>22.686331853006102</v>
      </c>
      <c r="S29" s="104">
        <f t="shared" si="8"/>
        <v>20.032959706455678</v>
      </c>
      <c r="T29" s="104">
        <f t="shared" si="8"/>
        <v>38.392141244405948</v>
      </c>
      <c r="U29" s="104">
        <f t="shared" si="8"/>
        <v>27.085085705701577</v>
      </c>
      <c r="V29" s="104">
        <f t="shared" si="8"/>
        <v>23.917239424332969</v>
      </c>
      <c r="W29" s="19"/>
      <c r="X29" s="356"/>
      <c r="Y29" s="356"/>
      <c r="Z29" s="19"/>
      <c r="AA29" s="19"/>
      <c r="AD29" s="209"/>
      <c r="AE29" s="209"/>
    </row>
    <row r="30" spans="1:33" ht="16" x14ac:dyDescent="0.4">
      <c r="B30" s="292" t="str">
        <f>INDEX(Pub_Comps_Range,MATCH(B$24,Pub_Comps_Params,0),MATCH($C30,Pub_Comps_Tickers,0))</f>
        <v>KLA Corporation</v>
      </c>
      <c r="C30" s="19" t="s">
        <v>209</v>
      </c>
      <c r="D30" s="292">
        <f>INDEX(Pub_Comps_Range,MATCH(D$24,Pub_Comps_Params,0),MATCH($C30,Pub_Comps_Tickers,0))</f>
        <v>639.54999999999995</v>
      </c>
      <c r="E30" s="292"/>
      <c r="F30" s="306">
        <f>INDEX(Pub_Comps_Range,MATCH(F$24,Pub_Comps_Params,0),MATCH($C30,Pub_Comps_Tickers,0))</f>
        <v>87100.314499999993</v>
      </c>
      <c r="G30" s="306"/>
      <c r="H30" s="306"/>
      <c r="I30" s="306"/>
      <c r="J30" s="306"/>
      <c r="K30" s="306"/>
      <c r="L30" s="306"/>
      <c r="M30" s="306">
        <f t="shared" si="8"/>
        <v>91004.714499999987</v>
      </c>
      <c r="N30" s="104">
        <f t="shared" si="8"/>
        <v>8.8724494979038688</v>
      </c>
      <c r="O30" s="104">
        <f t="shared" si="8"/>
        <v>8.1429661212891897</v>
      </c>
      <c r="P30" s="104">
        <f t="shared" si="8"/>
        <v>7.9754810198718822</v>
      </c>
      <c r="Q30" s="104">
        <f t="shared" si="8"/>
        <v>21.142105807272969</v>
      </c>
      <c r="R30" s="104">
        <f t="shared" si="8"/>
        <v>19.434286685654396</v>
      </c>
      <c r="S30" s="104">
        <f t="shared" si="8"/>
        <v>19.034560906615475</v>
      </c>
      <c r="T30" s="104">
        <f t="shared" si="8"/>
        <v>29.366255731625081</v>
      </c>
      <c r="U30" s="104">
        <f t="shared" si="8"/>
        <v>23.504669748438875</v>
      </c>
      <c r="V30" s="104">
        <f t="shared" si="8"/>
        <v>17.619692465096605</v>
      </c>
      <c r="W30" s="19"/>
      <c r="X30" s="356"/>
      <c r="Y30" s="356"/>
      <c r="Z30" s="19"/>
      <c r="AA30" s="19"/>
      <c r="AE30" s="209"/>
    </row>
    <row r="31" spans="1:33" ht="16" x14ac:dyDescent="0.4">
      <c r="B31" s="292" t="str">
        <f>INDEX(Pub_Comps_Range,MATCH(B$24,Pub_Comps_Params,0),MATCH($C31,Pub_Comps_Tickers,0))</f>
        <v>Broadcom Inc.</v>
      </c>
      <c r="C31" s="19" t="s">
        <v>210</v>
      </c>
      <c r="D31" s="292">
        <f>INDEX(Pub_Comps_Range,MATCH(D$24,Pub_Comps_Params,0),MATCH($C31,Pub_Comps_Tickers,0))</f>
        <v>164.23</v>
      </c>
      <c r="E31" s="292"/>
      <c r="F31" s="306">
        <f>INDEX(Pub_Comps_Range,MATCH(F$24,Pub_Comps_Params,0),MATCH($C31,Pub_Comps_Tickers,0))</f>
        <v>767184.02199999988</v>
      </c>
      <c r="G31" s="306"/>
      <c r="H31" s="306"/>
      <c r="I31" s="306"/>
      <c r="J31" s="306"/>
      <c r="K31" s="306"/>
      <c r="L31" s="306"/>
      <c r="M31" s="306">
        <f t="shared" si="8"/>
        <v>778424.02199999988</v>
      </c>
      <c r="N31" s="104">
        <f t="shared" si="8"/>
        <v>16.627662544056388</v>
      </c>
      <c r="O31" s="104">
        <f t="shared" si="8"/>
        <v>20.141013846752568</v>
      </c>
      <c r="P31" s="104">
        <f t="shared" si="8"/>
        <v>18.079904709831748</v>
      </c>
      <c r="Q31" s="104">
        <f t="shared" si="8"/>
        <v>48.304314117282026</v>
      </c>
      <c r="R31" s="104">
        <f t="shared" si="8"/>
        <v>60.302436666923853</v>
      </c>
      <c r="S31" s="104">
        <f t="shared" si="8"/>
        <v>54.131451227041161</v>
      </c>
      <c r="T31" s="104">
        <f t="shared" si="8"/>
        <v>54.429515572898183</v>
      </c>
      <c r="U31" s="104">
        <f t="shared" si="8"/>
        <v>44.473275885556603</v>
      </c>
      <c r="V31" s="104">
        <f t="shared" si="8"/>
        <v>43.261941522914974</v>
      </c>
      <c r="W31" s="19"/>
      <c r="X31" s="356"/>
      <c r="Y31" s="356"/>
      <c r="Z31" s="19"/>
      <c r="AA31" s="19"/>
      <c r="AE31" s="209"/>
    </row>
    <row r="32" spans="1:33" ht="16" x14ac:dyDescent="0.4">
      <c r="B32" s="292" t="str">
        <f>INDEX(Pub_Comps_Range,MATCH(B$24,Pub_Comps_Params,0),MATCH($C32,Pub_Comps_Tickers,0))</f>
        <v>Qualcomm Incorporated</v>
      </c>
      <c r="C32" s="19" t="s">
        <v>211</v>
      </c>
      <c r="D32" s="292">
        <f>INDEX(Pub_Comps_Range,MATCH(D$24,Pub_Comps_Params,0),MATCH($C32,Pub_Comps_Tickers,0))</f>
        <v>156.79</v>
      </c>
      <c r="E32" s="292"/>
      <c r="F32" s="306">
        <f>INDEX(Pub_Comps_Range,MATCH(F$24,Pub_Comps_Params,0),MATCH($C32,Pub_Comps_Tickers,0))</f>
        <v>186580.09999999998</v>
      </c>
      <c r="G32" s="306"/>
      <c r="H32" s="306"/>
      <c r="I32" s="306"/>
      <c r="J32" s="306"/>
      <c r="K32" s="306"/>
      <c r="L32" s="306"/>
      <c r="M32" s="306">
        <f t="shared" si="8"/>
        <v>190767.09999999998</v>
      </c>
      <c r="N32" s="104">
        <f t="shared" si="8"/>
        <v>4.8962347928751084</v>
      </c>
      <c r="O32" s="104">
        <f t="shared" si="8"/>
        <v>4.5377523566961155</v>
      </c>
      <c r="P32" s="104">
        <f t="shared" si="8"/>
        <v>4.0733863166033348</v>
      </c>
      <c r="Q32" s="104">
        <f t="shared" si="8"/>
        <v>16.277056313993171</v>
      </c>
      <c r="R32" s="104">
        <f t="shared" si="8"/>
        <v>15.075589224904039</v>
      </c>
      <c r="S32" s="104">
        <f t="shared" si="8"/>
        <v>13.532844905658918</v>
      </c>
      <c r="T32" s="104">
        <f t="shared" si="8"/>
        <v>25.799239491150438</v>
      </c>
      <c r="U32" s="104">
        <f t="shared" si="8"/>
        <v>21.060603666245253</v>
      </c>
      <c r="V32" s="104">
        <f t="shared" si="8"/>
        <v>20.48696854693118</v>
      </c>
      <c r="W32" s="19"/>
      <c r="X32" s="356"/>
      <c r="Y32" s="19"/>
      <c r="Z32" s="19"/>
      <c r="AA32" s="19"/>
      <c r="AE32" s="209"/>
    </row>
    <row r="33" spans="2:31" ht="16" x14ac:dyDescent="0.4">
      <c r="B33" s="19"/>
      <c r="C33" s="19"/>
      <c r="D33" s="310"/>
      <c r="E33" s="311"/>
      <c r="F33" s="123"/>
      <c r="G33" s="123"/>
      <c r="H33" s="123"/>
      <c r="I33" s="311"/>
      <c r="J33" s="311"/>
      <c r="K33" s="311"/>
      <c r="L33" s="311"/>
      <c r="M33" s="123"/>
      <c r="N33" s="104"/>
      <c r="O33" s="104"/>
      <c r="P33" s="104"/>
      <c r="Q33" s="104"/>
      <c r="R33" s="104"/>
      <c r="S33" s="104"/>
      <c r="T33" s="104"/>
      <c r="U33" s="104"/>
      <c r="V33" s="104"/>
      <c r="W33" s="19"/>
      <c r="X33" s="19"/>
      <c r="Y33" s="19"/>
      <c r="Z33" s="19"/>
      <c r="AA33" s="19"/>
      <c r="AD33" s="209"/>
      <c r="AE33" s="209"/>
    </row>
    <row r="34" spans="2:31" ht="16" x14ac:dyDescent="0.4"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E34" s="209"/>
    </row>
    <row r="35" spans="2:31" ht="16" x14ac:dyDescent="0.4">
      <c r="B35" s="315" t="s">
        <v>299</v>
      </c>
      <c r="C35" s="316"/>
      <c r="D35" s="317"/>
      <c r="E35" s="317"/>
      <c r="F35" s="318">
        <f>MAX(F28:F33)</f>
        <v>767184.02199999988</v>
      </c>
      <c r="G35" s="318"/>
      <c r="H35" s="318"/>
      <c r="I35" s="318"/>
      <c r="J35" s="318"/>
      <c r="K35" s="318"/>
      <c r="L35" s="318"/>
      <c r="M35" s="318">
        <f t="shared" ref="M35:V35" si="9">MAX(M28:M33)</f>
        <v>778424.02199999988</v>
      </c>
      <c r="N35" s="357">
        <f t="shared" si="9"/>
        <v>16.627662544056388</v>
      </c>
      <c r="O35" s="357">
        <f t="shared" si="9"/>
        <v>20.141013846752568</v>
      </c>
      <c r="P35" s="357">
        <f t="shared" si="9"/>
        <v>18.079904709831748</v>
      </c>
      <c r="Q35" s="357">
        <f t="shared" si="9"/>
        <v>48.304314117282026</v>
      </c>
      <c r="R35" s="357">
        <f t="shared" si="9"/>
        <v>60.302436666923853</v>
      </c>
      <c r="S35" s="357">
        <f t="shared" si="9"/>
        <v>54.131451227041161</v>
      </c>
      <c r="T35" s="357">
        <f t="shared" si="9"/>
        <v>54.429515572898183</v>
      </c>
      <c r="U35" s="357">
        <f t="shared" si="9"/>
        <v>44.473275885556603</v>
      </c>
      <c r="V35" s="358">
        <f t="shared" si="9"/>
        <v>43.261941522914974</v>
      </c>
      <c r="W35" s="19"/>
      <c r="X35" s="19"/>
      <c r="Y35" s="19"/>
      <c r="Z35" s="19"/>
      <c r="AA35" s="19"/>
      <c r="AE35" s="209"/>
    </row>
    <row r="36" spans="2:31" ht="16" x14ac:dyDescent="0.4">
      <c r="B36" s="321" t="s">
        <v>300</v>
      </c>
      <c r="C36" s="19"/>
      <c r="D36" s="322"/>
      <c r="E36" s="322"/>
      <c r="F36" s="323">
        <f>QUARTILE(F28:F33,3)</f>
        <v>265942.36239999998</v>
      </c>
      <c r="G36" s="323"/>
      <c r="H36" s="323"/>
      <c r="I36" s="323"/>
      <c r="J36" s="323"/>
      <c r="K36" s="323"/>
      <c r="L36" s="323"/>
      <c r="M36" s="323">
        <f t="shared" ref="M36:V36" si="10">QUARTILE(M28:M33,3)</f>
        <v>262061.16239999997</v>
      </c>
      <c r="N36" s="104">
        <f t="shared" si="10"/>
        <v>9.9878482506288577</v>
      </c>
      <c r="O36" s="104">
        <f t="shared" si="10"/>
        <v>8.1429661212891897</v>
      </c>
      <c r="P36" s="104">
        <f t="shared" si="10"/>
        <v>7.9754810198718822</v>
      </c>
      <c r="Q36" s="104">
        <f t="shared" si="10"/>
        <v>29.56032648641332</v>
      </c>
      <c r="R36" s="104">
        <f t="shared" si="10"/>
        <v>25.53507270733779</v>
      </c>
      <c r="S36" s="104">
        <f t="shared" si="10"/>
        <v>24.274727540299864</v>
      </c>
      <c r="T36" s="104">
        <f t="shared" si="10"/>
        <v>38.392141244405948</v>
      </c>
      <c r="U36" s="104">
        <f t="shared" si="10"/>
        <v>32.404996554122796</v>
      </c>
      <c r="V36" s="359">
        <f t="shared" si="10"/>
        <v>30.738295432637887</v>
      </c>
      <c r="W36" s="19"/>
      <c r="X36" s="19"/>
      <c r="Y36" s="19"/>
      <c r="Z36" s="19"/>
      <c r="AA36" s="19"/>
      <c r="AE36" s="209"/>
    </row>
    <row r="37" spans="2:31" ht="16" x14ac:dyDescent="0.4">
      <c r="B37" s="360" t="s">
        <v>301</v>
      </c>
      <c r="C37" s="361"/>
      <c r="D37" s="362"/>
      <c r="E37" s="362"/>
      <c r="F37" s="363">
        <f>MEDIAN(F28:F33)</f>
        <v>227377.62650000001</v>
      </c>
      <c r="G37" s="363"/>
      <c r="H37" s="363"/>
      <c r="I37" s="364"/>
      <c r="J37" s="364"/>
      <c r="K37" s="364"/>
      <c r="L37" s="364"/>
      <c r="M37" s="363">
        <f t="shared" ref="M37:V37" si="11">MEDIAN(M28:M33)</f>
        <v>223380.62650000001</v>
      </c>
      <c r="N37" s="365">
        <f t="shared" si="11"/>
        <v>8.8724494979038688</v>
      </c>
      <c r="O37" s="365">
        <f t="shared" si="11"/>
        <v>7.9193265879539423</v>
      </c>
      <c r="P37" s="365">
        <f t="shared" si="11"/>
        <v>7.5523444228602559</v>
      </c>
      <c r="Q37" s="365">
        <f t="shared" si="11"/>
        <v>27.046933829761475</v>
      </c>
      <c r="R37" s="365">
        <f t="shared" si="11"/>
        <v>22.686331853006102</v>
      </c>
      <c r="S37" s="365">
        <f t="shared" si="11"/>
        <v>20.032959706455678</v>
      </c>
      <c r="T37" s="365">
        <f t="shared" si="11"/>
        <v>31.681430472342207</v>
      </c>
      <c r="U37" s="365">
        <f t="shared" si="11"/>
        <v>27.085085705701577</v>
      </c>
      <c r="V37" s="366">
        <f t="shared" si="11"/>
        <v>23.917239424332969</v>
      </c>
      <c r="W37" s="19"/>
      <c r="X37" s="19"/>
      <c r="Y37" s="19"/>
      <c r="Z37" s="19"/>
      <c r="AA37" s="19"/>
      <c r="AD37" s="209"/>
      <c r="AE37" s="209"/>
    </row>
    <row r="38" spans="2:31" ht="16" x14ac:dyDescent="0.4">
      <c r="B38" s="321" t="s">
        <v>302</v>
      </c>
      <c r="C38" s="201"/>
      <c r="D38" s="322"/>
      <c r="E38" s="322"/>
      <c r="F38" s="323">
        <f>QUARTILE(F28:F33,1)</f>
        <v>186580.09999999998</v>
      </c>
      <c r="G38" s="323"/>
      <c r="H38" s="323"/>
      <c r="I38" s="323"/>
      <c r="J38" s="323"/>
      <c r="K38" s="323"/>
      <c r="L38" s="323"/>
      <c r="M38" s="323">
        <f t="shared" ref="M38:V38" si="12">QUARTILE(M28:M33,1)</f>
        <v>190767.09999999998</v>
      </c>
      <c r="N38" s="104">
        <f t="shared" si="12"/>
        <v>8.2197757764203718</v>
      </c>
      <c r="O38" s="104">
        <f t="shared" si="12"/>
        <v>7.7133528300220746</v>
      </c>
      <c r="P38" s="104">
        <f t="shared" si="12"/>
        <v>6.8112063001949315</v>
      </c>
      <c r="Q38" s="104">
        <f t="shared" si="12"/>
        <v>21.142105807272969</v>
      </c>
      <c r="R38" s="104">
        <f t="shared" si="12"/>
        <v>19.434286685654396</v>
      </c>
      <c r="S38" s="104">
        <f t="shared" si="12"/>
        <v>19.034560906615475</v>
      </c>
      <c r="T38" s="104">
        <f t="shared" si="12"/>
        <v>29.366255731625081</v>
      </c>
      <c r="U38" s="104">
        <f t="shared" si="12"/>
        <v>23.504669748438875</v>
      </c>
      <c r="V38" s="359">
        <f t="shared" si="12"/>
        <v>20.48696854693118</v>
      </c>
      <c r="W38" s="19"/>
      <c r="X38" s="19"/>
      <c r="Y38" s="19"/>
      <c r="Z38" s="19"/>
      <c r="AA38" s="19"/>
      <c r="AE38" s="209"/>
    </row>
    <row r="39" spans="2:31" ht="16" x14ac:dyDescent="0.4">
      <c r="B39" s="332" t="s">
        <v>303</v>
      </c>
      <c r="C39" s="333"/>
      <c r="D39" s="334"/>
      <c r="E39" s="334"/>
      <c r="F39" s="335">
        <f>MIN(F28:F33)</f>
        <v>87100.314499999993</v>
      </c>
      <c r="G39" s="335"/>
      <c r="H39" s="335"/>
      <c r="I39" s="335"/>
      <c r="J39" s="335"/>
      <c r="K39" s="335"/>
      <c r="L39" s="335"/>
      <c r="M39" s="335">
        <f t="shared" ref="M39:V39" si="13">MIN(M28:M33)</f>
        <v>91004.714499999987</v>
      </c>
      <c r="N39" s="367">
        <f t="shared" si="13"/>
        <v>4.8962347928751084</v>
      </c>
      <c r="O39" s="367">
        <f t="shared" si="13"/>
        <v>4.5377523566961155</v>
      </c>
      <c r="P39" s="367">
        <f t="shared" si="13"/>
        <v>4.0733863166033348</v>
      </c>
      <c r="Q39" s="367">
        <f t="shared" si="13"/>
        <v>16.277056313993171</v>
      </c>
      <c r="R39" s="367">
        <f t="shared" si="13"/>
        <v>15.075589224904039</v>
      </c>
      <c r="S39" s="367">
        <f t="shared" si="13"/>
        <v>13.532844905658918</v>
      </c>
      <c r="T39" s="367">
        <f t="shared" si="13"/>
        <v>25.799239491150438</v>
      </c>
      <c r="U39" s="367">
        <f t="shared" si="13"/>
        <v>21.060603666245253</v>
      </c>
      <c r="V39" s="368">
        <f t="shared" si="13"/>
        <v>17.619692465096605</v>
      </c>
      <c r="W39" s="19"/>
      <c r="X39" s="19"/>
      <c r="Y39" s="19"/>
      <c r="Z39" s="19"/>
      <c r="AA39" s="19"/>
      <c r="AE39" s="209"/>
    </row>
    <row r="40" spans="2:31" ht="16" x14ac:dyDescent="0.4"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E40" s="209"/>
    </row>
    <row r="41" spans="2:31" ht="16" x14ac:dyDescent="0.4">
      <c r="B41" s="369" t="str">
        <f>INDEX(Pub_Comps_Range,MATCH(B$24,Pub_Comps_Params,0),MATCH($C41,Pub_Comps_Tickers,0))</f>
        <v>Lam Research Corp.</v>
      </c>
      <c r="C41" s="340" t="str">
        <f>Ticker</f>
        <v>LRCX</v>
      </c>
      <c r="D41" s="370"/>
      <c r="E41" s="370"/>
      <c r="F41" s="341">
        <f>INDEX(Pub_Comps_Range,MATCH(F$24,Pub_Comps_Params,0),MATCH($C41,Pub_Comps_Tickers,0))</f>
        <v>94642.456099999996</v>
      </c>
      <c r="G41" s="341"/>
      <c r="H41" s="341"/>
      <c r="I41" s="341"/>
      <c r="J41" s="341"/>
      <c r="K41" s="341"/>
      <c r="L41" s="341"/>
      <c r="M41" s="341">
        <f t="shared" ref="M41:V41" si="14">INDEX(Pub_Comps_Range,MATCH(M$24,Pub_Comps_Params,0),MATCH($C41,Pub_Comps_Tickers,0))</f>
        <v>90986.456099999996</v>
      </c>
      <c r="N41" s="371">
        <f t="shared" si="14"/>
        <v>5.8357121847284263</v>
      </c>
      <c r="O41" s="371">
        <f t="shared" si="14"/>
        <v>5.5746678366634068</v>
      </c>
      <c r="P41" s="371">
        <f t="shared" si="14"/>
        <v>5.0910208554003713</v>
      </c>
      <c r="Q41" s="371">
        <f t="shared" si="14"/>
        <v>18.303451237175619</v>
      </c>
      <c r="R41" s="371">
        <f t="shared" si="14"/>
        <v>17.420836989573147</v>
      </c>
      <c r="S41" s="371">
        <f t="shared" si="14"/>
        <v>15.909440173126161</v>
      </c>
      <c r="T41" s="371">
        <f t="shared" si="14"/>
        <v>23.328187355188561</v>
      </c>
      <c r="U41" s="371">
        <f t="shared" si="14"/>
        <v>21.763850892055572</v>
      </c>
      <c r="V41" s="372">
        <f t="shared" si="14"/>
        <v>19.158319447232014</v>
      </c>
      <c r="W41" s="19"/>
      <c r="X41" s="19"/>
      <c r="Y41" s="19"/>
      <c r="Z41" s="19"/>
      <c r="AA41" s="19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170DA-9F46-4EBC-93AE-D6468C935845}">
  <dimension ref="B3:AH104"/>
  <sheetViews>
    <sheetView showGridLines="0" workbookViewId="0">
      <pane xSplit="4" ySplit="6" topLeftCell="AG7" activePane="bottomRight" state="frozen"/>
      <selection pane="topRight" activeCell="E1" sqref="E1"/>
      <selection pane="bottomLeft" activeCell="A7" sqref="A7"/>
      <selection pane="bottomRight" activeCell="C3" sqref="C3:AG3"/>
    </sheetView>
  </sheetViews>
  <sheetFormatPr defaultRowHeight="14.5" x14ac:dyDescent="0.35"/>
  <cols>
    <col min="3" max="3" width="24.81640625" customWidth="1"/>
    <col min="5" max="7" width="11.54296875" bestFit="1" customWidth="1"/>
    <col min="8" max="8" width="12.7265625" bestFit="1" customWidth="1"/>
    <col min="9" max="11" width="13.7265625" bestFit="1" customWidth="1"/>
    <col min="12" max="12" width="11.54296875" bestFit="1" customWidth="1"/>
    <col min="13" max="13" width="13.26953125" bestFit="1" customWidth="1"/>
    <col min="14" max="14" width="13.7265625" bestFit="1" customWidth="1"/>
    <col min="15" max="17" width="11.54296875" bestFit="1" customWidth="1"/>
    <col min="18" max="18" width="14.26953125" bestFit="1" customWidth="1"/>
    <col min="19" max="19" width="13.7265625" bestFit="1" customWidth="1"/>
    <col min="20" max="22" width="11.54296875" bestFit="1" customWidth="1"/>
    <col min="23" max="23" width="18.453125" bestFit="1" customWidth="1"/>
    <col min="24" max="24" width="13.7265625" bestFit="1" customWidth="1"/>
    <col min="25" max="28" width="11.54296875" bestFit="1" customWidth="1"/>
    <col min="30" max="33" width="11.54296875" bestFit="1" customWidth="1"/>
    <col min="34" max="34" width="10.453125" bestFit="1" customWidth="1"/>
  </cols>
  <sheetData>
    <row r="3" spans="2:34" ht="16" x14ac:dyDescent="0.4">
      <c r="B3" s="203"/>
      <c r="C3" s="204" t="s">
        <v>21</v>
      </c>
      <c r="D3" s="205"/>
      <c r="E3" s="206"/>
      <c r="F3" s="206"/>
      <c r="G3" s="207"/>
      <c r="H3" s="208" t="s">
        <v>40</v>
      </c>
      <c r="I3" s="209"/>
      <c r="J3" s="206"/>
      <c r="K3" s="206"/>
      <c r="L3" s="207"/>
      <c r="M3" s="208" t="s">
        <v>208</v>
      </c>
      <c r="N3" s="209"/>
      <c r="O3" s="206"/>
      <c r="P3" s="206"/>
      <c r="Q3" s="207"/>
      <c r="R3" s="208" t="s">
        <v>209</v>
      </c>
      <c r="S3" s="209"/>
      <c r="T3" s="206"/>
      <c r="U3" s="206"/>
      <c r="V3" s="207"/>
      <c r="W3" s="208" t="s">
        <v>210</v>
      </c>
      <c r="X3" s="209"/>
      <c r="Y3" s="206"/>
      <c r="Z3" s="206"/>
      <c r="AA3" s="207"/>
      <c r="AB3" s="208" t="s">
        <v>211</v>
      </c>
      <c r="AC3" s="209"/>
      <c r="AD3" s="206"/>
      <c r="AE3" s="206"/>
      <c r="AF3" s="207"/>
      <c r="AG3" s="208" t="s">
        <v>212</v>
      </c>
      <c r="AH3" s="210"/>
    </row>
    <row r="4" spans="2:34" ht="16" x14ac:dyDescent="0.4">
      <c r="B4" s="203"/>
      <c r="C4" s="204" t="s">
        <v>18</v>
      </c>
      <c r="D4" s="205"/>
      <c r="E4" s="206"/>
      <c r="F4" s="206"/>
      <c r="G4" s="207"/>
      <c r="H4" s="211" t="s">
        <v>213</v>
      </c>
      <c r="I4" s="209"/>
      <c r="J4" s="206"/>
      <c r="K4" s="206"/>
      <c r="L4" s="207"/>
      <c r="M4" s="211" t="s">
        <v>214</v>
      </c>
      <c r="N4" s="209"/>
      <c r="O4" s="206"/>
      <c r="P4" s="206"/>
      <c r="Q4" s="207"/>
      <c r="R4" s="211" t="s">
        <v>215</v>
      </c>
      <c r="S4" s="209"/>
      <c r="T4" s="206"/>
      <c r="U4" s="206"/>
      <c r="V4" s="207"/>
      <c r="W4" s="211" t="s">
        <v>216</v>
      </c>
      <c r="X4" s="209"/>
      <c r="Y4" s="206"/>
      <c r="Z4" s="206"/>
      <c r="AA4" s="207"/>
      <c r="AB4" s="211" t="s">
        <v>217</v>
      </c>
      <c r="AC4" s="209"/>
      <c r="AD4" s="206"/>
      <c r="AE4" s="206"/>
      <c r="AF4" s="207"/>
      <c r="AG4" s="211" t="s">
        <v>218</v>
      </c>
      <c r="AH4" s="212"/>
    </row>
    <row r="5" spans="2:34" ht="16" x14ac:dyDescent="0.4">
      <c r="B5" s="203"/>
      <c r="C5" s="205"/>
      <c r="D5" s="205"/>
      <c r="E5" s="213" t="s">
        <v>219</v>
      </c>
      <c r="F5" s="214"/>
      <c r="G5" s="214"/>
      <c r="H5" s="214"/>
      <c r="I5" s="209"/>
      <c r="J5" s="213" t="s">
        <v>219</v>
      </c>
      <c r="K5" s="214"/>
      <c r="L5" s="214"/>
      <c r="M5" s="214"/>
      <c r="N5" s="209"/>
      <c r="O5" s="213" t="s">
        <v>219</v>
      </c>
      <c r="P5" s="214"/>
      <c r="Q5" s="214"/>
      <c r="R5" s="214"/>
      <c r="S5" s="209"/>
      <c r="T5" s="213" t="s">
        <v>219</v>
      </c>
      <c r="U5" s="214"/>
      <c r="V5" s="214"/>
      <c r="W5" s="214"/>
      <c r="X5" s="209"/>
      <c r="Y5" s="213" t="s">
        <v>219</v>
      </c>
      <c r="Z5" s="214"/>
      <c r="AA5" s="214"/>
      <c r="AB5" s="214"/>
      <c r="AC5" s="209"/>
      <c r="AD5" s="213" t="s">
        <v>219</v>
      </c>
      <c r="AE5" s="214"/>
      <c r="AF5" s="214"/>
      <c r="AG5" s="214"/>
      <c r="AH5" s="215"/>
    </row>
    <row r="6" spans="2:34" ht="16" x14ac:dyDescent="0.4">
      <c r="B6" s="203"/>
      <c r="C6" s="205"/>
      <c r="D6" s="205"/>
      <c r="E6" s="216">
        <v>45193</v>
      </c>
      <c r="F6" s="216">
        <v>45559</v>
      </c>
      <c r="G6" s="216">
        <v>45473</v>
      </c>
      <c r="H6" s="216">
        <f>+F6</f>
        <v>45559</v>
      </c>
      <c r="I6" s="209"/>
      <c r="J6" s="216">
        <v>45193</v>
      </c>
      <c r="K6" s="216">
        <v>45559</v>
      </c>
      <c r="L6" s="216">
        <v>45473</v>
      </c>
      <c r="M6" s="216">
        <f>+K6</f>
        <v>45559</v>
      </c>
      <c r="N6" s="209"/>
      <c r="O6" s="216">
        <v>45199</v>
      </c>
      <c r="P6" s="216">
        <v>45565</v>
      </c>
      <c r="Q6" s="216">
        <v>45473</v>
      </c>
      <c r="R6" s="216">
        <f>+P6</f>
        <v>45565</v>
      </c>
      <c r="S6" s="209"/>
      <c r="T6" s="216">
        <v>45137</v>
      </c>
      <c r="U6" s="216">
        <v>45390</v>
      </c>
      <c r="V6" s="216">
        <v>45594</v>
      </c>
      <c r="W6" s="216">
        <f>+U6</f>
        <v>45390</v>
      </c>
      <c r="X6" s="209"/>
      <c r="Y6" s="216" t="s">
        <v>220</v>
      </c>
      <c r="Z6" s="216" t="s">
        <v>220</v>
      </c>
      <c r="AA6" s="216">
        <v>45564</v>
      </c>
      <c r="AB6" s="216">
        <v>45564</v>
      </c>
      <c r="AC6" s="209"/>
      <c r="AD6" s="216" t="s">
        <v>220</v>
      </c>
      <c r="AE6" s="216" t="s">
        <v>220</v>
      </c>
      <c r="AF6" s="216">
        <v>45610</v>
      </c>
      <c r="AG6" s="216">
        <v>45610</v>
      </c>
      <c r="AH6" s="217"/>
    </row>
    <row r="7" spans="2:34" ht="16" x14ac:dyDescent="0.4">
      <c r="B7" s="203"/>
      <c r="C7" s="205"/>
      <c r="D7" s="205"/>
      <c r="E7" s="218" t="s">
        <v>221</v>
      </c>
      <c r="F7" s="218" t="s">
        <v>222</v>
      </c>
      <c r="G7" s="218" t="s">
        <v>223</v>
      </c>
      <c r="H7" s="218" t="s">
        <v>224</v>
      </c>
      <c r="I7" s="209"/>
      <c r="J7" s="219" t="s">
        <v>221</v>
      </c>
      <c r="K7" s="219" t="s">
        <v>222</v>
      </c>
      <c r="L7" s="219" t="s">
        <v>223</v>
      </c>
      <c r="M7" s="219" t="s">
        <v>224</v>
      </c>
      <c r="N7" s="209"/>
      <c r="O7" s="219" t="s">
        <v>221</v>
      </c>
      <c r="P7" s="219" t="s">
        <v>222</v>
      </c>
      <c r="Q7" s="219" t="s">
        <v>223</v>
      </c>
      <c r="R7" s="219" t="s">
        <v>224</v>
      </c>
      <c r="S7" s="209"/>
      <c r="T7" s="219" t="s">
        <v>221</v>
      </c>
      <c r="U7" s="219" t="s">
        <v>222</v>
      </c>
      <c r="V7" s="219" t="s">
        <v>223</v>
      </c>
      <c r="W7" s="219" t="s">
        <v>224</v>
      </c>
      <c r="X7" s="209"/>
      <c r="Y7" s="219" t="s">
        <v>221</v>
      </c>
      <c r="Z7" s="219" t="s">
        <v>222</v>
      </c>
      <c r="AA7" s="219" t="s">
        <v>223</v>
      </c>
      <c r="AB7" s="219" t="s">
        <v>224</v>
      </c>
      <c r="AC7" s="209"/>
      <c r="AD7" s="219" t="s">
        <v>221</v>
      </c>
      <c r="AE7" s="219" t="s">
        <v>222</v>
      </c>
      <c r="AF7" s="219" t="s">
        <v>223</v>
      </c>
      <c r="AG7" s="219" t="s">
        <v>224</v>
      </c>
      <c r="AH7" s="219"/>
    </row>
    <row r="8" spans="2:34" ht="16" x14ac:dyDescent="0.4">
      <c r="B8" s="203"/>
      <c r="C8" s="204" t="s">
        <v>225</v>
      </c>
      <c r="D8" s="205"/>
      <c r="E8" s="220">
        <v>3482.06</v>
      </c>
      <c r="F8" s="220">
        <v>4167.9799999999996</v>
      </c>
      <c r="G8" s="220">
        <v>14905.4</v>
      </c>
      <c r="H8" s="221">
        <f>G8+F8-E8</f>
        <v>15591.319999999998</v>
      </c>
      <c r="I8" s="209"/>
      <c r="J8" s="220">
        <v>20321</v>
      </c>
      <c r="K8" s="220">
        <v>19000</v>
      </c>
      <c r="L8" s="220">
        <v>27559</v>
      </c>
      <c r="M8" s="222">
        <f>L8+K8-J8</f>
        <v>26238</v>
      </c>
      <c r="N8" s="209"/>
      <c r="O8" s="220">
        <v>2396</v>
      </c>
      <c r="P8" s="220">
        <v>2841</v>
      </c>
      <c r="Q8" s="220">
        <v>9812</v>
      </c>
      <c r="R8" s="221">
        <f t="shared" ref="R8:R13" si="0">+Q8+P8-O8</f>
        <v>10257</v>
      </c>
      <c r="S8" s="209"/>
      <c r="T8" s="220">
        <v>26524</v>
      </c>
      <c r="U8" s="220">
        <v>37520</v>
      </c>
      <c r="V8" s="220">
        <f>35819</f>
        <v>35819</v>
      </c>
      <c r="W8" s="221">
        <f t="shared" ref="W8:W13" si="1">+V8+U8-T8</f>
        <v>46815</v>
      </c>
      <c r="X8" s="209"/>
      <c r="Y8" s="220"/>
      <c r="Z8" s="220"/>
      <c r="AA8" s="220">
        <v>38962</v>
      </c>
      <c r="AB8" s="221">
        <f t="shared" ref="AB8" si="2">+AA8+Z8-Y8</f>
        <v>38962</v>
      </c>
      <c r="AC8" s="209"/>
      <c r="AD8" s="220"/>
      <c r="AE8" s="220"/>
      <c r="AF8" s="220">
        <v>27176</v>
      </c>
      <c r="AG8" s="221">
        <f t="shared" ref="AG8" si="3">+AF8+AE8-AD8</f>
        <v>27176</v>
      </c>
      <c r="AH8" s="221"/>
    </row>
    <row r="9" spans="2:34" ht="16" x14ac:dyDescent="0.4">
      <c r="B9" s="203"/>
      <c r="C9" s="223" t="s">
        <v>226</v>
      </c>
      <c r="D9" s="224"/>
      <c r="E9" s="220">
        <v>887</v>
      </c>
      <c r="F9" s="220">
        <v>1116</v>
      </c>
      <c r="G9" s="220">
        <v>3828</v>
      </c>
      <c r="H9" s="225">
        <f>G9+F9-E9</f>
        <v>4057</v>
      </c>
      <c r="I9" s="209"/>
      <c r="J9" s="220">
        <v>5790</v>
      </c>
      <c r="K9" s="220">
        <v>4878</v>
      </c>
      <c r="L9" s="220">
        <v>7839</v>
      </c>
      <c r="M9" s="226">
        <f>L9+K9-J9</f>
        <v>6927</v>
      </c>
      <c r="N9" s="209"/>
      <c r="O9" s="220">
        <v>741</v>
      </c>
      <c r="P9" s="220">
        <v>945</v>
      </c>
      <c r="Q9" s="220">
        <v>2762</v>
      </c>
      <c r="R9" s="225">
        <f>+Q9+P9-O9</f>
        <v>2966</v>
      </c>
      <c r="S9" s="209"/>
      <c r="T9" s="220">
        <v>10558</v>
      </c>
      <c r="U9" s="220">
        <v>10571</v>
      </c>
      <c r="V9" s="220">
        <v>14082</v>
      </c>
      <c r="W9" s="225">
        <f>+V9+U9-T9</f>
        <v>14095</v>
      </c>
      <c r="X9" s="209"/>
      <c r="Y9" s="220"/>
      <c r="Z9" s="220"/>
      <c r="AA9" s="220">
        <v>7232</v>
      </c>
      <c r="AB9" s="225">
        <f>+AA9+Z9-Y9</f>
        <v>7232</v>
      </c>
      <c r="AC9" s="209"/>
      <c r="AD9" s="220"/>
      <c r="AE9" s="220"/>
      <c r="AF9" s="220">
        <v>7177</v>
      </c>
      <c r="AG9" s="225">
        <v>7177</v>
      </c>
      <c r="AH9" s="225"/>
    </row>
    <row r="10" spans="2:34" ht="16" x14ac:dyDescent="0.4">
      <c r="B10" s="203"/>
      <c r="C10" s="205"/>
      <c r="D10" s="205"/>
      <c r="E10" s="227"/>
      <c r="F10" s="227"/>
      <c r="G10" s="227"/>
      <c r="H10" s="227"/>
      <c r="I10" s="209"/>
      <c r="J10" s="228"/>
      <c r="K10" s="228"/>
      <c r="L10" s="228"/>
      <c r="M10" s="228"/>
      <c r="N10" s="209"/>
      <c r="O10" s="228"/>
      <c r="P10" s="228"/>
      <c r="Q10" s="228"/>
      <c r="R10" s="228"/>
      <c r="S10" s="209"/>
      <c r="T10" s="228"/>
      <c r="U10" s="228"/>
      <c r="V10" s="228"/>
      <c r="W10" s="228"/>
      <c r="X10" s="209"/>
      <c r="Y10" s="228"/>
      <c r="Z10" s="228"/>
      <c r="AA10" s="228"/>
      <c r="AB10" s="228"/>
      <c r="AC10" s="209"/>
      <c r="AD10" s="228"/>
      <c r="AE10" s="228"/>
      <c r="AF10" s="220"/>
      <c r="AG10" s="228"/>
      <c r="AH10" s="228"/>
    </row>
    <row r="11" spans="2:34" ht="16" x14ac:dyDescent="0.4">
      <c r="B11" s="203"/>
      <c r="C11" s="204" t="s">
        <v>227</v>
      </c>
      <c r="D11" s="205"/>
      <c r="E11" s="220">
        <v>1033</v>
      </c>
      <c r="F11" s="220">
        <v>1264</v>
      </c>
      <c r="G11" s="220">
        <v>4325</v>
      </c>
      <c r="H11" s="225">
        <f t="shared" ref="H11:H13" si="4">G11+F11-E11</f>
        <v>4556</v>
      </c>
      <c r="I11" s="209"/>
      <c r="J11" s="220">
        <v>6650</v>
      </c>
      <c r="K11" s="220">
        <v>5667</v>
      </c>
      <c r="L11" s="220">
        <v>9042</v>
      </c>
      <c r="M11" s="226">
        <f>L11+K11-J11</f>
        <v>8059</v>
      </c>
      <c r="N11" s="209"/>
      <c r="O11" s="220">
        <v>899</v>
      </c>
      <c r="P11" s="220">
        <v>1119</v>
      </c>
      <c r="Q11" s="220">
        <v>3633</v>
      </c>
      <c r="R11" s="225">
        <f t="shared" si="0"/>
        <v>3853</v>
      </c>
      <c r="S11" s="209"/>
      <c r="T11" s="220">
        <v>12201</v>
      </c>
      <c r="U11" s="220">
        <v>10506</v>
      </c>
      <c r="V11" s="220">
        <v>16454</v>
      </c>
      <c r="W11" s="225">
        <f t="shared" si="1"/>
        <v>14759</v>
      </c>
      <c r="X11" s="209"/>
      <c r="Y11" s="220"/>
      <c r="Z11" s="220"/>
      <c r="AA11" s="220">
        <v>10253</v>
      </c>
      <c r="AB11" s="225">
        <f t="shared" ref="AB11:AB13" si="5">+AA11+Z11-Y11</f>
        <v>10253</v>
      </c>
      <c r="AC11" s="209"/>
      <c r="AD11" s="220"/>
      <c r="AE11" s="220"/>
      <c r="AF11" s="220">
        <v>7867</v>
      </c>
      <c r="AG11" s="225">
        <f t="shared" ref="AG11:AG13" si="6">+AF11+AE11-AD11</f>
        <v>7867</v>
      </c>
      <c r="AH11" s="225"/>
    </row>
    <row r="12" spans="2:34" ht="16" x14ac:dyDescent="0.4">
      <c r="B12" s="203"/>
      <c r="C12" s="229" t="s">
        <v>228</v>
      </c>
      <c r="D12" s="224"/>
      <c r="E12" s="220">
        <v>10</v>
      </c>
      <c r="F12" s="220">
        <v>0</v>
      </c>
      <c r="G12" s="220">
        <v>61.5</v>
      </c>
      <c r="H12" s="225">
        <f t="shared" si="4"/>
        <v>51.5</v>
      </c>
      <c r="I12" s="209"/>
      <c r="J12" s="220">
        <v>0</v>
      </c>
      <c r="K12" s="220">
        <v>0</v>
      </c>
      <c r="L12" s="220">
        <v>0</v>
      </c>
      <c r="M12" s="225"/>
      <c r="N12" s="209"/>
      <c r="O12" s="220">
        <v>0</v>
      </c>
      <c r="P12" s="220">
        <v>0</v>
      </c>
      <c r="Q12" s="220">
        <f>3479-3190</f>
        <v>289</v>
      </c>
      <c r="R12" s="225">
        <f t="shared" si="0"/>
        <v>289</v>
      </c>
      <c r="S12" s="209"/>
      <c r="T12" s="220">
        <f>11364-10120</f>
        <v>1244</v>
      </c>
      <c r="U12" s="220">
        <f>7823-6153</f>
        <v>1670</v>
      </c>
      <c r="V12" s="220">
        <f>15334-15097</f>
        <v>237</v>
      </c>
      <c r="W12" s="225">
        <f t="shared" si="1"/>
        <v>663</v>
      </c>
      <c r="X12" s="209"/>
      <c r="Y12" s="220"/>
      <c r="Z12" s="220"/>
      <c r="AA12" s="220">
        <f>10408-10336</f>
        <v>72</v>
      </c>
      <c r="AB12" s="225">
        <f t="shared" si="5"/>
        <v>72</v>
      </c>
      <c r="AC12" s="209"/>
      <c r="AD12" s="220"/>
      <c r="AE12" s="220"/>
      <c r="AF12" s="220">
        <v>0</v>
      </c>
      <c r="AG12" s="225">
        <f t="shared" si="6"/>
        <v>0</v>
      </c>
      <c r="AH12" s="225"/>
    </row>
    <row r="13" spans="2:34" ht="16" x14ac:dyDescent="0.4">
      <c r="B13" s="203"/>
      <c r="C13" s="229" t="s">
        <v>229</v>
      </c>
      <c r="D13" s="224"/>
      <c r="E13" s="220">
        <v>90.5</v>
      </c>
      <c r="F13" s="220">
        <v>94.3</v>
      </c>
      <c r="G13" s="220">
        <v>359.7</v>
      </c>
      <c r="H13" s="230">
        <f t="shared" si="4"/>
        <v>363.5</v>
      </c>
      <c r="I13" s="141"/>
      <c r="J13" s="220">
        <v>527.70000000000005</v>
      </c>
      <c r="K13" s="220">
        <v>677.6</v>
      </c>
      <c r="L13" s="220">
        <v>656.4</v>
      </c>
      <c r="M13" s="231">
        <f>L13+K13-J13</f>
        <v>806.3</v>
      </c>
      <c r="N13" s="209"/>
      <c r="O13" s="220">
        <v>39.1</v>
      </c>
      <c r="P13" s="220">
        <v>39.07</v>
      </c>
      <c r="Q13" s="220">
        <v>162.46</v>
      </c>
      <c r="R13" s="230">
        <f t="shared" si="0"/>
        <v>162.43</v>
      </c>
      <c r="S13" s="209"/>
      <c r="T13" s="220">
        <v>442</v>
      </c>
      <c r="U13" s="220">
        <v>547</v>
      </c>
      <c r="V13" s="220">
        <v>588</v>
      </c>
      <c r="W13" s="230">
        <f t="shared" si="1"/>
        <v>693</v>
      </c>
      <c r="X13" s="209"/>
      <c r="Y13" s="220"/>
      <c r="Z13" s="220"/>
      <c r="AA13" s="220">
        <v>1395</v>
      </c>
      <c r="AB13" s="230">
        <f t="shared" si="5"/>
        <v>1395</v>
      </c>
      <c r="AC13" s="209"/>
      <c r="AD13" s="220"/>
      <c r="AE13" s="220"/>
      <c r="AF13" s="220">
        <v>392</v>
      </c>
      <c r="AG13" s="230">
        <f t="shared" si="6"/>
        <v>392</v>
      </c>
      <c r="AH13" s="225"/>
    </row>
    <row r="14" spans="2:34" ht="16" x14ac:dyDescent="0.4">
      <c r="B14" s="203"/>
      <c r="C14" s="232" t="s">
        <v>230</v>
      </c>
      <c r="D14" s="233"/>
      <c r="E14" s="234"/>
      <c r="F14" s="234"/>
      <c r="G14" s="234"/>
      <c r="H14" s="235">
        <f>SUM(H11:H13)</f>
        <v>4971</v>
      </c>
      <c r="I14" s="141"/>
      <c r="J14" s="234"/>
      <c r="K14" s="234"/>
      <c r="L14" s="234"/>
      <c r="M14" s="236">
        <f>SUM(M11:M13)</f>
        <v>8865.2999999999993</v>
      </c>
      <c r="N14" s="209"/>
      <c r="O14" s="234"/>
      <c r="P14" s="234"/>
      <c r="Q14" s="234"/>
      <c r="R14" s="235">
        <f>SUM(R11:R13)</f>
        <v>4304.43</v>
      </c>
      <c r="S14" s="209"/>
      <c r="T14" s="234"/>
      <c r="U14" s="234"/>
      <c r="V14" s="234"/>
      <c r="W14" s="235">
        <f>SUM(W11:W13)</f>
        <v>16115</v>
      </c>
      <c r="X14" s="209"/>
      <c r="Y14" s="234"/>
      <c r="Z14" s="234"/>
      <c r="AA14" s="234"/>
      <c r="AB14" s="235">
        <f>SUM(AB11:AB13)</f>
        <v>11720</v>
      </c>
      <c r="AC14" s="209"/>
      <c r="AD14" s="234"/>
      <c r="AE14" s="234"/>
      <c r="AF14" s="234"/>
      <c r="AG14" s="235">
        <f>SUM(AG11:AG13)</f>
        <v>8259</v>
      </c>
      <c r="AH14" s="235"/>
    </row>
    <row r="15" spans="2:34" ht="16" x14ac:dyDescent="0.4">
      <c r="B15" s="203"/>
      <c r="C15" s="237"/>
      <c r="D15" s="224"/>
      <c r="E15" s="238"/>
      <c r="F15" s="238"/>
      <c r="G15" s="238"/>
      <c r="H15" s="238"/>
      <c r="I15" s="209"/>
      <c r="J15" s="238"/>
      <c r="K15" s="238"/>
      <c r="L15" s="238"/>
      <c r="M15" s="238"/>
      <c r="N15" s="209"/>
      <c r="O15" s="238"/>
      <c r="P15" s="238"/>
      <c r="Q15" s="238"/>
      <c r="R15" s="238"/>
      <c r="S15" s="209"/>
      <c r="T15" s="238"/>
      <c r="U15" s="238"/>
      <c r="V15" s="238"/>
      <c r="W15" s="238"/>
      <c r="X15" s="209"/>
      <c r="Y15" s="238"/>
      <c r="Z15" s="238"/>
      <c r="AA15" s="238"/>
      <c r="AB15" s="238"/>
      <c r="AC15" s="209"/>
      <c r="AD15" s="238"/>
      <c r="AE15" s="238"/>
      <c r="AF15" s="238"/>
      <c r="AG15" s="238"/>
      <c r="AH15" s="238"/>
    </row>
    <row r="16" spans="2:34" ht="16" x14ac:dyDescent="0.4">
      <c r="B16" s="203"/>
      <c r="C16" s="204" t="s">
        <v>29</v>
      </c>
      <c r="D16" s="205"/>
      <c r="E16" s="239"/>
      <c r="F16" s="239"/>
      <c r="G16" s="239"/>
      <c r="H16" s="240">
        <f>532.5/4360.2</f>
        <v>0.12212742534746113</v>
      </c>
      <c r="I16" s="209"/>
      <c r="J16" s="239"/>
      <c r="K16" s="239"/>
      <c r="L16" s="239"/>
      <c r="M16" s="240">
        <f>1342.4/8268.7</f>
        <v>0.1623471646087051</v>
      </c>
      <c r="N16" s="241"/>
      <c r="O16" s="239"/>
      <c r="P16" s="239"/>
      <c r="Q16" s="239"/>
      <c r="R16" s="240">
        <f>450.6/3417</f>
        <v>0.13187006145741881</v>
      </c>
      <c r="S16" s="209"/>
      <c r="T16" s="239"/>
      <c r="U16" s="239"/>
      <c r="V16" s="239"/>
      <c r="W16" s="240">
        <f>4633/11793</f>
        <v>0.39286017128805223</v>
      </c>
      <c r="X16" s="209"/>
      <c r="Y16" s="239"/>
      <c r="Z16" s="239"/>
      <c r="AA16" s="239"/>
      <c r="AB16" s="240">
        <f>226/10336</f>
        <v>2.186532507739938E-2</v>
      </c>
      <c r="AC16" s="209"/>
      <c r="AD16" s="239"/>
      <c r="AE16" s="239"/>
      <c r="AF16" s="239"/>
      <c r="AG16" s="240">
        <f>975/8152</f>
        <v>0.11960255152109912</v>
      </c>
      <c r="AH16" s="240"/>
    </row>
    <row r="17" spans="2:34" ht="16" x14ac:dyDescent="0.4">
      <c r="B17" s="203"/>
      <c r="C17" s="205"/>
      <c r="D17" s="205"/>
      <c r="E17" s="205"/>
      <c r="F17" s="205"/>
      <c r="G17" s="242"/>
      <c r="H17" s="239"/>
      <c r="I17" s="209"/>
      <c r="J17" s="205"/>
      <c r="K17" s="205"/>
      <c r="L17" s="242"/>
      <c r="M17" s="239"/>
      <c r="N17" s="209"/>
      <c r="O17" s="205"/>
      <c r="P17" s="205"/>
      <c r="Q17" s="242"/>
      <c r="R17" s="239"/>
      <c r="S17" s="209"/>
      <c r="T17" s="205"/>
      <c r="U17" s="205"/>
      <c r="V17" s="242"/>
      <c r="W17" s="239"/>
      <c r="X17" s="209"/>
      <c r="Y17" s="205"/>
      <c r="Z17" s="205"/>
      <c r="AA17" s="242"/>
      <c r="AB17" s="239"/>
      <c r="AC17" s="209"/>
      <c r="AD17" s="205"/>
      <c r="AE17" s="205"/>
      <c r="AF17" s="242"/>
      <c r="AG17" s="239"/>
      <c r="AH17" s="239"/>
    </row>
    <row r="18" spans="2:34" ht="16" x14ac:dyDescent="0.4">
      <c r="B18" s="203"/>
      <c r="C18" s="224"/>
      <c r="D18" s="224"/>
      <c r="E18" s="243" t="s">
        <v>231</v>
      </c>
      <c r="F18" s="244"/>
      <c r="G18" s="244"/>
      <c r="H18" s="244"/>
      <c r="I18" s="209"/>
      <c r="J18" s="243" t="s">
        <v>231</v>
      </c>
      <c r="K18" s="244"/>
      <c r="L18" s="244"/>
      <c r="M18" s="244"/>
      <c r="N18" s="209"/>
      <c r="O18" s="243" t="s">
        <v>231</v>
      </c>
      <c r="P18" s="244"/>
      <c r="Q18" s="244"/>
      <c r="R18" s="244"/>
      <c r="S18" s="209"/>
      <c r="T18" s="243" t="s">
        <v>231</v>
      </c>
      <c r="U18" s="244"/>
      <c r="V18" s="244"/>
      <c r="W18" s="244"/>
      <c r="X18" s="209"/>
      <c r="Y18" s="243" t="s">
        <v>231</v>
      </c>
      <c r="Z18" s="244"/>
      <c r="AA18" s="244"/>
      <c r="AB18" s="244"/>
      <c r="AC18" s="209"/>
      <c r="AD18" s="243" t="s">
        <v>231</v>
      </c>
      <c r="AE18" s="244"/>
      <c r="AF18" s="244"/>
      <c r="AG18" s="244"/>
      <c r="AH18" s="245"/>
    </row>
    <row r="19" spans="2:34" ht="16" x14ac:dyDescent="0.4">
      <c r="B19" s="203"/>
      <c r="C19" s="223" t="s">
        <v>232</v>
      </c>
      <c r="D19" s="237"/>
      <c r="E19" s="246"/>
      <c r="F19" s="247"/>
      <c r="G19" s="247"/>
      <c r="H19" s="248">
        <v>-6067.5</v>
      </c>
      <c r="I19" s="209"/>
      <c r="J19" s="246"/>
      <c r="K19" s="247"/>
      <c r="L19" s="247"/>
      <c r="M19" s="248">
        <v>-7004</v>
      </c>
      <c r="N19" s="209"/>
      <c r="O19" s="246"/>
      <c r="P19" s="247"/>
      <c r="Q19" s="247"/>
      <c r="R19" s="221">
        <v>-1977</v>
      </c>
      <c r="S19" s="209"/>
      <c r="T19" s="246"/>
      <c r="U19" s="247"/>
      <c r="V19" s="247"/>
      <c r="W19" s="221">
        <v>-1173</v>
      </c>
      <c r="X19" s="209"/>
      <c r="Y19" s="246"/>
      <c r="Z19" s="247"/>
      <c r="AA19" s="247"/>
      <c r="AB19" s="248">
        <v>-7849</v>
      </c>
      <c r="AC19" s="209"/>
      <c r="AD19" s="246"/>
      <c r="AE19" s="247"/>
      <c r="AF19" s="247"/>
      <c r="AG19" s="248">
        <v>-7177</v>
      </c>
      <c r="AH19" s="248"/>
    </row>
    <row r="20" spans="2:34" ht="16" x14ac:dyDescent="0.4">
      <c r="B20" s="203"/>
      <c r="C20" s="223" t="s">
        <v>233</v>
      </c>
      <c r="D20" s="237"/>
      <c r="E20" s="246"/>
      <c r="F20" s="247"/>
      <c r="G20" s="247"/>
      <c r="H20" s="249">
        <v>0</v>
      </c>
      <c r="I20" s="209"/>
      <c r="J20" s="246"/>
      <c r="K20" s="247"/>
      <c r="L20" s="247"/>
      <c r="M20" s="249">
        <v>-930.9</v>
      </c>
      <c r="N20" s="209"/>
      <c r="O20" s="246"/>
      <c r="P20" s="247"/>
      <c r="Q20" s="247"/>
      <c r="R20" s="249">
        <v>0</v>
      </c>
      <c r="S20" s="209"/>
      <c r="T20" s="246"/>
      <c r="U20" s="247"/>
      <c r="V20" s="247"/>
      <c r="W20" s="249">
        <v>0</v>
      </c>
      <c r="X20" s="209"/>
      <c r="Y20" s="246"/>
      <c r="Z20" s="247"/>
      <c r="AA20" s="247"/>
      <c r="AB20" s="249">
        <v>-1341</v>
      </c>
      <c r="AC20" s="209"/>
      <c r="AD20" s="246"/>
      <c r="AE20" s="247"/>
      <c r="AF20" s="247"/>
      <c r="AG20" s="249">
        <v>-2281</v>
      </c>
      <c r="AH20" s="249"/>
    </row>
    <row r="21" spans="2:34" ht="16" x14ac:dyDescent="0.4">
      <c r="B21" s="203"/>
      <c r="C21" s="223" t="s">
        <v>234</v>
      </c>
      <c r="D21" s="237"/>
      <c r="E21" s="246"/>
      <c r="F21" s="247"/>
      <c r="G21" s="247"/>
      <c r="H21" s="249">
        <v>-2067.5</v>
      </c>
      <c r="I21" s="209"/>
      <c r="J21" s="246"/>
      <c r="K21" s="247"/>
      <c r="L21" s="247"/>
      <c r="M21" s="249">
        <v>-640.5</v>
      </c>
      <c r="N21" s="209"/>
      <c r="O21" s="246"/>
      <c r="P21" s="247"/>
      <c r="Q21" s="247"/>
      <c r="R21" s="249">
        <v>0</v>
      </c>
      <c r="S21" s="209"/>
      <c r="T21" s="246"/>
      <c r="U21" s="247"/>
      <c r="V21" s="247"/>
      <c r="W21" s="249">
        <v>0</v>
      </c>
      <c r="X21" s="209"/>
      <c r="Y21" s="246"/>
      <c r="Z21" s="247"/>
      <c r="AA21" s="247"/>
      <c r="AB21" s="249">
        <v>0</v>
      </c>
      <c r="AC21" s="209"/>
      <c r="AD21" s="246"/>
      <c r="AE21" s="247"/>
      <c r="AF21" s="247"/>
      <c r="AG21" s="249">
        <v>0</v>
      </c>
      <c r="AH21" s="249"/>
    </row>
    <row r="22" spans="2:34" ht="16" x14ac:dyDescent="0.4">
      <c r="B22" s="203"/>
      <c r="C22" s="223" t="s">
        <v>139</v>
      </c>
      <c r="D22" s="237"/>
      <c r="E22" s="246"/>
      <c r="F22" s="247"/>
      <c r="G22" s="247"/>
      <c r="H22" s="249">
        <v>0</v>
      </c>
      <c r="I22" s="209"/>
      <c r="J22" s="246"/>
      <c r="K22" s="247"/>
      <c r="L22" s="247"/>
      <c r="M22" s="249">
        <v>0</v>
      </c>
      <c r="N22" s="209"/>
      <c r="O22" s="246"/>
      <c r="P22" s="247"/>
      <c r="Q22" s="247"/>
      <c r="R22" s="249">
        <v>0</v>
      </c>
      <c r="S22" s="209"/>
      <c r="T22" s="246"/>
      <c r="U22" s="247"/>
      <c r="V22" s="247"/>
      <c r="W22" s="249">
        <v>0</v>
      </c>
      <c r="X22" s="209"/>
      <c r="Y22" s="246"/>
      <c r="Z22" s="247"/>
      <c r="AA22" s="247"/>
      <c r="AB22" s="249">
        <v>0</v>
      </c>
      <c r="AC22" s="209"/>
      <c r="AD22" s="246"/>
      <c r="AE22" s="247"/>
      <c r="AF22" s="247"/>
      <c r="AG22" s="249">
        <v>0</v>
      </c>
      <c r="AH22" s="249"/>
    </row>
    <row r="23" spans="2:34" ht="16" x14ac:dyDescent="0.4">
      <c r="B23" s="203"/>
      <c r="C23" s="223" t="s">
        <v>235</v>
      </c>
      <c r="D23" s="237"/>
      <c r="E23" s="246"/>
      <c r="F23" s="247"/>
      <c r="G23" s="247"/>
      <c r="H23" s="249">
        <v>4479</v>
      </c>
      <c r="I23" s="209"/>
      <c r="J23" s="246"/>
      <c r="K23" s="247"/>
      <c r="L23" s="247"/>
      <c r="M23" s="249">
        <v>4694.2</v>
      </c>
      <c r="N23" s="209"/>
      <c r="O23" s="246"/>
      <c r="P23" s="247"/>
      <c r="Q23" s="247"/>
      <c r="R23" s="249">
        <v>5881.4</v>
      </c>
      <c r="S23" s="209"/>
      <c r="T23" s="246"/>
      <c r="U23" s="247"/>
      <c r="V23" s="247"/>
      <c r="W23" s="249">
        <f>1056+11357</f>
        <v>12413</v>
      </c>
      <c r="X23" s="209"/>
      <c r="Y23" s="246"/>
      <c r="Z23" s="247"/>
      <c r="AA23" s="247"/>
      <c r="AB23" s="249">
        <v>13270</v>
      </c>
      <c r="AC23" s="209"/>
      <c r="AD23" s="246"/>
      <c r="AE23" s="247"/>
      <c r="AF23" s="247"/>
      <c r="AG23" s="249">
        <v>5461</v>
      </c>
      <c r="AH23" s="249"/>
    </row>
    <row r="24" spans="2:34" ht="16" x14ac:dyDescent="0.4">
      <c r="B24" s="203"/>
      <c r="C24" s="223" t="s">
        <v>143</v>
      </c>
      <c r="D24" s="237"/>
      <c r="E24" s="246"/>
      <c r="F24" s="247"/>
      <c r="G24" s="247"/>
      <c r="H24" s="249">
        <v>0</v>
      </c>
      <c r="I24" s="209"/>
      <c r="J24" s="246"/>
      <c r="K24" s="247"/>
      <c r="L24" s="247"/>
      <c r="M24" s="249">
        <v>0</v>
      </c>
      <c r="N24" s="209"/>
      <c r="O24" s="246"/>
      <c r="P24" s="247"/>
      <c r="Q24" s="247"/>
      <c r="R24" s="249">
        <v>0</v>
      </c>
      <c r="S24" s="209"/>
      <c r="T24" s="246"/>
      <c r="U24" s="247"/>
      <c r="V24" s="247"/>
      <c r="W24" s="249">
        <v>0</v>
      </c>
      <c r="X24" s="209"/>
      <c r="Y24" s="246"/>
      <c r="Z24" s="247"/>
      <c r="AA24" s="247"/>
      <c r="AB24" s="249">
        <v>0</v>
      </c>
      <c r="AC24" s="209"/>
      <c r="AD24" s="246"/>
      <c r="AE24" s="247"/>
      <c r="AF24" s="247"/>
      <c r="AG24" s="249">
        <v>0</v>
      </c>
      <c r="AH24" s="249"/>
    </row>
    <row r="25" spans="2:34" ht="16" x14ac:dyDescent="0.4">
      <c r="B25" s="203"/>
      <c r="C25" s="223" t="s">
        <v>146</v>
      </c>
      <c r="D25" s="237"/>
      <c r="E25" s="246"/>
      <c r="F25" s="247"/>
      <c r="G25" s="247"/>
      <c r="H25" s="249">
        <v>0</v>
      </c>
      <c r="I25" s="250"/>
      <c r="J25" s="246"/>
      <c r="K25" s="247"/>
      <c r="L25" s="247"/>
      <c r="M25" s="249">
        <v>0</v>
      </c>
      <c r="N25" s="209"/>
      <c r="O25" s="246"/>
      <c r="P25" s="247"/>
      <c r="Q25" s="247"/>
      <c r="R25" s="249">
        <v>0</v>
      </c>
      <c r="S25" s="209"/>
      <c r="T25" s="246"/>
      <c r="U25" s="247"/>
      <c r="V25" s="247"/>
      <c r="W25" s="249">
        <v>0</v>
      </c>
      <c r="X25" s="209"/>
      <c r="Y25" s="246"/>
      <c r="Z25" s="247"/>
      <c r="AA25" s="247"/>
      <c r="AB25" s="249">
        <v>0</v>
      </c>
      <c r="AC25" s="209"/>
      <c r="AD25" s="246"/>
      <c r="AE25" s="247"/>
      <c r="AF25" s="247"/>
      <c r="AG25" s="249">
        <v>0</v>
      </c>
      <c r="AH25" s="249"/>
    </row>
    <row r="26" spans="2:34" ht="16" x14ac:dyDescent="0.4">
      <c r="B26" s="203"/>
      <c r="C26" s="223" t="s">
        <v>236</v>
      </c>
      <c r="D26" s="237"/>
      <c r="E26" s="246"/>
      <c r="F26" s="247"/>
      <c r="G26" s="247"/>
      <c r="H26" s="249">
        <v>0</v>
      </c>
      <c r="I26" s="209"/>
      <c r="J26" s="246"/>
      <c r="K26" s="247"/>
      <c r="L26" s="247"/>
      <c r="M26" s="249">
        <v>0</v>
      </c>
      <c r="N26" s="209"/>
      <c r="O26" s="246"/>
      <c r="P26" s="247"/>
      <c r="Q26" s="247"/>
      <c r="R26" s="249">
        <v>0</v>
      </c>
      <c r="S26" s="209"/>
      <c r="T26" s="246"/>
      <c r="U26" s="247"/>
      <c r="V26" s="247"/>
      <c r="W26" s="249">
        <v>0</v>
      </c>
      <c r="X26" s="209"/>
      <c r="Y26" s="246"/>
      <c r="Z26" s="247"/>
      <c r="AA26" s="247"/>
      <c r="AB26" s="249">
        <v>0</v>
      </c>
      <c r="AC26" s="209"/>
      <c r="AD26" s="246"/>
      <c r="AE26" s="247"/>
      <c r="AF26" s="247"/>
      <c r="AG26" s="249">
        <v>0</v>
      </c>
      <c r="AH26" s="249"/>
    </row>
    <row r="27" spans="2:34" ht="16" x14ac:dyDescent="0.4">
      <c r="B27" s="203"/>
      <c r="C27" s="223" t="s">
        <v>237</v>
      </c>
      <c r="D27" s="237"/>
      <c r="E27" s="246"/>
      <c r="F27" s="247"/>
      <c r="G27" s="247"/>
      <c r="H27" s="249">
        <v>0</v>
      </c>
      <c r="I27" s="209"/>
      <c r="J27" s="246"/>
      <c r="K27" s="247"/>
      <c r="L27" s="247"/>
      <c r="M27" s="249">
        <v>0</v>
      </c>
      <c r="N27" s="209"/>
      <c r="O27" s="246"/>
      <c r="P27" s="247"/>
      <c r="Q27" s="247"/>
      <c r="R27" s="249">
        <v>0</v>
      </c>
      <c r="S27" s="209"/>
      <c r="T27" s="246"/>
      <c r="U27" s="247"/>
      <c r="V27" s="247"/>
      <c r="W27" s="249"/>
      <c r="X27" s="209"/>
      <c r="Y27" s="246"/>
      <c r="Z27" s="247"/>
      <c r="AA27" s="247"/>
      <c r="AB27" s="249">
        <v>107</v>
      </c>
      <c r="AC27" s="209"/>
      <c r="AD27" s="246"/>
      <c r="AE27" s="247"/>
      <c r="AF27" s="247"/>
      <c r="AG27" s="249"/>
      <c r="AH27" s="249"/>
    </row>
    <row r="28" spans="2:34" ht="16" x14ac:dyDescent="0.4">
      <c r="B28" s="203"/>
      <c r="C28" s="205"/>
      <c r="D28" s="205"/>
      <c r="E28" s="205"/>
      <c r="F28" s="205"/>
      <c r="G28" s="205"/>
      <c r="H28" s="205"/>
      <c r="I28" s="209"/>
      <c r="J28" s="205"/>
      <c r="K28" s="205"/>
      <c r="L28" s="205"/>
      <c r="M28" s="205"/>
      <c r="N28" s="209"/>
      <c r="O28" s="205"/>
      <c r="P28" s="205"/>
      <c r="Q28" s="205"/>
      <c r="R28" s="205"/>
      <c r="S28" s="209"/>
      <c r="T28" s="205"/>
      <c r="U28" s="205"/>
      <c r="V28" s="205"/>
      <c r="W28" s="205"/>
      <c r="X28" s="209"/>
      <c r="Y28" s="205"/>
      <c r="Z28" s="205"/>
      <c r="AA28" s="205"/>
      <c r="AB28" s="205"/>
      <c r="AC28" s="209"/>
      <c r="AD28" s="205"/>
      <c r="AE28" s="205"/>
      <c r="AF28" s="205"/>
      <c r="AG28" s="205"/>
      <c r="AH28" s="205"/>
    </row>
    <row r="29" spans="2:34" ht="16" x14ac:dyDescent="0.4">
      <c r="B29" s="203"/>
      <c r="C29" s="205"/>
      <c r="D29" s="205"/>
      <c r="E29" s="243" t="s">
        <v>238</v>
      </c>
      <c r="F29" s="251"/>
      <c r="G29" s="251"/>
      <c r="H29" s="252"/>
      <c r="I29" s="209"/>
      <c r="J29" s="243" t="s">
        <v>238</v>
      </c>
      <c r="K29" s="251"/>
      <c r="L29" s="251"/>
      <c r="M29" s="252"/>
      <c r="N29" s="209"/>
      <c r="O29" s="243" t="s">
        <v>238</v>
      </c>
      <c r="P29" s="251"/>
      <c r="Q29" s="251"/>
      <c r="R29" s="252"/>
      <c r="S29" s="209"/>
      <c r="T29" s="243" t="s">
        <v>238</v>
      </c>
      <c r="U29" s="251"/>
      <c r="V29" s="251"/>
      <c r="W29" s="252"/>
      <c r="X29" s="209"/>
      <c r="Y29" s="243" t="s">
        <v>238</v>
      </c>
      <c r="Z29" s="251"/>
      <c r="AA29" s="251"/>
      <c r="AB29" s="252"/>
      <c r="AC29" s="209"/>
      <c r="AD29" s="243" t="s">
        <v>238</v>
      </c>
      <c r="AE29" s="251"/>
      <c r="AF29" s="251"/>
      <c r="AG29" s="252"/>
      <c r="AH29" s="247"/>
    </row>
    <row r="30" spans="2:34" ht="16" x14ac:dyDescent="0.4">
      <c r="B30" s="203"/>
      <c r="C30" s="205"/>
      <c r="D30" s="205"/>
      <c r="E30" s="216">
        <f>Forward_Year_1</f>
        <v>45838</v>
      </c>
      <c r="F30" s="216">
        <f>Forward_Year_2</f>
        <v>46203</v>
      </c>
      <c r="G30" s="216">
        <f>Forward_Year_3</f>
        <v>46568</v>
      </c>
      <c r="H30" s="253"/>
      <c r="I30" s="209"/>
      <c r="J30" s="216">
        <f>Forward_Year_1</f>
        <v>45838</v>
      </c>
      <c r="K30" s="216">
        <f>Forward_Year_2</f>
        <v>46203</v>
      </c>
      <c r="L30" s="216">
        <f>Forward_Year_3</f>
        <v>46568</v>
      </c>
      <c r="M30" s="253"/>
      <c r="N30" s="209"/>
      <c r="O30" s="216">
        <f>Forward_Year_1</f>
        <v>45838</v>
      </c>
      <c r="P30" s="216">
        <f>Forward_Year_2</f>
        <v>46203</v>
      </c>
      <c r="Q30" s="216">
        <f>Forward_Year_3</f>
        <v>46568</v>
      </c>
      <c r="R30" s="253"/>
      <c r="S30" s="209"/>
      <c r="T30" s="216">
        <f>Forward_Year_1</f>
        <v>45838</v>
      </c>
      <c r="U30" s="216">
        <f>Forward_Year_2</f>
        <v>46203</v>
      </c>
      <c r="V30" s="216">
        <f>Forward_Year_3</f>
        <v>46568</v>
      </c>
      <c r="W30" s="253"/>
      <c r="X30" s="209"/>
      <c r="Y30" s="216">
        <f>Forward_Year_1</f>
        <v>45838</v>
      </c>
      <c r="Z30" s="216">
        <f>Forward_Year_2</f>
        <v>46203</v>
      </c>
      <c r="AA30" s="216">
        <f>Forward_Year_3</f>
        <v>46568</v>
      </c>
      <c r="AB30" s="253"/>
      <c r="AC30" s="209"/>
      <c r="AD30" s="216">
        <f>Forward_Year_1</f>
        <v>45838</v>
      </c>
      <c r="AE30" s="216">
        <f>Forward_Year_2</f>
        <v>46203</v>
      </c>
      <c r="AF30" s="216">
        <f>Forward_Year_3</f>
        <v>46568</v>
      </c>
      <c r="AG30" s="253"/>
      <c r="AH30" s="247"/>
    </row>
    <row r="31" spans="2:34" ht="16" x14ac:dyDescent="0.4">
      <c r="B31" s="203"/>
      <c r="C31" s="229" t="s">
        <v>195</v>
      </c>
      <c r="D31" s="224"/>
      <c r="E31" s="254">
        <f>G8*(1+0.095)</f>
        <v>16321.412999999999</v>
      </c>
      <c r="F31" s="254">
        <f>E31*(1+0.095)</f>
        <v>17871.947235</v>
      </c>
      <c r="G31" s="254">
        <f>F31*(1+0.095)</f>
        <v>19569.782222325</v>
      </c>
      <c r="H31" s="247"/>
      <c r="I31" s="209"/>
      <c r="J31" s="254">
        <v>33975</v>
      </c>
      <c r="K31" s="254">
        <v>38475</v>
      </c>
      <c r="L31" s="254">
        <f>K31*(1+0.132)</f>
        <v>43553.700000000004</v>
      </c>
      <c r="M31" s="247"/>
      <c r="N31" s="209"/>
      <c r="O31" s="254">
        <f>Q8*(1+0.139)</f>
        <v>11175.868</v>
      </c>
      <c r="P31" s="254">
        <f>O31*(1+0.021)</f>
        <v>11410.561227999999</v>
      </c>
      <c r="Q31" s="254">
        <f>P31*(1+0.021)</f>
        <v>11650.183013787997</v>
      </c>
      <c r="R31" s="247"/>
      <c r="S31" s="209"/>
      <c r="T31" s="254">
        <f>V8*(1+0.079)</f>
        <v>38648.701000000001</v>
      </c>
      <c r="U31" s="254">
        <f>T31*(1+0.114)</f>
        <v>43054.652914000006</v>
      </c>
      <c r="V31" s="254">
        <f>U31*(1+0.114)</f>
        <v>47962.883346196009</v>
      </c>
      <c r="W31" s="247"/>
      <c r="X31" s="209"/>
      <c r="Y31" s="254">
        <f>AB8*(1+0.079)</f>
        <v>42039.998</v>
      </c>
      <c r="Z31" s="254">
        <f>Y31*(1+0.114)</f>
        <v>46832.557772000007</v>
      </c>
      <c r="AA31" s="254">
        <f>Z31*(1+0.114)</f>
        <v>52171.469358008013</v>
      </c>
      <c r="AB31" s="247"/>
      <c r="AC31" s="209"/>
      <c r="AD31" s="254">
        <f>[3]DCF!L56</f>
        <v>28207.022910228687</v>
      </c>
      <c r="AE31" s="254">
        <f>[3]DCF!M56</f>
        <v>29577.653506353243</v>
      </c>
      <c r="AF31" s="254">
        <f>[3]DCF!N56</f>
        <v>31316.528779159173</v>
      </c>
      <c r="AG31" s="247"/>
      <c r="AH31" s="247"/>
    </row>
    <row r="32" spans="2:34" ht="16" x14ac:dyDescent="0.4">
      <c r="B32" s="203"/>
      <c r="C32" s="229" t="s">
        <v>92</v>
      </c>
      <c r="D32" s="224"/>
      <c r="E32" s="226">
        <f>E31*0.32</f>
        <v>5222.8521599999995</v>
      </c>
      <c r="F32" s="226">
        <f t="shared" ref="F32:G32" si="7">F31*0.32</f>
        <v>5719.0231151999997</v>
      </c>
      <c r="G32" s="226">
        <f t="shared" si="7"/>
        <v>6262.330311144</v>
      </c>
      <c r="H32" s="247"/>
      <c r="I32" s="209"/>
      <c r="J32" s="226">
        <f>J31*0.34</f>
        <v>11551.5</v>
      </c>
      <c r="K32" s="226">
        <f t="shared" ref="K32:L32" si="8">K31*0.34</f>
        <v>13081.500000000002</v>
      </c>
      <c r="L32" s="226">
        <f t="shared" si="8"/>
        <v>14808.258000000003</v>
      </c>
      <c r="M32" s="247"/>
      <c r="N32" s="209"/>
      <c r="O32" s="226">
        <f>O31*0.419</f>
        <v>4682.6886919999997</v>
      </c>
      <c r="P32" s="226">
        <f t="shared" ref="P32:Q32" si="9">P31*0.419</f>
        <v>4781.0251545319989</v>
      </c>
      <c r="Q32" s="226">
        <f t="shared" si="9"/>
        <v>4881.4266827771708</v>
      </c>
      <c r="R32" s="247"/>
      <c r="S32" s="209"/>
      <c r="T32" s="226">
        <f>T31*0.334</f>
        <v>12908.666134000001</v>
      </c>
      <c r="U32" s="226">
        <f t="shared" ref="U32:V32" si="10">U31*0.334</f>
        <v>14380.254073276003</v>
      </c>
      <c r="V32" s="226">
        <f t="shared" si="10"/>
        <v>16019.603037629468</v>
      </c>
      <c r="W32" s="247"/>
      <c r="X32" s="209"/>
      <c r="Y32" s="226">
        <f>Y31*0.301</f>
        <v>12654.039397999999</v>
      </c>
      <c r="Z32" s="226">
        <f t="shared" ref="Z32:AA32" si="11">Z31*0.301</f>
        <v>14096.599889372003</v>
      </c>
      <c r="AA32" s="226">
        <f t="shared" si="11"/>
        <v>15703.612276760412</v>
      </c>
      <c r="AB32" s="247"/>
      <c r="AC32" s="209"/>
      <c r="AD32" s="226">
        <f>[3]DCF!L79</f>
        <v>8747.9925771195904</v>
      </c>
      <c r="AE32" s="226">
        <f>[3]DCF!M79</f>
        <v>9202.1888249477997</v>
      </c>
      <c r="AF32" s="226">
        <f>[3]DCF!N79</f>
        <v>9767.1405018221212</v>
      </c>
      <c r="AG32" s="247"/>
      <c r="AH32" s="247"/>
    </row>
    <row r="33" spans="2:34" ht="16" x14ac:dyDescent="0.4">
      <c r="B33" s="203"/>
      <c r="C33" s="229" t="s">
        <v>239</v>
      </c>
      <c r="D33" s="224"/>
      <c r="E33" s="226">
        <f>G9*(1+0.136)</f>
        <v>4348.6080000000002</v>
      </c>
      <c r="F33" s="226">
        <f>E33*(1+0.136)</f>
        <v>4940.018688000001</v>
      </c>
      <c r="G33" s="226">
        <f>F33*(1+0.136)</f>
        <v>5611.8612295680014</v>
      </c>
      <c r="H33" s="247"/>
      <c r="I33" s="209"/>
      <c r="J33" s="226">
        <f>J31*0.289</f>
        <v>9818.7749999999996</v>
      </c>
      <c r="K33" s="226">
        <f t="shared" ref="K33:L33" si="12">K31*0.289</f>
        <v>11119.275</v>
      </c>
      <c r="L33" s="226">
        <f t="shared" si="12"/>
        <v>12587.0193</v>
      </c>
      <c r="M33" s="247"/>
      <c r="N33" s="209"/>
      <c r="O33" s="226">
        <f>Q11*(1+0.02)</f>
        <v>3705.66</v>
      </c>
      <c r="P33" s="226">
        <f>O33*(1+0.334)</f>
        <v>4943.3504400000002</v>
      </c>
      <c r="Q33" s="226">
        <f>P33*(1+0.334)</f>
        <v>6594.4294869600008</v>
      </c>
      <c r="R33" s="247"/>
      <c r="S33" s="209"/>
      <c r="T33" s="226">
        <f>V9*(1+0.225)</f>
        <v>17250.45</v>
      </c>
      <c r="U33" s="226">
        <f>T33*(1+0.028)</f>
        <v>17733.462600000003</v>
      </c>
      <c r="V33" s="226">
        <f>U33*(1+0.028)</f>
        <v>18229.999552800004</v>
      </c>
      <c r="W33" s="247"/>
      <c r="X33" s="209"/>
      <c r="Y33" s="226">
        <f>AB9*(1+0.225)</f>
        <v>8859.2000000000007</v>
      </c>
      <c r="Z33" s="226">
        <f>Y33*(1+0.028)</f>
        <v>9107.2576000000008</v>
      </c>
      <c r="AA33" s="226">
        <f>Z33*(1+0.028)</f>
        <v>9362.2608128000011</v>
      </c>
      <c r="AB33" s="247"/>
      <c r="AC33" s="209"/>
      <c r="AD33" s="226">
        <f>[3]Model!L101</f>
        <v>7016.7458934992974</v>
      </c>
      <c r="AE33" s="226">
        <f>[3]Model!M101</f>
        <v>7397.2100046436117</v>
      </c>
      <c r="AF33" s="226">
        <f>[3]Model!N101</f>
        <v>7878.0374515538824</v>
      </c>
      <c r="AG33" s="247"/>
      <c r="AH33" s="247"/>
    </row>
    <row r="34" spans="2:34" ht="16" x14ac:dyDescent="0.4">
      <c r="B34" s="255"/>
      <c r="C34" s="209"/>
      <c r="D34" s="209"/>
      <c r="E34" s="209"/>
      <c r="F34" s="209"/>
      <c r="G34" s="209"/>
      <c r="H34" s="209"/>
      <c r="I34" s="209"/>
      <c r="J34" s="256"/>
      <c r="K34" s="256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V34" s="209"/>
      <c r="W34" s="209"/>
      <c r="X34" s="209"/>
      <c r="Y34" s="209"/>
      <c r="Z34" s="209"/>
      <c r="AA34" s="209"/>
      <c r="AB34" s="209"/>
      <c r="AC34" s="209"/>
      <c r="AD34" s="209"/>
      <c r="AE34" s="209"/>
      <c r="AF34" s="209"/>
      <c r="AG34" s="209"/>
      <c r="AH34" s="209"/>
    </row>
    <row r="35" spans="2:34" ht="16" x14ac:dyDescent="0.4">
      <c r="B35" s="255"/>
      <c r="C35" s="209"/>
      <c r="D35" s="209"/>
      <c r="E35" s="243" t="s">
        <v>240</v>
      </c>
      <c r="F35" s="251"/>
      <c r="G35" s="251"/>
      <c r="H35" s="251"/>
      <c r="I35" s="209"/>
      <c r="J35" s="243" t="s">
        <v>240</v>
      </c>
      <c r="K35" s="251"/>
      <c r="L35" s="251"/>
      <c r="M35" s="251"/>
      <c r="N35" s="209"/>
      <c r="O35" s="243" t="s">
        <v>240</v>
      </c>
      <c r="P35" s="251"/>
      <c r="Q35" s="251"/>
      <c r="R35" s="251"/>
      <c r="S35" s="209"/>
      <c r="T35" s="243" t="s">
        <v>240</v>
      </c>
      <c r="U35" s="251"/>
      <c r="V35" s="251"/>
      <c r="W35" s="251"/>
      <c r="X35" s="209"/>
      <c r="Y35" s="243" t="s">
        <v>240</v>
      </c>
      <c r="Z35" s="251"/>
      <c r="AA35" s="251"/>
      <c r="AB35" s="251"/>
      <c r="AC35" s="209"/>
      <c r="AD35" s="243" t="s">
        <v>240</v>
      </c>
      <c r="AE35" s="251"/>
      <c r="AF35" s="251"/>
      <c r="AG35" s="251"/>
      <c r="AH35" s="257"/>
    </row>
    <row r="36" spans="2:34" ht="16" x14ac:dyDescent="0.4">
      <c r="B36" s="255"/>
      <c r="C36" s="258" t="s">
        <v>241</v>
      </c>
      <c r="D36" s="258"/>
      <c r="E36" s="259"/>
      <c r="F36" s="215"/>
      <c r="G36" s="215"/>
      <c r="H36" s="260">
        <v>73.069999999999993</v>
      </c>
      <c r="I36" s="209"/>
      <c r="J36" s="259"/>
      <c r="K36" s="215"/>
      <c r="L36" s="215"/>
      <c r="M36" s="260">
        <v>672.88</v>
      </c>
      <c r="N36" s="209"/>
      <c r="O36" s="259"/>
      <c r="P36" s="215"/>
      <c r="Q36" s="215"/>
      <c r="R36" s="260">
        <v>639.54999999999995</v>
      </c>
      <c r="S36" s="209"/>
      <c r="T36" s="259"/>
      <c r="U36" s="215"/>
      <c r="V36" s="215"/>
      <c r="W36" s="260">
        <v>164.23</v>
      </c>
      <c r="X36" s="209"/>
      <c r="Y36" s="259"/>
      <c r="Z36" s="215"/>
      <c r="AA36" s="215"/>
      <c r="AB36" s="260">
        <v>156.79</v>
      </c>
      <c r="AC36" s="209"/>
      <c r="AD36" s="259"/>
      <c r="AE36" s="215"/>
      <c r="AF36" s="215"/>
      <c r="AG36" s="260">
        <v>175.55</v>
      </c>
      <c r="AH36" s="260"/>
    </row>
    <row r="37" spans="2:34" ht="16" x14ac:dyDescent="0.4">
      <c r="B37" s="255"/>
      <c r="C37" s="258" t="s">
        <v>242</v>
      </c>
      <c r="D37" s="258"/>
      <c r="E37" s="259"/>
      <c r="F37" s="215"/>
      <c r="G37" s="215"/>
      <c r="H37" s="261">
        <v>1286</v>
      </c>
      <c r="I37" s="209"/>
      <c r="J37" s="259"/>
      <c r="K37" s="215"/>
      <c r="L37" s="215"/>
      <c r="M37" s="261">
        <v>393.2</v>
      </c>
      <c r="N37" s="209"/>
      <c r="O37" s="259"/>
      <c r="P37" s="215"/>
      <c r="Q37" s="215"/>
      <c r="R37" s="262">
        <v>133.80000000000001</v>
      </c>
      <c r="S37" s="209"/>
      <c r="T37" s="259"/>
      <c r="U37" s="215"/>
      <c r="V37" s="215"/>
      <c r="W37" s="262">
        <v>4671.3999999999996</v>
      </c>
      <c r="X37" s="209"/>
      <c r="Y37" s="259"/>
      <c r="Z37" s="215"/>
      <c r="AA37" s="215"/>
      <c r="AB37" s="262">
        <v>1110</v>
      </c>
      <c r="AC37" s="209"/>
      <c r="AD37" s="259"/>
      <c r="AE37" s="215"/>
      <c r="AF37" s="215"/>
      <c r="AG37" s="262">
        <v>824.4</v>
      </c>
      <c r="AH37" s="262"/>
    </row>
    <row r="38" spans="2:34" ht="16" x14ac:dyDescent="0.4">
      <c r="B38" s="255"/>
      <c r="C38" s="258" t="s">
        <v>243</v>
      </c>
      <c r="D38" s="258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  <c r="AB38" s="209"/>
      <c r="AC38" s="209"/>
      <c r="AD38" s="209"/>
      <c r="AE38" s="209"/>
      <c r="AF38" s="209"/>
      <c r="AG38" s="209"/>
      <c r="AH38" s="209"/>
    </row>
    <row r="39" spans="2:34" ht="16" x14ac:dyDescent="0.4">
      <c r="B39" s="255"/>
      <c r="C39" s="209"/>
      <c r="D39" s="209"/>
      <c r="E39" s="209"/>
      <c r="F39" s="263" t="s">
        <v>244</v>
      </c>
      <c r="G39" s="263" t="s">
        <v>245</v>
      </c>
      <c r="H39" s="263" t="s">
        <v>246</v>
      </c>
      <c r="I39" s="209"/>
      <c r="J39" s="209"/>
      <c r="K39" s="263" t="s">
        <v>244</v>
      </c>
      <c r="L39" s="263" t="s">
        <v>245</v>
      </c>
      <c r="M39" s="263" t="s">
        <v>246</v>
      </c>
      <c r="N39" s="209"/>
      <c r="O39" s="209"/>
      <c r="P39" s="264" t="s">
        <v>244</v>
      </c>
      <c r="Q39" s="264" t="s">
        <v>245</v>
      </c>
      <c r="R39" s="264" t="s">
        <v>246</v>
      </c>
      <c r="S39" s="209"/>
      <c r="T39" s="209"/>
      <c r="U39" s="264" t="s">
        <v>244</v>
      </c>
      <c r="V39" s="264" t="s">
        <v>245</v>
      </c>
      <c r="W39" s="264" t="s">
        <v>246</v>
      </c>
      <c r="X39" s="209"/>
      <c r="Y39" s="209"/>
      <c r="Z39" s="264" t="s">
        <v>244</v>
      </c>
      <c r="AA39" s="264" t="s">
        <v>245</v>
      </c>
      <c r="AB39" s="264" t="s">
        <v>246</v>
      </c>
      <c r="AC39" s="209"/>
      <c r="AD39" s="209"/>
      <c r="AE39" s="264" t="s">
        <v>244</v>
      </c>
      <c r="AF39" s="264" t="s">
        <v>245</v>
      </c>
      <c r="AG39" s="264" t="s">
        <v>246</v>
      </c>
      <c r="AH39" s="264"/>
    </row>
    <row r="40" spans="2:34" ht="16" x14ac:dyDescent="0.4">
      <c r="B40" s="255"/>
      <c r="C40" s="209"/>
      <c r="D40" s="209"/>
      <c r="E40" s="209"/>
      <c r="F40" s="265"/>
      <c r="G40" s="266"/>
      <c r="H40" s="267">
        <f t="shared" ref="H40:H48" si="13">IF(G40&lt;H$35,F40-((F40*G40)/H$35),0)</f>
        <v>0</v>
      </c>
      <c r="I40" s="209"/>
      <c r="J40" s="209"/>
      <c r="K40" s="265"/>
      <c r="L40" s="266"/>
      <c r="M40" s="267">
        <f>IF(L40&lt;M$35,K40-((K40*L40)/M$35),0)</f>
        <v>0</v>
      </c>
      <c r="N40" s="209"/>
      <c r="O40" s="209"/>
      <c r="P40" s="265"/>
      <c r="Q40" s="266"/>
      <c r="R40" s="267">
        <f>IF(Q40&lt;R$35,P40-((P40*Q40)/R$35),0)</f>
        <v>0</v>
      </c>
      <c r="S40" s="209"/>
      <c r="T40" s="209"/>
      <c r="U40" s="265"/>
      <c r="V40" s="266"/>
      <c r="W40" s="267">
        <f>IF(V40&lt;W$35,U40-((U40*V40)/W$35),0)</f>
        <v>0</v>
      </c>
      <c r="X40" s="209"/>
      <c r="Y40" s="209"/>
      <c r="Z40" s="265"/>
      <c r="AA40" s="266"/>
      <c r="AB40" s="267">
        <f>IF(AA40&lt;AB$35,Z40-((Z40*AA40)/AB$35),0)</f>
        <v>0</v>
      </c>
      <c r="AC40" s="209"/>
      <c r="AD40" s="209"/>
      <c r="AE40" s="265"/>
      <c r="AF40" s="266"/>
      <c r="AG40" s="267">
        <f>IF(AF40&lt;AG$35,AE40-((AE40*AF40)/AG$35),0)</f>
        <v>0</v>
      </c>
      <c r="AH40" s="267"/>
    </row>
    <row r="41" spans="2:34" ht="16" x14ac:dyDescent="0.4">
      <c r="B41" s="255"/>
      <c r="C41" s="209"/>
      <c r="D41" s="209"/>
      <c r="E41" s="209"/>
      <c r="F41" s="265"/>
      <c r="G41" s="266"/>
      <c r="H41" s="267">
        <f t="shared" si="13"/>
        <v>0</v>
      </c>
      <c r="I41" s="209"/>
      <c r="J41" s="209"/>
      <c r="K41" s="265"/>
      <c r="L41" s="266"/>
      <c r="M41" s="267">
        <f t="shared" ref="M41:M45" si="14">IF(L41&lt;M$35,K41-((K41*L41)/M$35),0)</f>
        <v>0</v>
      </c>
      <c r="N41" s="209"/>
      <c r="O41" s="209"/>
      <c r="P41" s="265"/>
      <c r="Q41" s="266"/>
      <c r="R41" s="267">
        <f t="shared" ref="R41:R45" si="15">IF(Q41&lt;R$35,P41-((P41*Q41)/R$35),0)</f>
        <v>0</v>
      </c>
      <c r="S41" s="209"/>
      <c r="T41" s="209"/>
      <c r="U41" s="265"/>
      <c r="V41" s="266"/>
      <c r="W41" s="267">
        <f t="shared" ref="W41:W45" si="16">IF(V41&lt;W$35,U41-((U41*V41)/W$35),0)</f>
        <v>0</v>
      </c>
      <c r="X41" s="209"/>
      <c r="Y41" s="209"/>
      <c r="Z41" s="265"/>
      <c r="AA41" s="266"/>
      <c r="AB41" s="267">
        <f t="shared" ref="AB41:AB45" si="17">IF(AA41&lt;AB$35,Z41-((Z41*AA41)/AB$35),0)</f>
        <v>0</v>
      </c>
      <c r="AC41" s="209"/>
      <c r="AD41" s="209"/>
      <c r="AE41" s="265"/>
      <c r="AF41" s="266"/>
      <c r="AG41" s="267">
        <f t="shared" ref="AG41:AG45" si="18">IF(AF41&lt;AG$35,AE41-((AE41*AF41)/AG$35),0)</f>
        <v>0</v>
      </c>
      <c r="AH41" s="267"/>
    </row>
    <row r="42" spans="2:34" ht="16" x14ac:dyDescent="0.4">
      <c r="B42" s="255"/>
      <c r="C42" s="209"/>
      <c r="D42" s="209"/>
      <c r="E42" s="209"/>
      <c r="F42" s="265"/>
      <c r="G42" s="266"/>
      <c r="H42" s="267">
        <f t="shared" si="13"/>
        <v>0</v>
      </c>
      <c r="I42" s="209"/>
      <c r="J42" s="209"/>
      <c r="K42" s="265"/>
      <c r="L42" s="266"/>
      <c r="M42" s="267">
        <f t="shared" si="14"/>
        <v>0</v>
      </c>
      <c r="N42" s="209"/>
      <c r="O42" s="209"/>
      <c r="P42" s="265"/>
      <c r="Q42" s="266"/>
      <c r="R42" s="267">
        <f t="shared" si="15"/>
        <v>0</v>
      </c>
      <c r="S42" s="209"/>
      <c r="T42" s="209"/>
      <c r="U42" s="265"/>
      <c r="V42" s="266"/>
      <c r="W42" s="267">
        <f t="shared" si="16"/>
        <v>0</v>
      </c>
      <c r="X42" s="209"/>
      <c r="Y42" s="209"/>
      <c r="Z42" s="265"/>
      <c r="AA42" s="266"/>
      <c r="AB42" s="267">
        <f t="shared" si="17"/>
        <v>0</v>
      </c>
      <c r="AC42" s="209"/>
      <c r="AD42" s="209"/>
      <c r="AE42" s="265"/>
      <c r="AF42" s="266"/>
      <c r="AG42" s="267">
        <f t="shared" si="18"/>
        <v>0</v>
      </c>
      <c r="AH42" s="267"/>
    </row>
    <row r="43" spans="2:34" ht="16" x14ac:dyDescent="0.4">
      <c r="B43" s="255"/>
      <c r="C43" s="209"/>
      <c r="D43" s="209"/>
      <c r="E43" s="209"/>
      <c r="F43" s="265"/>
      <c r="G43" s="266"/>
      <c r="H43" s="267">
        <f t="shared" si="13"/>
        <v>0</v>
      </c>
      <c r="I43" s="209"/>
      <c r="J43" s="209"/>
      <c r="K43" s="265"/>
      <c r="L43" s="266"/>
      <c r="M43" s="267">
        <f t="shared" si="14"/>
        <v>0</v>
      </c>
      <c r="N43" s="209"/>
      <c r="O43" s="209"/>
      <c r="P43" s="265"/>
      <c r="Q43" s="266"/>
      <c r="R43" s="267">
        <f t="shared" si="15"/>
        <v>0</v>
      </c>
      <c r="S43" s="209"/>
      <c r="T43" s="209"/>
      <c r="U43" s="265"/>
      <c r="V43" s="266"/>
      <c r="W43" s="267">
        <f t="shared" si="16"/>
        <v>0</v>
      </c>
      <c r="X43" s="209"/>
      <c r="Y43" s="209"/>
      <c r="Z43" s="265"/>
      <c r="AA43" s="266"/>
      <c r="AB43" s="267">
        <f t="shared" si="17"/>
        <v>0</v>
      </c>
      <c r="AC43" s="209"/>
      <c r="AD43" s="209"/>
      <c r="AE43" s="265"/>
      <c r="AF43" s="266"/>
      <c r="AG43" s="267">
        <f t="shared" si="18"/>
        <v>0</v>
      </c>
      <c r="AH43" s="267"/>
    </row>
    <row r="44" spans="2:34" ht="16" x14ac:dyDescent="0.4">
      <c r="B44" s="255"/>
      <c r="C44" s="209"/>
      <c r="D44" s="209"/>
      <c r="E44" s="209"/>
      <c r="F44" s="265"/>
      <c r="G44" s="266"/>
      <c r="H44" s="267">
        <f t="shared" si="13"/>
        <v>0</v>
      </c>
      <c r="I44" s="209"/>
      <c r="J44" s="209"/>
      <c r="K44" s="265"/>
      <c r="L44" s="266"/>
      <c r="M44" s="267">
        <f t="shared" si="14"/>
        <v>0</v>
      </c>
      <c r="N44" s="209"/>
      <c r="O44" s="209"/>
      <c r="P44" s="265"/>
      <c r="Q44" s="266"/>
      <c r="R44" s="267">
        <f t="shared" si="15"/>
        <v>0</v>
      </c>
      <c r="S44" s="209"/>
      <c r="T44" s="209"/>
      <c r="U44" s="265"/>
      <c r="V44" s="266"/>
      <c r="W44" s="267">
        <f t="shared" si="16"/>
        <v>0</v>
      </c>
      <c r="X44" s="209"/>
      <c r="Y44" s="209"/>
      <c r="Z44" s="265"/>
      <c r="AA44" s="266"/>
      <c r="AB44" s="267">
        <f t="shared" si="17"/>
        <v>0</v>
      </c>
      <c r="AC44" s="209"/>
      <c r="AD44" s="209"/>
      <c r="AE44" s="265"/>
      <c r="AF44" s="266"/>
      <c r="AG44" s="267">
        <f t="shared" si="18"/>
        <v>0</v>
      </c>
      <c r="AH44" s="267"/>
    </row>
    <row r="45" spans="2:34" ht="16" x14ac:dyDescent="0.4">
      <c r="B45" s="255"/>
      <c r="C45" s="209"/>
      <c r="D45" s="209"/>
      <c r="E45" s="209"/>
      <c r="F45" s="265"/>
      <c r="G45" s="266"/>
      <c r="H45" s="267">
        <f t="shared" si="13"/>
        <v>0</v>
      </c>
      <c r="I45" s="209"/>
      <c r="J45" s="209"/>
      <c r="K45" s="265"/>
      <c r="L45" s="266"/>
      <c r="M45" s="267">
        <f t="shared" si="14"/>
        <v>0</v>
      </c>
      <c r="N45" s="209"/>
      <c r="O45" s="209"/>
      <c r="P45" s="265"/>
      <c r="Q45" s="266"/>
      <c r="R45" s="267">
        <f t="shared" si="15"/>
        <v>0</v>
      </c>
      <c r="S45" s="209"/>
      <c r="T45" s="209"/>
      <c r="U45" s="265"/>
      <c r="V45" s="266"/>
      <c r="W45" s="267">
        <f t="shared" si="16"/>
        <v>0</v>
      </c>
      <c r="X45" s="209"/>
      <c r="Y45" s="209"/>
      <c r="Z45" s="265"/>
      <c r="AA45" s="266"/>
      <c r="AB45" s="267">
        <f t="shared" si="17"/>
        <v>0</v>
      </c>
      <c r="AC45" s="209"/>
      <c r="AD45" s="209"/>
      <c r="AE45" s="265"/>
      <c r="AF45" s="266"/>
      <c r="AG45" s="267">
        <f t="shared" si="18"/>
        <v>0</v>
      </c>
      <c r="AH45" s="267"/>
    </row>
    <row r="46" spans="2:34" ht="16" x14ac:dyDescent="0.4">
      <c r="B46" s="255"/>
      <c r="C46" s="209"/>
      <c r="D46" s="209"/>
      <c r="E46" s="209"/>
      <c r="F46" s="265"/>
      <c r="G46" s="266"/>
      <c r="H46" s="267">
        <f t="shared" si="13"/>
        <v>0</v>
      </c>
      <c r="I46" s="209"/>
      <c r="J46" s="209"/>
      <c r="K46" s="265"/>
      <c r="L46" s="266"/>
      <c r="M46" s="267">
        <f>IF(L46&lt;M$35,K46-((K46*L46)/M$35),0)</f>
        <v>0</v>
      </c>
      <c r="N46" s="209"/>
      <c r="O46" s="209"/>
      <c r="P46" s="265"/>
      <c r="Q46" s="266"/>
      <c r="R46" s="267">
        <f>IF(Q46&lt;R$35,P46-((P46*Q46)/R$35),0)</f>
        <v>0</v>
      </c>
      <c r="S46" s="209"/>
      <c r="T46" s="209"/>
      <c r="U46" s="265"/>
      <c r="V46" s="266"/>
      <c r="W46" s="267">
        <f>IF(V46&lt;W$35,U46-((U46*V46)/W$35),0)</f>
        <v>0</v>
      </c>
      <c r="X46" s="209"/>
      <c r="Y46" s="209"/>
      <c r="Z46" s="265"/>
      <c r="AA46" s="266"/>
      <c r="AB46" s="267">
        <f>IF(AA46&lt;AB$35,Z46-((Z46*AA46)/AB$35),0)</f>
        <v>0</v>
      </c>
      <c r="AC46" s="209"/>
      <c r="AD46" s="209"/>
      <c r="AE46" s="265"/>
      <c r="AF46" s="266"/>
      <c r="AG46" s="267">
        <f>IF(AF46&lt;AG$35,AE46-((AE46*AF46)/AG$35),0)</f>
        <v>0</v>
      </c>
      <c r="AH46" s="267"/>
    </row>
    <row r="47" spans="2:34" ht="16" x14ac:dyDescent="0.4">
      <c r="B47" s="255"/>
      <c r="C47" s="209"/>
      <c r="D47" s="209"/>
      <c r="E47" s="209"/>
      <c r="F47" s="265"/>
      <c r="G47" s="266"/>
      <c r="H47" s="267">
        <f t="shared" si="13"/>
        <v>0</v>
      </c>
      <c r="I47" s="209"/>
      <c r="J47" s="209"/>
      <c r="K47" s="265"/>
      <c r="L47" s="266"/>
      <c r="M47" s="267">
        <f t="shared" ref="M47:M48" si="19">IF(L47&lt;M$35,K47-((K47*L47)/M$35),0)</f>
        <v>0</v>
      </c>
      <c r="N47" s="209"/>
      <c r="O47" s="209"/>
      <c r="P47" s="265"/>
      <c r="Q47" s="266"/>
      <c r="R47" s="267">
        <f t="shared" ref="R47:R48" si="20">IF(Q47&lt;R$35,P47-((P47*Q47)/R$35),0)</f>
        <v>0</v>
      </c>
      <c r="S47" s="209"/>
      <c r="T47" s="209"/>
      <c r="U47" s="265"/>
      <c r="V47" s="266"/>
      <c r="W47" s="267">
        <f t="shared" ref="W47:W48" si="21">IF(V47&lt;W$35,U47-((U47*V47)/W$35),0)</f>
        <v>0</v>
      </c>
      <c r="X47" s="209"/>
      <c r="Y47" s="209"/>
      <c r="Z47" s="265"/>
      <c r="AA47" s="266"/>
      <c r="AB47" s="267">
        <f t="shared" ref="AB47:AB48" si="22">IF(AA47&lt;AB$35,Z47-((Z47*AA47)/AB$35),0)</f>
        <v>0</v>
      </c>
      <c r="AC47" s="209"/>
      <c r="AD47" s="209"/>
      <c r="AE47" s="265"/>
      <c r="AF47" s="266"/>
      <c r="AG47" s="267">
        <f t="shared" ref="AG47:AG48" si="23">IF(AF47&lt;AG$35,AE47-((AE47*AF47)/AG$35),0)</f>
        <v>0</v>
      </c>
      <c r="AH47" s="267"/>
    </row>
    <row r="48" spans="2:34" ht="16" x14ac:dyDescent="0.4">
      <c r="B48" s="255"/>
      <c r="C48" s="209"/>
      <c r="D48" s="209"/>
      <c r="E48" s="209"/>
      <c r="F48" s="265"/>
      <c r="G48" s="266"/>
      <c r="H48" s="267">
        <f t="shared" si="13"/>
        <v>0</v>
      </c>
      <c r="I48" s="267"/>
      <c r="J48" s="209"/>
      <c r="K48" s="265"/>
      <c r="L48" s="266"/>
      <c r="M48" s="267">
        <f t="shared" si="19"/>
        <v>0</v>
      </c>
      <c r="N48" s="209"/>
      <c r="O48" s="209"/>
      <c r="P48" s="265"/>
      <c r="Q48" s="266"/>
      <c r="R48" s="267">
        <f t="shared" si="20"/>
        <v>0</v>
      </c>
      <c r="S48" s="209"/>
      <c r="T48" s="209"/>
      <c r="U48" s="265"/>
      <c r="V48" s="266"/>
      <c r="W48" s="267">
        <f t="shared" si="21"/>
        <v>0</v>
      </c>
      <c r="X48" s="209"/>
      <c r="Y48" s="209"/>
      <c r="Z48" s="265"/>
      <c r="AA48" s="266"/>
      <c r="AB48" s="267">
        <f t="shared" si="22"/>
        <v>0</v>
      </c>
      <c r="AC48" s="209"/>
      <c r="AD48" s="209"/>
      <c r="AE48" s="265"/>
      <c r="AF48" s="266"/>
      <c r="AG48" s="267">
        <f t="shared" si="23"/>
        <v>0</v>
      </c>
      <c r="AH48" s="267"/>
    </row>
    <row r="49" spans="2:34" ht="16" x14ac:dyDescent="0.4">
      <c r="B49" s="255"/>
      <c r="C49" s="209"/>
      <c r="D49" s="209"/>
      <c r="E49" s="209"/>
      <c r="F49" s="265"/>
      <c r="G49" s="266"/>
      <c r="H49" s="268"/>
      <c r="I49" s="209"/>
      <c r="J49" s="209"/>
      <c r="K49" s="265"/>
      <c r="L49" s="266"/>
      <c r="M49" s="268"/>
      <c r="N49" s="209"/>
      <c r="O49" s="209"/>
      <c r="P49" s="265"/>
      <c r="Q49" s="266"/>
      <c r="R49" s="268"/>
      <c r="S49" s="209"/>
      <c r="T49" s="209"/>
      <c r="U49" s="265"/>
      <c r="V49" s="266"/>
      <c r="W49" s="268"/>
      <c r="X49" s="209"/>
      <c r="Y49" s="209"/>
      <c r="Z49" s="265"/>
      <c r="AA49" s="266"/>
      <c r="AB49" s="268"/>
      <c r="AC49" s="209"/>
      <c r="AD49" s="209"/>
      <c r="AE49" s="265"/>
      <c r="AF49" s="266"/>
      <c r="AG49" s="268"/>
      <c r="AH49" s="268"/>
    </row>
    <row r="50" spans="2:34" ht="16" x14ac:dyDescent="0.4">
      <c r="B50" s="255"/>
      <c r="C50" s="258" t="s">
        <v>247</v>
      </c>
      <c r="D50" s="209"/>
      <c r="E50" s="269" t="s">
        <v>248</v>
      </c>
      <c r="F50" s="269" t="s">
        <v>249</v>
      </c>
      <c r="G50" s="269" t="s">
        <v>250</v>
      </c>
      <c r="H50" s="269" t="s">
        <v>246</v>
      </c>
      <c r="I50" s="209"/>
      <c r="J50" s="269" t="s">
        <v>248</v>
      </c>
      <c r="K50" s="269" t="s">
        <v>249</v>
      </c>
      <c r="L50" s="269" t="s">
        <v>250</v>
      </c>
      <c r="M50" s="269" t="s">
        <v>246</v>
      </c>
      <c r="N50" s="209"/>
      <c r="O50" s="269" t="s">
        <v>248</v>
      </c>
      <c r="P50" s="269" t="s">
        <v>249</v>
      </c>
      <c r="Q50" s="269" t="s">
        <v>250</v>
      </c>
      <c r="R50" s="269" t="s">
        <v>246</v>
      </c>
      <c r="S50" s="209"/>
      <c r="T50" s="269" t="s">
        <v>248</v>
      </c>
      <c r="U50" s="269" t="s">
        <v>249</v>
      </c>
      <c r="V50" s="269" t="s">
        <v>250</v>
      </c>
      <c r="W50" s="269" t="s">
        <v>246</v>
      </c>
      <c r="X50" s="209"/>
      <c r="Y50" s="269" t="s">
        <v>248</v>
      </c>
      <c r="Z50" s="269" t="s">
        <v>249</v>
      </c>
      <c r="AA50" s="269" t="s">
        <v>250</v>
      </c>
      <c r="AB50" s="269" t="s">
        <v>246</v>
      </c>
      <c r="AC50" s="209"/>
      <c r="AD50" s="269" t="s">
        <v>248</v>
      </c>
      <c r="AE50" s="269" t="s">
        <v>249</v>
      </c>
      <c r="AF50" s="269" t="s">
        <v>250</v>
      </c>
      <c r="AG50" s="269" t="s">
        <v>246</v>
      </c>
      <c r="AH50" s="270"/>
    </row>
    <row r="51" spans="2:34" ht="16" x14ac:dyDescent="0.4">
      <c r="B51" s="255"/>
      <c r="C51" s="209"/>
      <c r="D51" s="209"/>
      <c r="E51" s="271"/>
      <c r="F51" s="272"/>
      <c r="G51" s="260"/>
      <c r="H51" s="267">
        <f>IFERROR(IF(G51&gt;H$35,0,(+F51/G51)*E51/F51), 0)</f>
        <v>0</v>
      </c>
      <c r="I51" s="209"/>
      <c r="J51" s="271"/>
      <c r="K51" s="272"/>
      <c r="L51" s="260"/>
      <c r="M51" s="267">
        <f>IFERROR(IF(L51&gt;M$35,0,(+K51/L51)*J51/K51),0)</f>
        <v>0</v>
      </c>
      <c r="N51" s="209"/>
      <c r="O51" s="271"/>
      <c r="P51" s="272"/>
      <c r="Q51" s="260"/>
      <c r="R51" s="267">
        <f>IFERROR(IF(Q51&gt;R$35,0,(+P51/Q51)*O51/P51),0)</f>
        <v>0</v>
      </c>
      <c r="S51" s="273"/>
      <c r="T51" s="271"/>
      <c r="U51" s="272"/>
      <c r="V51" s="260"/>
      <c r="W51" s="267">
        <f>IFERROR(IF(V51&gt;W$35,0,(+U51/V51)*T51/U51),0)</f>
        <v>0</v>
      </c>
      <c r="X51" s="273"/>
      <c r="Y51" s="271"/>
      <c r="Z51" s="272"/>
      <c r="AA51" s="260"/>
      <c r="AB51" s="267">
        <f>IFERROR(IF(AA51&gt;AB$35,0,+Y51/AA51-(AB$35*(Y51/AA51)-Y51)*0.5/AB$35),0)</f>
        <v>0</v>
      </c>
      <c r="AC51" s="273"/>
      <c r="AD51" s="271"/>
      <c r="AE51" s="272"/>
      <c r="AF51" s="260"/>
      <c r="AG51" s="267">
        <f>IFERROR(IF(AF51&gt;AG$35,0,+AD51/AF51-(AG$35*(AD51/AF51)-AD51)*0.5/AG$35),0)</f>
        <v>0</v>
      </c>
      <c r="AH51" s="267"/>
    </row>
    <row r="52" spans="2:34" ht="16" x14ac:dyDescent="0.4">
      <c r="B52" s="255"/>
      <c r="C52" s="209"/>
      <c r="D52" s="209"/>
      <c r="E52" s="271"/>
      <c r="F52" s="272"/>
      <c r="G52" s="260"/>
      <c r="H52" s="267">
        <f>IFERROR(IF(G52&gt;H$35,0,(+F52/G52)*E52/F52),0)</f>
        <v>0</v>
      </c>
      <c r="I52" s="209"/>
      <c r="J52" s="271"/>
      <c r="K52" s="272"/>
      <c r="L52" s="260"/>
      <c r="M52" s="267">
        <f>IFERROR(IF(L52&gt;M$35,0,(+K52/L52)*J52/K52),0)</f>
        <v>0</v>
      </c>
      <c r="N52" s="209"/>
      <c r="O52" s="271"/>
      <c r="P52" s="272"/>
      <c r="Q52" s="260"/>
      <c r="R52" s="267">
        <f>IFERROR(IF(Q52&gt;R$35,0,(+P52/Q52)*O52/P52),0)</f>
        <v>0</v>
      </c>
      <c r="S52" s="209"/>
      <c r="T52" s="271"/>
      <c r="U52" s="272"/>
      <c r="V52" s="260"/>
      <c r="W52" s="267">
        <f>IFERROR(IF(V52&gt;W$35,0,(+U52/V52)*T52/U52),0)</f>
        <v>0</v>
      </c>
      <c r="X52" s="209"/>
      <c r="Y52" s="271"/>
      <c r="Z52" s="272"/>
      <c r="AA52" s="260"/>
      <c r="AB52" s="267">
        <f>IFERROR(IF(AA52&gt;AB$35,0,(+Z52/AA52)*Y52/Z52),0)</f>
        <v>0</v>
      </c>
      <c r="AC52" s="209"/>
      <c r="AD52" s="271"/>
      <c r="AE52" s="272"/>
      <c r="AF52" s="260"/>
      <c r="AG52" s="267">
        <f>IFERROR(IF(AF52&gt;AG$35,0,(+AE52/AF52)*AD52/AE52),0)</f>
        <v>0</v>
      </c>
      <c r="AH52" s="267"/>
    </row>
    <row r="53" spans="2:34" ht="16" x14ac:dyDescent="0.4">
      <c r="B53" s="255"/>
      <c r="C53" s="209"/>
      <c r="D53" s="209"/>
      <c r="E53" s="209"/>
      <c r="F53" s="265"/>
      <c r="G53" s="266"/>
      <c r="H53" s="268"/>
      <c r="I53" s="209"/>
      <c r="J53" s="209"/>
      <c r="K53" s="265"/>
      <c r="L53" s="266"/>
      <c r="M53" s="268"/>
      <c r="N53" s="209"/>
      <c r="O53" s="209"/>
      <c r="P53" s="265"/>
      <c r="Q53" s="266"/>
      <c r="R53" s="268"/>
      <c r="S53" s="209"/>
      <c r="T53" s="209"/>
      <c r="U53" s="265"/>
      <c r="V53" s="266"/>
      <c r="W53" s="268"/>
      <c r="X53" s="209"/>
      <c r="Y53" s="209"/>
      <c r="Z53" s="265"/>
      <c r="AA53" s="266"/>
      <c r="AB53" s="268"/>
      <c r="AC53" s="209"/>
      <c r="AD53" s="209"/>
      <c r="AE53" s="265"/>
      <c r="AF53" s="266"/>
      <c r="AG53" s="268"/>
      <c r="AH53" s="268"/>
    </row>
    <row r="54" spans="2:34" ht="16" x14ac:dyDescent="0.4">
      <c r="B54" s="255"/>
      <c r="C54" s="209"/>
      <c r="D54" s="209"/>
      <c r="E54" s="209"/>
      <c r="F54" s="265"/>
      <c r="G54" s="264" t="s">
        <v>251</v>
      </c>
      <c r="H54" s="264" t="s">
        <v>246</v>
      </c>
      <c r="I54" s="209"/>
      <c r="J54" s="209"/>
      <c r="K54" s="265"/>
      <c r="L54" s="264" t="s">
        <v>251</v>
      </c>
      <c r="M54" s="264" t="s">
        <v>246</v>
      </c>
      <c r="N54" s="209"/>
      <c r="O54" s="209"/>
      <c r="P54" s="265"/>
      <c r="Q54" s="264" t="s">
        <v>251</v>
      </c>
      <c r="R54" s="264" t="s">
        <v>246</v>
      </c>
      <c r="S54" s="209"/>
      <c r="T54" s="209"/>
      <c r="U54" s="265"/>
      <c r="V54" s="264" t="s">
        <v>251</v>
      </c>
      <c r="W54" s="264" t="s">
        <v>246</v>
      </c>
      <c r="X54" s="209"/>
      <c r="Y54" s="209"/>
      <c r="Z54" s="265"/>
      <c r="AA54" s="264" t="s">
        <v>251</v>
      </c>
      <c r="AB54" s="264" t="s">
        <v>246</v>
      </c>
      <c r="AC54" s="209"/>
      <c r="AD54" s="209"/>
      <c r="AE54" s="265"/>
      <c r="AF54" s="264" t="s">
        <v>251</v>
      </c>
      <c r="AG54" s="264" t="s">
        <v>246</v>
      </c>
      <c r="AH54" s="264"/>
    </row>
    <row r="55" spans="2:34" ht="16" x14ac:dyDescent="0.4">
      <c r="B55" s="255"/>
      <c r="C55" s="258" t="s">
        <v>252</v>
      </c>
      <c r="D55" s="209"/>
      <c r="E55" s="209"/>
      <c r="F55" s="265"/>
      <c r="G55" s="265">
        <f>(0.749+0.174)*10</f>
        <v>9.23</v>
      </c>
      <c r="H55" s="267">
        <f>+G55</f>
        <v>9.23</v>
      </c>
      <c r="I55" s="267"/>
      <c r="J55" s="209"/>
      <c r="K55" s="265"/>
      <c r="L55" s="265">
        <v>2.0299999999999998</v>
      </c>
      <c r="M55" s="267">
        <f>+L55</f>
        <v>2.0299999999999998</v>
      </c>
      <c r="N55" s="209"/>
      <c r="O55" s="209"/>
      <c r="P55" s="265"/>
      <c r="Q55" s="265">
        <v>2.3899999999999864</v>
      </c>
      <c r="R55" s="267">
        <f>+Q55</f>
        <v>2.3899999999999864</v>
      </c>
      <c r="S55" s="209"/>
      <c r="T55" s="209"/>
      <c r="U55" s="265"/>
      <c r="V55" s="265"/>
      <c r="W55" s="267">
        <f>+V55</f>
        <v>0</v>
      </c>
      <c r="X55" s="209"/>
      <c r="Y55" s="209"/>
      <c r="Z55" s="265"/>
      <c r="AA55" s="265">
        <v>80</v>
      </c>
      <c r="AB55" s="267">
        <f>+AA55</f>
        <v>80</v>
      </c>
      <c r="AC55" s="209"/>
      <c r="AD55" s="209"/>
      <c r="AE55" s="265"/>
      <c r="AF55" s="265" t="s">
        <v>220</v>
      </c>
      <c r="AG55" s="267"/>
      <c r="AH55" s="267"/>
    </row>
    <row r="56" spans="2:34" ht="16" x14ac:dyDescent="0.4">
      <c r="B56" s="255"/>
      <c r="C56" s="258"/>
      <c r="D56" s="209"/>
      <c r="E56" s="209"/>
      <c r="F56" s="265"/>
      <c r="G56" s="265"/>
      <c r="H56" s="265"/>
      <c r="I56" s="209"/>
      <c r="J56" s="209"/>
      <c r="K56" s="265"/>
      <c r="L56" s="265"/>
      <c r="M56" s="265"/>
      <c r="N56" s="209"/>
      <c r="O56" s="209"/>
      <c r="P56" s="265"/>
      <c r="Q56" s="265"/>
      <c r="R56" s="265"/>
      <c r="S56" s="209"/>
      <c r="T56" s="209"/>
      <c r="U56" s="265"/>
      <c r="V56" s="265"/>
      <c r="W56" s="265"/>
      <c r="X56" s="209"/>
      <c r="Y56" s="209"/>
      <c r="Z56" s="265"/>
      <c r="AA56" s="265"/>
      <c r="AB56" s="265"/>
      <c r="AC56" s="209"/>
      <c r="AD56" s="209"/>
      <c r="AE56" s="265"/>
      <c r="AF56" s="265"/>
      <c r="AG56" s="265"/>
      <c r="AH56" s="265"/>
    </row>
    <row r="57" spans="2:34" ht="16" x14ac:dyDescent="0.4">
      <c r="B57" s="255"/>
      <c r="C57" s="258" t="s">
        <v>253</v>
      </c>
      <c r="D57" s="258"/>
      <c r="E57" s="209"/>
      <c r="F57" s="209"/>
      <c r="G57" s="209"/>
      <c r="H57" s="274">
        <f>+H55+SUM(H40:H48)+SUM(H51:H52)+H37</f>
        <v>1295.23</v>
      </c>
      <c r="I57" s="209"/>
      <c r="J57" s="209"/>
      <c r="K57" s="209"/>
      <c r="L57" s="209"/>
      <c r="M57" s="274">
        <f>+M55+SUM(M40:M48)+SUM(M51:M52)+M37</f>
        <v>395.22999999999996</v>
      </c>
      <c r="N57" s="209"/>
      <c r="O57" s="209"/>
      <c r="P57" s="209"/>
      <c r="Q57" s="209"/>
      <c r="R57" s="274">
        <f>+R55+SUM(R40:R48)+SUM(R51:R52)+R37</f>
        <v>136.19</v>
      </c>
      <c r="S57" s="209"/>
      <c r="T57" s="209"/>
      <c r="U57" s="209"/>
      <c r="V57" s="209"/>
      <c r="W57" s="274">
        <f>+W55+SUM(W40:W48)+SUM(W51:W52)+W37</f>
        <v>4671.3999999999996</v>
      </c>
      <c r="X57" s="209"/>
      <c r="Y57" s="209"/>
      <c r="Z57" s="209"/>
      <c r="AA57" s="209"/>
      <c r="AB57" s="274">
        <f>+AB55+SUM(AB40:AB48)+SUM(AB51:AB52)+AB37</f>
        <v>1190</v>
      </c>
      <c r="AC57" s="209"/>
      <c r="AD57" s="209"/>
      <c r="AE57" s="209"/>
      <c r="AF57" s="209"/>
      <c r="AG57" s="274">
        <f>DilutedShares</f>
        <v>1295.23</v>
      </c>
      <c r="AH57" s="274"/>
    </row>
    <row r="58" spans="2:34" ht="16" x14ac:dyDescent="0.4">
      <c r="B58" s="255"/>
      <c r="C58" s="209"/>
      <c r="D58" s="209"/>
      <c r="E58" s="209"/>
      <c r="F58" s="209"/>
      <c r="G58" s="209"/>
      <c r="H58" s="209"/>
      <c r="I58" s="209"/>
      <c r="J58" s="209"/>
      <c r="K58" s="209"/>
      <c r="L58" s="209"/>
      <c r="M58" s="209"/>
      <c r="N58" s="209"/>
      <c r="O58" s="209"/>
      <c r="P58" s="209"/>
      <c r="Q58" s="209"/>
      <c r="R58" s="268"/>
      <c r="S58" s="209"/>
      <c r="T58" s="209"/>
      <c r="U58" s="209"/>
      <c r="V58" s="209"/>
      <c r="W58" s="209"/>
      <c r="X58" s="209"/>
      <c r="Y58" s="209"/>
      <c r="Z58" s="209"/>
      <c r="AA58" s="209"/>
      <c r="AB58" s="209"/>
      <c r="AC58" s="209"/>
      <c r="AD58" s="209"/>
      <c r="AE58" s="209"/>
      <c r="AF58" s="209"/>
      <c r="AG58" s="209"/>
      <c r="AH58" s="209"/>
    </row>
    <row r="59" spans="2:34" ht="16" x14ac:dyDescent="0.4">
      <c r="B59" s="255"/>
      <c r="C59" s="209"/>
      <c r="D59" s="209"/>
      <c r="E59" s="243" t="s">
        <v>254</v>
      </c>
      <c r="F59" s="251"/>
      <c r="G59" s="251"/>
      <c r="H59" s="251"/>
      <c r="I59" s="209"/>
      <c r="J59" s="243" t="s">
        <v>254</v>
      </c>
      <c r="K59" s="251"/>
      <c r="L59" s="251"/>
      <c r="M59" s="251"/>
      <c r="N59" s="209"/>
      <c r="O59" s="243" t="s">
        <v>254</v>
      </c>
      <c r="P59" s="251"/>
      <c r="Q59" s="251"/>
      <c r="R59" s="251"/>
      <c r="S59" s="209"/>
      <c r="T59" s="243" t="s">
        <v>254</v>
      </c>
      <c r="U59" s="251"/>
      <c r="V59" s="251"/>
      <c r="W59" s="251"/>
      <c r="X59" s="209"/>
      <c r="Y59" s="243" t="s">
        <v>254</v>
      </c>
      <c r="Z59" s="251"/>
      <c r="AA59" s="251"/>
      <c r="AB59" s="251"/>
      <c r="AC59" s="209"/>
      <c r="AD59" s="243" t="s">
        <v>254</v>
      </c>
      <c r="AE59" s="251"/>
      <c r="AF59" s="251"/>
      <c r="AG59" s="251"/>
      <c r="AH59" s="257"/>
    </row>
    <row r="60" spans="2:34" ht="16" x14ac:dyDescent="0.4">
      <c r="B60" s="255"/>
      <c r="C60" s="209"/>
      <c r="D60" s="209"/>
      <c r="E60" s="259"/>
      <c r="F60" s="215"/>
      <c r="G60" s="215"/>
      <c r="H60" s="275"/>
      <c r="I60" s="209"/>
      <c r="J60" s="259"/>
      <c r="K60" s="215"/>
      <c r="L60" s="215"/>
      <c r="M60" s="215"/>
      <c r="N60" s="209"/>
      <c r="O60" s="259"/>
      <c r="P60" s="215"/>
      <c r="Q60" s="215"/>
      <c r="R60" s="215"/>
      <c r="S60" s="209"/>
      <c r="T60" s="259"/>
      <c r="U60" s="215"/>
      <c r="V60" s="215"/>
      <c r="W60" s="215"/>
      <c r="X60" s="209"/>
      <c r="Y60" s="259"/>
      <c r="Z60" s="215"/>
      <c r="AA60" s="215"/>
      <c r="AB60" s="215"/>
      <c r="AC60" s="209"/>
      <c r="AD60" s="259"/>
      <c r="AE60" s="215"/>
      <c r="AF60" s="215"/>
      <c r="AG60" s="215"/>
      <c r="AH60" s="215"/>
    </row>
    <row r="61" spans="2:34" ht="16" x14ac:dyDescent="0.4">
      <c r="B61" s="255"/>
      <c r="C61" s="209" t="s">
        <v>255</v>
      </c>
      <c r="D61" s="209"/>
      <c r="E61" s="259"/>
      <c r="F61" s="215"/>
      <c r="G61" s="215"/>
      <c r="H61" s="276">
        <f>+H57*H36</f>
        <v>94642.456099999996</v>
      </c>
      <c r="I61" s="209"/>
      <c r="J61" s="259"/>
      <c r="K61" s="215"/>
      <c r="L61" s="215"/>
      <c r="M61" s="276">
        <f>+M57*M36</f>
        <v>265942.36239999998</v>
      </c>
      <c r="N61" s="209"/>
      <c r="O61" s="259"/>
      <c r="P61" s="215"/>
      <c r="Q61" s="215"/>
      <c r="R61" s="276">
        <f>+R57*R36</f>
        <v>87100.314499999993</v>
      </c>
      <c r="S61" s="209"/>
      <c r="T61" s="259"/>
      <c r="U61" s="215"/>
      <c r="V61" s="215"/>
      <c r="W61" s="276">
        <f>+W57*W36</f>
        <v>767184.02199999988</v>
      </c>
      <c r="X61" s="209"/>
      <c r="Y61" s="259"/>
      <c r="Z61" s="215"/>
      <c r="AA61" s="215"/>
      <c r="AB61" s="276">
        <f>+AB57*AB36</f>
        <v>186580.09999999998</v>
      </c>
      <c r="AC61" s="209"/>
      <c r="AD61" s="259"/>
      <c r="AE61" s="215"/>
      <c r="AF61" s="215"/>
      <c r="AG61" s="276">
        <f>+AG57*AG36</f>
        <v>227377.62650000001</v>
      </c>
      <c r="AH61" s="276"/>
    </row>
    <row r="62" spans="2:34" ht="16" x14ac:dyDescent="0.4">
      <c r="B62" s="255"/>
      <c r="C62" s="209" t="s">
        <v>256</v>
      </c>
      <c r="D62" s="209"/>
      <c r="E62" s="209"/>
      <c r="F62" s="209"/>
      <c r="G62" s="209"/>
      <c r="H62" s="277">
        <f>+H61+SUM(H19:H27)</f>
        <v>90986.456099999996</v>
      </c>
      <c r="I62" s="209"/>
      <c r="J62" s="209"/>
      <c r="K62" s="209"/>
      <c r="L62" s="209"/>
      <c r="M62" s="277">
        <f>+M61+SUM(M19:M27)</f>
        <v>262061.16239999997</v>
      </c>
      <c r="N62" s="209"/>
      <c r="O62" s="209"/>
      <c r="P62" s="209"/>
      <c r="Q62" s="209"/>
      <c r="R62" s="277">
        <f>+R61+SUM(R19:R27)</f>
        <v>91004.714499999987</v>
      </c>
      <c r="S62" s="209"/>
      <c r="T62" s="209"/>
      <c r="U62" s="209"/>
      <c r="V62" s="209"/>
      <c r="W62" s="277">
        <f>+W61+SUM(W19:W27)</f>
        <v>778424.02199999988</v>
      </c>
      <c r="X62" s="209"/>
      <c r="Y62" s="209"/>
      <c r="Z62" s="209"/>
      <c r="AA62" s="209"/>
      <c r="AB62" s="277">
        <f>+AB61+SUM(AB19:AB27)</f>
        <v>190767.09999999998</v>
      </c>
      <c r="AC62" s="209"/>
      <c r="AD62" s="209"/>
      <c r="AE62" s="209"/>
      <c r="AF62" s="209"/>
      <c r="AG62" s="277">
        <f>+AG61+SUM(AG19:AG27)</f>
        <v>223380.62650000001</v>
      </c>
      <c r="AH62" s="277"/>
    </row>
    <row r="63" spans="2:34" ht="16" x14ac:dyDescent="0.4">
      <c r="B63" s="255"/>
      <c r="C63" s="209" t="s">
        <v>257</v>
      </c>
      <c r="D63" s="209"/>
      <c r="E63" s="209"/>
      <c r="F63" s="209"/>
      <c r="G63" s="209"/>
      <c r="H63" s="278">
        <v>1.49</v>
      </c>
      <c r="I63" s="209"/>
      <c r="J63" s="209"/>
      <c r="K63" s="209"/>
      <c r="L63" s="209"/>
      <c r="M63" s="278">
        <v>1.1000000000000001</v>
      </c>
      <c r="N63" s="209"/>
      <c r="O63" s="209"/>
      <c r="P63" s="209"/>
      <c r="Q63" s="209"/>
      <c r="R63" s="278">
        <v>1.29</v>
      </c>
      <c r="S63" s="209"/>
      <c r="T63" s="209"/>
      <c r="U63" s="209"/>
      <c r="V63" s="209"/>
      <c r="W63" s="278">
        <v>1.19</v>
      </c>
      <c r="X63" s="209"/>
      <c r="Y63" s="209"/>
      <c r="Z63" s="209"/>
      <c r="AA63" s="209"/>
      <c r="AB63" s="278">
        <v>1.29</v>
      </c>
      <c r="AC63" s="209"/>
      <c r="AD63" s="209"/>
      <c r="AE63" s="209"/>
      <c r="AF63" s="209"/>
      <c r="AG63" s="278">
        <v>1.29</v>
      </c>
      <c r="AH63" s="278"/>
    </row>
    <row r="64" spans="2:34" ht="16" x14ac:dyDescent="0.4">
      <c r="B64" s="255"/>
      <c r="C64" s="209"/>
      <c r="D64" s="209"/>
      <c r="E64" s="209"/>
      <c r="F64" s="209"/>
      <c r="G64" s="209"/>
      <c r="H64" s="209"/>
      <c r="I64" s="209"/>
      <c r="J64" s="209"/>
      <c r="K64" s="209"/>
      <c r="L64" s="209"/>
      <c r="M64" s="209"/>
      <c r="N64" s="209"/>
      <c r="O64" s="209"/>
      <c r="P64" s="209"/>
      <c r="Q64" s="209"/>
      <c r="R64" s="209"/>
      <c r="S64" s="209"/>
      <c r="T64" s="209"/>
      <c r="U64" s="209"/>
      <c r="V64" s="209"/>
      <c r="W64" s="209"/>
      <c r="X64" s="209"/>
      <c r="Y64" s="209"/>
      <c r="Z64" s="209"/>
      <c r="AA64" s="209"/>
      <c r="AB64" s="209"/>
      <c r="AC64" s="209"/>
      <c r="AD64" s="209"/>
      <c r="AE64" s="209"/>
      <c r="AF64" s="209"/>
      <c r="AG64" s="209"/>
      <c r="AH64" s="209"/>
    </row>
    <row r="65" spans="2:34" ht="16" x14ac:dyDescent="0.4">
      <c r="B65" s="255"/>
      <c r="C65" s="209"/>
      <c r="D65" s="209"/>
      <c r="E65" s="243" t="s">
        <v>258</v>
      </c>
      <c r="F65" s="251"/>
      <c r="G65" s="251"/>
      <c r="H65" s="251"/>
      <c r="I65" s="209"/>
      <c r="J65" s="243" t="s">
        <v>258</v>
      </c>
      <c r="K65" s="251"/>
      <c r="L65" s="251"/>
      <c r="M65" s="251"/>
      <c r="N65" s="209"/>
      <c r="O65" s="243" t="s">
        <v>258</v>
      </c>
      <c r="P65" s="251"/>
      <c r="Q65" s="251"/>
      <c r="R65" s="251"/>
      <c r="S65" s="209"/>
      <c r="T65" s="243" t="s">
        <v>258</v>
      </c>
      <c r="U65" s="251"/>
      <c r="V65" s="251"/>
      <c r="W65" s="251"/>
      <c r="X65" s="209"/>
      <c r="Y65" s="243" t="s">
        <v>258</v>
      </c>
      <c r="Z65" s="251"/>
      <c r="AA65" s="251"/>
      <c r="AB65" s="251"/>
      <c r="AC65" s="209"/>
      <c r="AD65" s="243" t="s">
        <v>258</v>
      </c>
      <c r="AE65" s="251"/>
      <c r="AF65" s="251"/>
      <c r="AG65" s="251"/>
      <c r="AH65" s="257"/>
    </row>
    <row r="66" spans="2:34" ht="16" x14ac:dyDescent="0.4">
      <c r="B66" s="255"/>
      <c r="C66" s="209"/>
      <c r="D66" s="209"/>
      <c r="E66" s="279" t="str">
        <f>H7</f>
        <v>LTM</v>
      </c>
      <c r="F66" s="216">
        <f>E30</f>
        <v>45838</v>
      </c>
      <c r="G66" s="216">
        <f>F30</f>
        <v>46203</v>
      </c>
      <c r="H66" s="216">
        <f>G30</f>
        <v>46568</v>
      </c>
      <c r="I66" s="209"/>
      <c r="J66" s="279" t="str">
        <f>M7</f>
        <v>LTM</v>
      </c>
      <c r="K66" s="279">
        <f>J30</f>
        <v>45838</v>
      </c>
      <c r="L66" s="279">
        <f>K30</f>
        <v>46203</v>
      </c>
      <c r="M66" s="279">
        <f>L30</f>
        <v>46568</v>
      </c>
      <c r="N66" s="209"/>
      <c r="O66" s="279" t="str">
        <f>R7</f>
        <v>LTM</v>
      </c>
      <c r="P66" s="279">
        <f>O30</f>
        <v>45838</v>
      </c>
      <c r="Q66" s="279">
        <f>P30</f>
        <v>46203</v>
      </c>
      <c r="R66" s="279">
        <f>Q30</f>
        <v>46568</v>
      </c>
      <c r="S66" s="209"/>
      <c r="T66" s="279" t="str">
        <f>W7</f>
        <v>LTM</v>
      </c>
      <c r="U66" s="279">
        <f>T30</f>
        <v>45838</v>
      </c>
      <c r="V66" s="279">
        <f>U30</f>
        <v>46203</v>
      </c>
      <c r="W66" s="279">
        <f>V30</f>
        <v>46568</v>
      </c>
      <c r="X66" s="209"/>
      <c r="Y66" s="279" t="str">
        <f>AB7</f>
        <v>LTM</v>
      </c>
      <c r="Z66" s="279">
        <f>Y30</f>
        <v>45838</v>
      </c>
      <c r="AA66" s="279">
        <f>Z30</f>
        <v>46203</v>
      </c>
      <c r="AB66" s="279">
        <f>AA30</f>
        <v>46568</v>
      </c>
      <c r="AC66" s="209"/>
      <c r="AD66" s="279" t="str">
        <f>AG7</f>
        <v>LTM</v>
      </c>
      <c r="AE66" s="279">
        <f>AD30</f>
        <v>45838</v>
      </c>
      <c r="AF66" s="279">
        <f>AE30</f>
        <v>46203</v>
      </c>
      <c r="AG66" s="279">
        <f>AF30</f>
        <v>46568</v>
      </c>
      <c r="AH66" s="280"/>
    </row>
    <row r="67" spans="2:34" ht="16" x14ac:dyDescent="0.4">
      <c r="B67" s="255"/>
      <c r="C67" s="209" t="s">
        <v>259</v>
      </c>
      <c r="D67" s="209"/>
      <c r="E67" s="281">
        <f>IFERROR(IF(OR(+H$62/H8&lt;0,+H$62/H8&gt;=100),"NM",+H$62/H8), "N/A")</f>
        <v>5.8357121847284263</v>
      </c>
      <c r="F67" s="281">
        <f>IFERROR(IF(OR(+H62/E31&lt;0,+H62/E31&gt;=100),"NM",+H62/E31), "N/A")</f>
        <v>5.5746678366634068</v>
      </c>
      <c r="G67" s="281">
        <f t="shared" ref="G67:H68" si="24">IFERROR(IF(OR(+$H$62/F31&lt;0,+$H$62/F31&gt;=100),"NM",+$H$62/F31), "N/A")</f>
        <v>5.0910208554003713</v>
      </c>
      <c r="H67" s="281">
        <f t="shared" si="24"/>
        <v>4.6493341145208866</v>
      </c>
      <c r="I67" s="209"/>
      <c r="J67" s="281">
        <f>IFERROR(IF(OR(+M$62/M8&lt;0,+M$62/M8&gt;=100),"NM",+M$62/M8),"N/A")</f>
        <v>9.9878482506288577</v>
      </c>
      <c r="K67" s="281">
        <f>IFERROR(IF(OR(+$M$62/J31&lt;0,+$M$62/J31&gt;=100),"NM",+$M$62/J31), "N/A")</f>
        <v>7.7133528300220746</v>
      </c>
      <c r="L67" s="281">
        <f t="shared" ref="L67:M67" si="25">IFERROR(IF(OR(+$M$62/K31&lt;0,+$M$62/K31&gt;=100),"NM",+$M$62/K31), "N/A")</f>
        <v>6.8112063001949315</v>
      </c>
      <c r="M67" s="281">
        <f t="shared" si="25"/>
        <v>6.0169666962852739</v>
      </c>
      <c r="N67" s="209"/>
      <c r="O67" s="281">
        <f>IFERROR(IF(OR(+R$62/R8&lt;0,+R$62/R8&gt;=100),"NM",+R$62/R8),"N/A")</f>
        <v>8.8724494979038688</v>
      </c>
      <c r="P67" s="281">
        <f>IFERROR(IF(OR(+$R$62/O31&lt;0,+$R$62/O31&gt;=100),"NM",+$R$62/O31), "N/A")</f>
        <v>8.1429661212891897</v>
      </c>
      <c r="Q67" s="281">
        <f>IFERROR(IF(OR(+R62/P31&lt;0,+R62/P31&gt;=100),"NM",+R62/P31), "N/A")</f>
        <v>7.9754810198718822</v>
      </c>
      <c r="R67" s="281">
        <f>IFERROR(IF(OR(+R62/Q31&lt;0,+R62/Q31&gt;=100),"NM",+R62/Q31), "N/A")</f>
        <v>7.8114407638314232</v>
      </c>
      <c r="S67" s="209"/>
      <c r="T67" s="281">
        <f>IFERROR(IF(OR(+W$62/W8&lt;0,+W$62/W8&gt;=100),"NM",+W$62/W8),"N/A")</f>
        <v>16.627662544056388</v>
      </c>
      <c r="U67" s="281">
        <f>IFERROR(IF(OR(+$W$62/T31&lt;0,+$W$62/T31&gt;=100),"NM",+$W$62/T31), "N/A")</f>
        <v>20.141013846752568</v>
      </c>
      <c r="V67" s="281">
        <f t="shared" ref="V67:W68" si="26">IFERROR(IF(OR(+$W$62/U31&lt;0,+$W$62/U31&gt;=100),"NM",+$W$62/U31), "N/A")</f>
        <v>18.079904709831748</v>
      </c>
      <c r="W67" s="281">
        <f t="shared" si="26"/>
        <v>16.229716974714314</v>
      </c>
      <c r="X67" s="209"/>
      <c r="Y67" s="281">
        <f>IFERROR(IF(OR(+AB$62/AB8&lt;0,+AB$62/AB8&gt;=100),"NM",+AB$62/AB8),"N/A")</f>
        <v>4.8962347928751084</v>
      </c>
      <c r="Z67" s="281">
        <f>IFERROR(IF(OR(+$AB$62/Y31&lt;0,+$AB$62/Y31&gt;=100),"NM",+$AB$62/Y31), "N/A")</f>
        <v>4.5377523566961155</v>
      </c>
      <c r="AA67" s="281">
        <f t="shared" ref="AA67:AB67" si="27">IFERROR(IF(OR(+$AB$62/Z31&lt;0,+$AB$62/Z31&gt;=100),"NM",+$AB$62/Z31), "N/A")</f>
        <v>4.0733863166033348</v>
      </c>
      <c r="AB67" s="281">
        <f t="shared" si="27"/>
        <v>3.65654067917714</v>
      </c>
      <c r="AC67" s="209"/>
      <c r="AD67" s="281">
        <f>IFERROR(IF(OR(+AG$62/AG8&lt;0,+AG$62/AG8&gt;=100),"NM",+AG$62/AG8),"N/A")</f>
        <v>8.2197757764203718</v>
      </c>
      <c r="AE67" s="281">
        <f t="shared" ref="AE67:AF67" si="28">IFERROR(IF(OR(+$AG$62/AD31&lt;0,+$AG$62/AD31&gt;=100),"NM",+$AG$62/AD31), "N/A")</f>
        <v>7.9193265879539423</v>
      </c>
      <c r="AF67" s="281">
        <f t="shared" si="28"/>
        <v>7.5523444228602559</v>
      </c>
      <c r="AG67" s="281">
        <f>IFERROR(IF(OR(+$AG$62/AF31&lt;0,+$AG$62/AF31&gt;=100),"NM",+$AG$62/AF31), "N/A")</f>
        <v>7.1329944667640657</v>
      </c>
      <c r="AH67" s="281"/>
    </row>
    <row r="68" spans="2:34" ht="16" x14ac:dyDescent="0.4">
      <c r="B68" s="255"/>
      <c r="C68" s="209" t="s">
        <v>260</v>
      </c>
      <c r="D68" s="209"/>
      <c r="E68" s="281">
        <f>IFERROR(IF(OR(+H$62/H14&lt;0,+H$62/H14&gt;=100),"NM",+H$62/H14), "N/A")</f>
        <v>18.303451237175619</v>
      </c>
      <c r="F68" s="281">
        <f>IFERROR(IF(OR(+$H$62/E32&lt;0,+$H$62/E32&gt;=100),"NM",+$H$62/E32), "N/A")</f>
        <v>17.420836989573147</v>
      </c>
      <c r="G68" s="281">
        <f t="shared" si="24"/>
        <v>15.909440173126161</v>
      </c>
      <c r="H68" s="281">
        <f t="shared" si="24"/>
        <v>14.529169107877772</v>
      </c>
      <c r="I68" s="209"/>
      <c r="J68" s="281">
        <f>IFERROR(IF(OR(+M$62/M14&lt;0,+M$62/M14&gt;=100),"NM",+M$62/M14),"N/A")</f>
        <v>29.56032648641332</v>
      </c>
      <c r="K68" s="281">
        <f>IFERROR(IF(OR(+$M$62/J32&lt;0,+$M$62/J32&gt;=100),"NM",+$M$62/J32),"N/A")</f>
        <v>22.686331853006102</v>
      </c>
      <c r="L68" s="281">
        <f t="shared" ref="L68:M68" si="29">IFERROR(IF(OR(+$M$62/K32&lt;0,+$M$62/K32&gt;=100),"NM",+$M$62/K32),"N/A")</f>
        <v>20.032959706455678</v>
      </c>
      <c r="M68" s="281">
        <f t="shared" si="29"/>
        <v>17.696960871427276</v>
      </c>
      <c r="N68" s="209"/>
      <c r="O68" s="281">
        <f>IFERROR(IF(OR(+$R$62/R14&lt;0,+$R$62/R14&gt;=100),"NM",+$R$62/R14),"N/A")</f>
        <v>21.142105807272969</v>
      </c>
      <c r="P68" s="281">
        <f>IFERROR(IF(OR(+$R$62/O32&lt;0,+$R$62/O32&gt;=100),"NM",+$R$62/O32),"N/A")</f>
        <v>19.434286685654396</v>
      </c>
      <c r="Q68" s="281">
        <f t="shared" ref="Q68:R68" si="30">IFERROR(IF(OR(+$R$62/P32&lt;0,+$R$62/P32&gt;=100),"NM",+$R$62/P32),"N/A")</f>
        <v>19.034560906615475</v>
      </c>
      <c r="R68" s="281">
        <f t="shared" si="30"/>
        <v>18.643056715588123</v>
      </c>
      <c r="S68" s="209"/>
      <c r="T68" s="281">
        <f>IFERROR(IF(OR(+W$62/W14&lt;0,+W$62/W14&gt;=100),"NM",+W$62/W14),"N/A")</f>
        <v>48.304314117282026</v>
      </c>
      <c r="U68" s="281">
        <f>IFERROR(IF(OR(+$W$62/T32&lt;0,+$W$62/T32&gt;=100),"NM",+$W$62/T32), "N/A")</f>
        <v>60.302436666923853</v>
      </c>
      <c r="V68" s="281">
        <f t="shared" si="26"/>
        <v>54.131451227041161</v>
      </c>
      <c r="W68" s="281">
        <f t="shared" si="26"/>
        <v>48.591966990162618</v>
      </c>
      <c r="X68" s="209"/>
      <c r="Y68" s="281">
        <f>IFERROR(IF(OR(+AB$62/AB14&lt;0,+AB$62/AB14&gt;=100),"NM",+AB$62/AB14),"N/A")</f>
        <v>16.277056313993171</v>
      </c>
      <c r="Z68" s="281">
        <f>IFERROR(IF(OR(+$AB$62/Y32&lt;0,+$AB$62/Y32&gt;=100),"NM",+$AB$62/Y32),"N/A")</f>
        <v>15.075589224904039</v>
      </c>
      <c r="AA68" s="281">
        <f t="shared" ref="AA68:AB68" si="31">IFERROR(IF(OR(+$AB$62/Z32&lt;0,+$AB$62/Z32&gt;=100),"NM",+$AB$62/Z32),"N/A")</f>
        <v>13.532844905658918</v>
      </c>
      <c r="AB68" s="281">
        <f t="shared" si="31"/>
        <v>12.147975678329368</v>
      </c>
      <c r="AC68" s="209"/>
      <c r="AD68" s="281">
        <f>IFERROR(IF(OR(+AG$62/AG14&lt;0,+AG$62/AG14&gt;=100),"NM",+AG$62/AG14),"N/A")</f>
        <v>27.046933829761475</v>
      </c>
      <c r="AE68" s="281">
        <f>IFERROR(IF(OR(+$AG$62/AD32&lt;0,+$AG$62/AD32&gt;=100),"NM",+$AG$62/AD32),"N/A")</f>
        <v>25.53507270733779</v>
      </c>
      <c r="AF68" s="281">
        <f t="shared" ref="AF68:AG68" si="32">IFERROR(IF(OR(+$AG$62/AE32&lt;0,+$AG$62/AE32&gt;=100),"NM",+$AG$62/AE32),"N/A")</f>
        <v>24.274727540299864</v>
      </c>
      <c r="AG68" s="281">
        <f t="shared" si="32"/>
        <v>22.870626920778601</v>
      </c>
      <c r="AH68" s="281"/>
    </row>
    <row r="69" spans="2:34" ht="16" x14ac:dyDescent="0.4">
      <c r="B69" s="255"/>
      <c r="C69" s="209" t="s">
        <v>261</v>
      </c>
      <c r="D69" s="209"/>
      <c r="E69" s="281">
        <f>IFERROR(IF(OR(+H$61/H9&lt;0,+H$61/H9&gt;=100),"NM",+H$61/H9), "N/A")</f>
        <v>23.328187355188561</v>
      </c>
      <c r="F69" s="281">
        <f>IFERROR(IF(OR($H$61/E$33&lt;0,+$H$61/E$33&gt;=100),"NM",+$H$61/E$33), "N/A")</f>
        <v>21.763850892055572</v>
      </c>
      <c r="G69" s="281">
        <f>IFERROR(IF(OR(H61/F$33&lt;0,+H61/F$33&gt;=100),"NM",+H61/F$33), "N/A")</f>
        <v>19.158319447232014</v>
      </c>
      <c r="H69" s="281">
        <f>IFERROR(IF(OR(H61/G$33&lt;0,+H61/G$33&gt;=100),"NM",+H61/G$33), "N/A")</f>
        <v>16.864717823267618</v>
      </c>
      <c r="I69" s="209"/>
      <c r="J69" s="281">
        <f>IFERROR(IF(OR(+M$61/M9&lt;0,+M$61/M9&gt;=100),"NM",+M$61/M9), "N/A")</f>
        <v>38.392141244405948</v>
      </c>
      <c r="K69" s="281">
        <f>IFERROR(IF(OR($M$61/J$33&lt;0,+$M$61/J$33&gt;=100),"NM",+$M$61/J$33), "N/A")</f>
        <v>27.085085705701577</v>
      </c>
      <c r="L69" s="281">
        <f>IFERROR(IF(OR(M61/K$33&lt;0,+M61/K$33&gt;=100),"NM",+M61/K$33), "N/A")</f>
        <v>23.917239424332969</v>
      </c>
      <c r="M69" s="281">
        <f t="shared" ref="M69" si="33">IFERROR(IF(OR(M61/L$33&lt;0,+M61/L$33&gt;=100),"NM",+M61/L$33), "N/A")</f>
        <v>21.128303378386015</v>
      </c>
      <c r="N69" s="209"/>
      <c r="O69" s="281">
        <f>IFERROR(IF(OR(+R$61/R9&lt;0,+R$61/R9&gt;=100),"NM",+R$61/R9), "N/A")</f>
        <v>29.366255731625081</v>
      </c>
      <c r="P69" s="281">
        <f>IFERROR(IF(OR($R$61/O$33&lt;0,+$R$61/O$33&gt;=100),"NM",+$R$61/O$33), "N/A")</f>
        <v>23.504669748438875</v>
      </c>
      <c r="Q69" s="281">
        <f>IFERROR(IF(OR(R61/P$33&lt;0,+R61/P$33&gt;=100),"NM",+R61/P$33), "N/A")</f>
        <v>17.619692465096605</v>
      </c>
      <c r="R69" s="281">
        <f t="shared" ref="R69" si="34">IFERROR(IF(OR(R61/Q$33&lt;0,+R61/Q$33&gt;=100),"NM",+R61/Q$33), "N/A")</f>
        <v>13.208165266189358</v>
      </c>
      <c r="S69" s="209"/>
      <c r="T69" s="281">
        <f>IFERROR(IF(OR(+W$61/W9&lt;0,+W$61/W9&gt;=100),"NM",+W$61/W9),"N/A")</f>
        <v>54.429515572898183</v>
      </c>
      <c r="U69" s="281">
        <f>IFERROR(IF(OR(+W$61/T33&lt;0,+W$61/T33&gt;=100),"NM",+W$61/T33),"N/A")</f>
        <v>44.473275885556603</v>
      </c>
      <c r="V69" s="281">
        <f>IFERROR(IF(OR(+W$61/U33&lt;0,+W$61/U33&gt;=100),"NM",+W$61/U33),"N/A")</f>
        <v>43.261941522914974</v>
      </c>
      <c r="W69" s="281">
        <f>IFERROR(IF(OR(+W$61/V33&lt;0,+W$61/V33&gt;=100),"NM",+W$61/V33),"N/A")</f>
        <v>42.083600703224683</v>
      </c>
      <c r="X69" s="209"/>
      <c r="Y69" s="281">
        <f>IFERROR(IF(OR(+AB$61/AB9&lt;0,+AB$61/AB9&gt;=100),"NM",+AB$61/AB9),"N/A")</f>
        <v>25.799239491150438</v>
      </c>
      <c r="Z69" s="281">
        <f>IFERROR(IF(OR(+$AB$61/Y33&lt;0,+$AB$61/Y33&gt;=100),"NM",+$AB$61/Y33),"N/A")</f>
        <v>21.060603666245253</v>
      </c>
      <c r="AA69" s="281">
        <f t="shared" ref="AA69:AB69" si="35">IFERROR(IF(OR(+$AB$61/Z33&lt;0,+$AB$61/Z33&gt;=100),"NM",+$AB$61/Z33),"N/A")</f>
        <v>20.48696854693118</v>
      </c>
      <c r="AB69" s="281">
        <f t="shared" si="35"/>
        <v>19.928957730477801</v>
      </c>
      <c r="AC69" s="209"/>
      <c r="AD69" s="281">
        <f>IFERROR(IF(OR(+AG$61/AG9&lt;0,+AG$61/AG9&gt;=100),"NM",+AG$61/AG9),"N/A")</f>
        <v>31.681430472342207</v>
      </c>
      <c r="AE69" s="281">
        <f>IFERROR(IF(OR(+$AG$61/AD33&lt;0,+$AG$61/AD33&gt;=100),"NM",+$AG$61/AD33),"N/A")</f>
        <v>32.404996554122796</v>
      </c>
      <c r="AF69" s="281">
        <f t="shared" ref="AF69:AG69" si="36">IFERROR(IF(OR(+$AG$61/AE33&lt;0,+$AG$61/AE33&gt;=100),"NM",+$AG$61/AE33),"N/A")</f>
        <v>30.738295432637887</v>
      </c>
      <c r="AG69" s="281">
        <f t="shared" si="36"/>
        <v>28.862217004966322</v>
      </c>
      <c r="AH69" s="281"/>
    </row>
    <row r="70" spans="2:34" ht="16" x14ac:dyDescent="0.4">
      <c r="B70" s="255"/>
      <c r="C70" s="209"/>
      <c r="D70" s="209"/>
      <c r="E70" s="209"/>
      <c r="F70" s="209"/>
      <c r="G70" s="209"/>
      <c r="H70" s="209"/>
      <c r="I70" s="209"/>
      <c r="J70" s="209"/>
      <c r="K70" s="209"/>
      <c r="L70" s="209"/>
      <c r="M70" s="209"/>
      <c r="N70" s="209"/>
      <c r="O70" s="209"/>
      <c r="P70" s="209"/>
      <c r="Q70" s="209"/>
      <c r="R70" s="209"/>
      <c r="S70" s="209"/>
      <c r="T70" s="209"/>
      <c r="U70" s="209"/>
      <c r="V70" s="209"/>
      <c r="W70" s="209"/>
      <c r="X70" s="209"/>
      <c r="Y70" s="209"/>
      <c r="Z70" s="209"/>
      <c r="AA70" s="209"/>
      <c r="AB70" s="209"/>
      <c r="AC70" s="209"/>
      <c r="AD70" s="209"/>
      <c r="AE70" s="209"/>
      <c r="AF70" s="209"/>
      <c r="AG70" s="209"/>
      <c r="AH70" s="209"/>
    </row>
    <row r="71" spans="2:34" ht="16" x14ac:dyDescent="0.4">
      <c r="B71" s="255"/>
      <c r="C71" s="209"/>
      <c r="D71" s="209"/>
      <c r="E71" s="243" t="s">
        <v>262</v>
      </c>
      <c r="F71" s="251"/>
      <c r="G71" s="251"/>
      <c r="H71" s="251"/>
      <c r="I71" s="209"/>
      <c r="J71" s="243" t="s">
        <v>262</v>
      </c>
      <c r="K71" s="251"/>
      <c r="L71" s="251"/>
      <c r="M71" s="251"/>
      <c r="N71" s="209"/>
      <c r="O71" s="243" t="s">
        <v>262</v>
      </c>
      <c r="P71" s="251"/>
      <c r="Q71" s="251"/>
      <c r="R71" s="251"/>
      <c r="S71" s="209"/>
      <c r="T71" s="243" t="s">
        <v>262</v>
      </c>
      <c r="U71" s="251"/>
      <c r="V71" s="251"/>
      <c r="W71" s="251"/>
      <c r="X71" s="209"/>
      <c r="Y71" s="243" t="s">
        <v>262</v>
      </c>
      <c r="Z71" s="251"/>
      <c r="AA71" s="251"/>
      <c r="AB71" s="251"/>
      <c r="AC71" s="209"/>
      <c r="AD71" s="243" t="s">
        <v>262</v>
      </c>
      <c r="AE71" s="251"/>
      <c r="AF71" s="251"/>
      <c r="AG71" s="251"/>
      <c r="AH71" s="257"/>
    </row>
    <row r="72" spans="2:34" ht="16" x14ac:dyDescent="0.4">
      <c r="B72" s="255"/>
      <c r="C72" s="209"/>
      <c r="D72" s="209"/>
      <c r="E72" s="282"/>
      <c r="F72" s="282"/>
      <c r="G72" s="282"/>
      <c r="H72" s="282"/>
      <c r="I72" s="209"/>
      <c r="J72" s="282"/>
      <c r="K72" s="282"/>
      <c r="L72" s="282"/>
      <c r="M72" s="282"/>
      <c r="N72" s="209"/>
      <c r="O72" s="282"/>
      <c r="P72" s="282"/>
      <c r="Q72" s="282"/>
      <c r="R72" s="282"/>
      <c r="S72" s="209"/>
      <c r="T72" s="282"/>
      <c r="U72" s="282"/>
      <c r="V72" s="282"/>
      <c r="W72" s="282"/>
      <c r="X72" s="209"/>
      <c r="Y72" s="282"/>
      <c r="Z72" s="282"/>
      <c r="AA72" s="282"/>
      <c r="AB72" s="282"/>
      <c r="AC72" s="209"/>
      <c r="AD72" s="282"/>
      <c r="AE72" s="282"/>
      <c r="AF72" s="282"/>
      <c r="AG72" s="282"/>
      <c r="AH72" s="209"/>
    </row>
    <row r="73" spans="2:34" ht="16" x14ac:dyDescent="0.4">
      <c r="B73" s="255"/>
      <c r="C73" s="209" t="str">
        <f>TEXT(Forward_Year_1,"yyyy-mm-dd")&amp;" "&amp;C31</f>
        <v>2025-06-30 Revenue:</v>
      </c>
      <c r="D73" s="209"/>
      <c r="E73" s="282"/>
      <c r="F73" s="282"/>
      <c r="G73" s="282"/>
      <c r="H73" s="283">
        <f>+E31</f>
        <v>16321.412999999999</v>
      </c>
      <c r="I73" s="209"/>
      <c r="J73" s="282"/>
      <c r="K73" s="282"/>
      <c r="L73" s="282"/>
      <c r="M73" s="283">
        <f>+J31</f>
        <v>33975</v>
      </c>
      <c r="N73" s="209"/>
      <c r="O73" s="282"/>
      <c r="P73" s="282"/>
      <c r="Q73" s="282"/>
      <c r="R73" s="283">
        <f>+O31</f>
        <v>11175.868</v>
      </c>
      <c r="S73" s="209"/>
      <c r="T73" s="282"/>
      <c r="U73" s="282"/>
      <c r="V73" s="282"/>
      <c r="W73" s="283">
        <f>+T31</f>
        <v>38648.701000000001</v>
      </c>
      <c r="X73" s="209"/>
      <c r="Y73" s="282"/>
      <c r="Z73" s="282"/>
      <c r="AA73" s="282"/>
      <c r="AB73" s="283">
        <f>+Y31</f>
        <v>42039.998</v>
      </c>
      <c r="AC73" s="209"/>
      <c r="AD73" s="282"/>
      <c r="AE73" s="282"/>
      <c r="AF73" s="282"/>
      <c r="AG73" s="283">
        <f>+AD31</f>
        <v>28207.022910228687</v>
      </c>
      <c r="AH73" s="283"/>
    </row>
    <row r="74" spans="2:34" ht="16" x14ac:dyDescent="0.4">
      <c r="B74" s="255"/>
      <c r="C74" s="209" t="str">
        <f>TEXT(Forward_Year_1,"yyyy-mm-dd")&amp;" "&amp;C32</f>
        <v>2025-06-30 EBITDA:</v>
      </c>
      <c r="D74" s="209"/>
      <c r="E74" s="282"/>
      <c r="F74" s="282"/>
      <c r="G74" s="282"/>
      <c r="H74" s="284">
        <f>+E32</f>
        <v>5222.8521599999995</v>
      </c>
      <c r="I74" s="209"/>
      <c r="J74" s="282"/>
      <c r="K74" s="282"/>
      <c r="L74" s="282"/>
      <c r="M74" s="284">
        <f>+J32</f>
        <v>11551.5</v>
      </c>
      <c r="N74" s="209"/>
      <c r="O74" s="282"/>
      <c r="P74" s="282"/>
      <c r="Q74" s="282"/>
      <c r="R74" s="284">
        <f>+O32</f>
        <v>4682.6886919999997</v>
      </c>
      <c r="S74" s="209"/>
      <c r="T74" s="282"/>
      <c r="U74" s="282"/>
      <c r="V74" s="282"/>
      <c r="W74" s="284">
        <f>+T32</f>
        <v>12908.666134000001</v>
      </c>
      <c r="X74" s="209"/>
      <c r="Y74" s="282"/>
      <c r="Z74" s="282"/>
      <c r="AA74" s="282"/>
      <c r="AB74" s="284">
        <f>+Y32</f>
        <v>12654.039397999999</v>
      </c>
      <c r="AC74" s="209"/>
      <c r="AD74" s="282"/>
      <c r="AE74" s="282"/>
      <c r="AF74" s="282"/>
      <c r="AG74" s="284">
        <f>+AD32</f>
        <v>8747.9925771195904</v>
      </c>
      <c r="AH74" s="284"/>
    </row>
    <row r="75" spans="2:34" ht="16" x14ac:dyDescent="0.4">
      <c r="B75" s="255"/>
      <c r="C75" s="209" t="str">
        <f>TEXT(Forward_Year_1,"yyyy-mm-dd")&amp;" "&amp;C33</f>
        <v>2025-06-30 Reported Net Income:</v>
      </c>
      <c r="D75" s="209"/>
      <c r="E75" s="282"/>
      <c r="F75" s="282"/>
      <c r="G75" s="282"/>
      <c r="H75" s="284">
        <f>+E33</f>
        <v>4348.6080000000002</v>
      </c>
      <c r="I75" s="209"/>
      <c r="J75" s="282"/>
      <c r="K75" s="282"/>
      <c r="L75" s="282"/>
      <c r="M75" s="284">
        <f>+J33</f>
        <v>9818.7749999999996</v>
      </c>
      <c r="N75" s="209"/>
      <c r="O75" s="282"/>
      <c r="P75" s="282"/>
      <c r="Q75" s="282"/>
      <c r="R75" s="284">
        <f>+O33</f>
        <v>3705.66</v>
      </c>
      <c r="S75" s="209"/>
      <c r="T75" s="282"/>
      <c r="U75" s="282"/>
      <c r="V75" s="282"/>
      <c r="W75" s="284">
        <f>+T33</f>
        <v>17250.45</v>
      </c>
      <c r="X75" s="209"/>
      <c r="Y75" s="282"/>
      <c r="Z75" s="282"/>
      <c r="AA75" s="282"/>
      <c r="AB75" s="284">
        <f>+Y33</f>
        <v>8859.2000000000007</v>
      </c>
      <c r="AC75" s="209"/>
      <c r="AD75" s="282"/>
      <c r="AE75" s="282"/>
      <c r="AF75" s="282"/>
      <c r="AG75" s="284">
        <f>+AD33</f>
        <v>7016.7458934992974</v>
      </c>
      <c r="AH75" s="284"/>
    </row>
    <row r="76" spans="2:34" ht="16" x14ac:dyDescent="0.4">
      <c r="B76" s="255"/>
      <c r="C76" s="209"/>
      <c r="D76" s="209"/>
      <c r="E76" s="282"/>
      <c r="F76" s="282"/>
      <c r="G76" s="282"/>
      <c r="H76" s="282"/>
      <c r="I76" s="209"/>
      <c r="J76" s="282"/>
      <c r="K76" s="282"/>
      <c r="L76" s="282"/>
      <c r="M76" s="282"/>
      <c r="N76" s="209"/>
      <c r="O76" s="282"/>
      <c r="P76" s="282"/>
      <c r="Q76" s="282"/>
      <c r="R76" s="282"/>
      <c r="S76" s="209"/>
      <c r="T76" s="282"/>
      <c r="U76" s="282"/>
      <c r="V76" s="282"/>
      <c r="W76" s="282"/>
      <c r="X76" s="209"/>
      <c r="Y76" s="282"/>
      <c r="Z76" s="282"/>
      <c r="AA76" s="282"/>
      <c r="AB76" s="282"/>
      <c r="AC76" s="209"/>
      <c r="AD76" s="282"/>
      <c r="AE76" s="282"/>
      <c r="AF76" s="282"/>
      <c r="AG76" s="282"/>
      <c r="AH76" s="209"/>
    </row>
    <row r="77" spans="2:34" ht="16" x14ac:dyDescent="0.4">
      <c r="B77" s="255"/>
      <c r="C77" s="209" t="str">
        <f>TEXT(Forward_Year_2,"yyyy-mm-dd")&amp;" "&amp;C31</f>
        <v>2026-06-30 Revenue:</v>
      </c>
      <c r="D77" s="209"/>
      <c r="E77" s="282"/>
      <c r="F77" s="282"/>
      <c r="G77" s="282"/>
      <c r="H77" s="285">
        <f>+F31</f>
        <v>17871.947235</v>
      </c>
      <c r="I77" s="209"/>
      <c r="J77" s="282"/>
      <c r="K77" s="282"/>
      <c r="L77" s="282"/>
      <c r="M77" s="285">
        <f>+K31</f>
        <v>38475</v>
      </c>
      <c r="N77" s="209"/>
      <c r="O77" s="282"/>
      <c r="P77" s="282"/>
      <c r="Q77" s="282"/>
      <c r="R77" s="285">
        <f>+P31</f>
        <v>11410.561227999999</v>
      </c>
      <c r="S77" s="209"/>
      <c r="T77" s="282"/>
      <c r="U77" s="282"/>
      <c r="V77" s="282"/>
      <c r="W77" s="285">
        <f>+U31</f>
        <v>43054.652914000006</v>
      </c>
      <c r="X77" s="209"/>
      <c r="Y77" s="282"/>
      <c r="Z77" s="282"/>
      <c r="AA77" s="282"/>
      <c r="AB77" s="285">
        <f>+Z31</f>
        <v>46832.557772000007</v>
      </c>
      <c r="AC77" s="209"/>
      <c r="AD77" s="282"/>
      <c r="AE77" s="282"/>
      <c r="AF77" s="282"/>
      <c r="AG77" s="285">
        <f>+AE31</f>
        <v>29577.653506353243</v>
      </c>
      <c r="AH77" s="285"/>
    </row>
    <row r="78" spans="2:34" ht="16" x14ac:dyDescent="0.4">
      <c r="B78" s="255"/>
      <c r="C78" s="209" t="str">
        <f>TEXT(Forward_Year_2,"yyyy-mm-dd")&amp;" "&amp;C32</f>
        <v>2026-06-30 EBITDA:</v>
      </c>
      <c r="D78" s="209"/>
      <c r="E78" s="282"/>
      <c r="F78" s="282"/>
      <c r="G78" s="282"/>
      <c r="H78" s="284">
        <f>+F32</f>
        <v>5719.0231151999997</v>
      </c>
      <c r="I78" s="209"/>
      <c r="J78" s="282"/>
      <c r="K78" s="282"/>
      <c r="L78" s="282"/>
      <c r="M78" s="284">
        <f>+K32</f>
        <v>13081.500000000002</v>
      </c>
      <c r="N78" s="209"/>
      <c r="O78" s="282"/>
      <c r="P78" s="282"/>
      <c r="Q78" s="282"/>
      <c r="R78" s="284">
        <f>+P32</f>
        <v>4781.0251545319989</v>
      </c>
      <c r="S78" s="209"/>
      <c r="T78" s="282"/>
      <c r="U78" s="282"/>
      <c r="V78" s="282"/>
      <c r="W78" s="284">
        <f>+U32</f>
        <v>14380.254073276003</v>
      </c>
      <c r="X78" s="209"/>
      <c r="Y78" s="282"/>
      <c r="Z78" s="282"/>
      <c r="AA78" s="282"/>
      <c r="AB78" s="284">
        <f>+Z32</f>
        <v>14096.599889372003</v>
      </c>
      <c r="AC78" s="209"/>
      <c r="AD78" s="282"/>
      <c r="AE78" s="282"/>
      <c r="AF78" s="282"/>
      <c r="AG78" s="284">
        <f>+AE32</f>
        <v>9202.1888249477997</v>
      </c>
      <c r="AH78" s="284"/>
    </row>
    <row r="79" spans="2:34" ht="16" x14ac:dyDescent="0.4">
      <c r="B79" s="255"/>
      <c r="C79" s="209" t="str">
        <f>TEXT(Forward_Year_2,"yyyy-mm-dd")&amp;" "&amp;C33</f>
        <v>2026-06-30 Reported Net Income:</v>
      </c>
      <c r="D79" s="209"/>
      <c r="E79" s="282"/>
      <c r="F79" s="282"/>
      <c r="G79" s="282"/>
      <c r="H79" s="284">
        <f>+F33</f>
        <v>4940.018688000001</v>
      </c>
      <c r="I79" s="209"/>
      <c r="J79" s="282"/>
      <c r="K79" s="282"/>
      <c r="L79" s="282"/>
      <c r="M79" s="284">
        <f>+K33</f>
        <v>11119.275</v>
      </c>
      <c r="N79" s="209"/>
      <c r="O79" s="282"/>
      <c r="P79" s="282"/>
      <c r="Q79" s="282"/>
      <c r="R79" s="284">
        <f>+P33</f>
        <v>4943.3504400000002</v>
      </c>
      <c r="S79" s="209"/>
      <c r="T79" s="282"/>
      <c r="U79" s="282"/>
      <c r="V79" s="282"/>
      <c r="W79" s="284">
        <f>+U33</f>
        <v>17733.462600000003</v>
      </c>
      <c r="X79" s="209"/>
      <c r="Y79" s="282"/>
      <c r="Z79" s="282"/>
      <c r="AA79" s="282"/>
      <c r="AB79" s="284">
        <f>+Z33</f>
        <v>9107.2576000000008</v>
      </c>
      <c r="AC79" s="209"/>
      <c r="AD79" s="282"/>
      <c r="AE79" s="282"/>
      <c r="AF79" s="282"/>
      <c r="AG79" s="284">
        <f>+AE33</f>
        <v>7397.2100046436117</v>
      </c>
      <c r="AH79" s="284"/>
    </row>
    <row r="80" spans="2:34" ht="16" x14ac:dyDescent="0.4">
      <c r="B80" s="255"/>
      <c r="C80" s="209"/>
      <c r="D80" s="209"/>
      <c r="E80" s="282"/>
      <c r="F80" s="282"/>
      <c r="G80" s="282"/>
      <c r="H80" s="282"/>
      <c r="I80" s="209"/>
      <c r="J80" s="282"/>
      <c r="K80" s="282"/>
      <c r="L80" s="282"/>
      <c r="M80" s="282"/>
      <c r="N80" s="209"/>
      <c r="O80" s="282"/>
      <c r="P80" s="282"/>
      <c r="Q80" s="282"/>
      <c r="R80" s="282"/>
      <c r="S80" s="209"/>
      <c r="T80" s="282"/>
      <c r="U80" s="282"/>
      <c r="V80" s="282"/>
      <c r="W80" s="282"/>
      <c r="X80" s="209"/>
      <c r="Y80" s="282"/>
      <c r="Z80" s="282"/>
      <c r="AA80" s="282"/>
      <c r="AB80" s="282"/>
      <c r="AC80" s="209"/>
      <c r="AD80" s="282"/>
      <c r="AE80" s="282"/>
      <c r="AF80" s="282"/>
      <c r="AG80" s="282"/>
      <c r="AH80" s="209"/>
    </row>
    <row r="81" spans="2:34" ht="16" x14ac:dyDescent="0.4">
      <c r="B81" s="255"/>
      <c r="C81" s="209" t="str">
        <f>TEXT(Forward_Year_3,"yyyy-mm-dd")&amp;" "&amp;C31</f>
        <v>2027-06-30 Revenue:</v>
      </c>
      <c r="D81" s="209"/>
      <c r="E81" s="282"/>
      <c r="F81" s="282"/>
      <c r="G81" s="282"/>
      <c r="H81" s="284">
        <f>+G31</f>
        <v>19569.782222325</v>
      </c>
      <c r="I81" s="209"/>
      <c r="J81" s="282"/>
      <c r="K81" s="282"/>
      <c r="L81" s="282"/>
      <c r="M81" s="284">
        <f>+L31</f>
        <v>43553.700000000004</v>
      </c>
      <c r="N81" s="209"/>
      <c r="O81" s="282"/>
      <c r="P81" s="282"/>
      <c r="Q81" s="282"/>
      <c r="R81" s="284">
        <f>+Q31</f>
        <v>11650.183013787997</v>
      </c>
      <c r="S81" s="209"/>
      <c r="T81" s="282"/>
      <c r="U81" s="282"/>
      <c r="V81" s="282"/>
      <c r="W81" s="284">
        <f>+V31</f>
        <v>47962.883346196009</v>
      </c>
      <c r="X81" s="209"/>
      <c r="Y81" s="282"/>
      <c r="Z81" s="282"/>
      <c r="AA81" s="282"/>
      <c r="AB81" s="284">
        <f>+AA31</f>
        <v>52171.469358008013</v>
      </c>
      <c r="AC81" s="209"/>
      <c r="AD81" s="282"/>
      <c r="AE81" s="282"/>
      <c r="AF81" s="282"/>
      <c r="AG81" s="284">
        <f>+AF31</f>
        <v>31316.528779159173</v>
      </c>
      <c r="AH81" s="284"/>
    </row>
    <row r="82" spans="2:34" ht="16" x14ac:dyDescent="0.4">
      <c r="B82" s="255"/>
      <c r="C82" s="209" t="str">
        <f>TEXT(Forward_Year_3,"yyyy-mm-dd")&amp;" "&amp;C32</f>
        <v>2027-06-30 EBITDA:</v>
      </c>
      <c r="D82" s="209"/>
      <c r="E82" s="282"/>
      <c r="F82" s="282"/>
      <c r="G82" s="282"/>
      <c r="H82" s="284">
        <f>+G32</f>
        <v>6262.330311144</v>
      </c>
      <c r="I82" s="209"/>
      <c r="J82" s="282"/>
      <c r="K82" s="282"/>
      <c r="L82" s="282"/>
      <c r="M82" s="284">
        <f>+L32</f>
        <v>14808.258000000003</v>
      </c>
      <c r="N82" s="209"/>
      <c r="O82" s="282"/>
      <c r="P82" s="282"/>
      <c r="Q82" s="282"/>
      <c r="R82" s="284">
        <f>+Q32</f>
        <v>4881.4266827771708</v>
      </c>
      <c r="S82" s="209"/>
      <c r="T82" s="282"/>
      <c r="U82" s="282"/>
      <c r="V82" s="282"/>
      <c r="W82" s="284">
        <f>+V32</f>
        <v>16019.603037629468</v>
      </c>
      <c r="X82" s="209"/>
      <c r="Y82" s="282"/>
      <c r="Z82" s="282"/>
      <c r="AA82" s="282"/>
      <c r="AB82" s="284">
        <f>+AA32</f>
        <v>15703.612276760412</v>
      </c>
      <c r="AC82" s="209"/>
      <c r="AD82" s="282"/>
      <c r="AE82" s="282"/>
      <c r="AF82" s="282"/>
      <c r="AG82" s="284">
        <f>+AF32</f>
        <v>9767.1405018221212</v>
      </c>
      <c r="AH82" s="284"/>
    </row>
    <row r="83" spans="2:34" ht="16" x14ac:dyDescent="0.4">
      <c r="B83" s="255"/>
      <c r="C83" s="209" t="str">
        <f>TEXT(Forward_Year_3,"yyyy-mm-dd")&amp;" "&amp;C33</f>
        <v>2027-06-30 Reported Net Income:</v>
      </c>
      <c r="D83" s="209"/>
      <c r="E83" s="282"/>
      <c r="F83" s="282"/>
      <c r="G83" s="282"/>
      <c r="H83" s="284">
        <f>+G33</f>
        <v>5611.8612295680014</v>
      </c>
      <c r="I83" s="209"/>
      <c r="J83" s="282"/>
      <c r="K83" s="282"/>
      <c r="L83" s="282"/>
      <c r="M83" s="284">
        <f>+L33</f>
        <v>12587.0193</v>
      </c>
      <c r="N83" s="209"/>
      <c r="O83" s="282"/>
      <c r="P83" s="282"/>
      <c r="Q83" s="282"/>
      <c r="R83" s="284">
        <f>+Q33</f>
        <v>6594.4294869600008</v>
      </c>
      <c r="S83" s="209"/>
      <c r="T83" s="282"/>
      <c r="U83" s="282"/>
      <c r="V83" s="282"/>
      <c r="W83" s="284">
        <f>+V33</f>
        <v>18229.999552800004</v>
      </c>
      <c r="X83" s="209"/>
      <c r="Y83" s="282"/>
      <c r="Z83" s="282"/>
      <c r="AA83" s="282"/>
      <c r="AB83" s="284">
        <f>+AA33</f>
        <v>9362.2608128000011</v>
      </c>
      <c r="AC83" s="209"/>
      <c r="AD83" s="282"/>
      <c r="AE83" s="282"/>
      <c r="AF83" s="282"/>
      <c r="AG83" s="284">
        <f>+AF33</f>
        <v>7878.0374515538824</v>
      </c>
      <c r="AH83" s="284"/>
    </row>
    <row r="84" spans="2:34" ht="16" x14ac:dyDescent="0.4">
      <c r="B84" s="255"/>
      <c r="C84" s="209"/>
      <c r="D84" s="209"/>
      <c r="E84" s="282"/>
      <c r="F84" s="282"/>
      <c r="G84" s="282"/>
      <c r="H84" s="282"/>
      <c r="I84" s="209"/>
      <c r="J84" s="282"/>
      <c r="K84" s="282"/>
      <c r="L84" s="282"/>
      <c r="M84" s="282"/>
      <c r="N84" s="209"/>
      <c r="O84" s="282"/>
      <c r="P84" s="282"/>
      <c r="Q84" s="282"/>
      <c r="R84" s="282"/>
      <c r="S84" s="209"/>
      <c r="T84" s="282"/>
      <c r="U84" s="282"/>
      <c r="V84" s="282"/>
      <c r="W84" s="282"/>
      <c r="X84" s="209"/>
      <c r="Y84" s="282"/>
      <c r="Z84" s="282"/>
      <c r="AA84" s="282"/>
      <c r="AB84" s="282"/>
      <c r="AC84" s="209"/>
      <c r="AD84" s="282"/>
      <c r="AE84" s="282"/>
      <c r="AF84" s="282"/>
      <c r="AG84" s="282"/>
      <c r="AH84" s="209"/>
    </row>
    <row r="85" spans="2:34" ht="16" x14ac:dyDescent="0.4">
      <c r="B85" s="255"/>
      <c r="C85" s="209" t="s">
        <v>263</v>
      </c>
      <c r="D85" s="209"/>
      <c r="E85" s="282"/>
      <c r="F85" s="282"/>
      <c r="G85" s="282"/>
      <c r="H85" s="286">
        <f>IFERROR(+H77/H73-1,"N/A")</f>
        <v>9.4999999999999973E-2</v>
      </c>
      <c r="I85" s="209"/>
      <c r="J85" s="282"/>
      <c r="K85" s="282"/>
      <c r="L85" s="282"/>
      <c r="M85" s="286">
        <f>IFERROR(+M77/M73-1,"N/A")</f>
        <v>0.13245033112582782</v>
      </c>
      <c r="N85" s="209"/>
      <c r="O85" s="282"/>
      <c r="P85" s="282"/>
      <c r="Q85" s="282"/>
      <c r="R85" s="286">
        <f>IFERROR(+R77/R73-1,"N/A")</f>
        <v>2.0999999999999908E-2</v>
      </c>
      <c r="S85" s="209"/>
      <c r="T85" s="282"/>
      <c r="U85" s="282"/>
      <c r="V85" s="282"/>
      <c r="W85" s="286">
        <f>IFERROR(+W77/W73-1,"N/A")</f>
        <v>0.1140000000000001</v>
      </c>
      <c r="X85" s="209"/>
      <c r="Y85" s="282"/>
      <c r="Z85" s="282"/>
      <c r="AA85" s="282"/>
      <c r="AB85" s="286">
        <f>IFERROR(+AB77/AB73-1,"N/A")</f>
        <v>0.1140000000000001</v>
      </c>
      <c r="AC85" s="209"/>
      <c r="AD85" s="282"/>
      <c r="AE85" s="282"/>
      <c r="AF85" s="282"/>
      <c r="AG85" s="286">
        <f>IFERROR(+AG77/AG73-1,"N/A")</f>
        <v>4.8591820572015276E-2</v>
      </c>
      <c r="AH85" s="286"/>
    </row>
    <row r="86" spans="2:34" ht="16" x14ac:dyDescent="0.4">
      <c r="B86" s="255"/>
      <c r="C86" s="209" t="s">
        <v>264</v>
      </c>
      <c r="D86" s="209"/>
      <c r="E86" s="282"/>
      <c r="F86" s="282"/>
      <c r="G86" s="282"/>
      <c r="H86" s="286">
        <f>IFERROR(+H78/H74-1,"N/A")</f>
        <v>9.4999999999999973E-2</v>
      </c>
      <c r="I86" s="209"/>
      <c r="J86" s="282"/>
      <c r="K86" s="282"/>
      <c r="L86" s="282"/>
      <c r="M86" s="286">
        <f>IFERROR(+M78/M74-1,"N/A")</f>
        <v>0.13245033112582805</v>
      </c>
      <c r="N86" s="209"/>
      <c r="O86" s="282"/>
      <c r="P86" s="282"/>
      <c r="Q86" s="282"/>
      <c r="R86" s="286">
        <f>IFERROR(+R78/R74-1,"N/A")</f>
        <v>2.0999999999999908E-2</v>
      </c>
      <c r="S86" s="209"/>
      <c r="T86" s="282"/>
      <c r="U86" s="282"/>
      <c r="V86" s="282"/>
      <c r="W86" s="286">
        <f>IFERROR(+W78/W74-1,"N/A")</f>
        <v>0.1140000000000001</v>
      </c>
      <c r="X86" s="209"/>
      <c r="Y86" s="282"/>
      <c r="Z86" s="282"/>
      <c r="AA86" s="282"/>
      <c r="AB86" s="286">
        <f>IFERROR(+AB78/AB74-1,"N/A")</f>
        <v>0.11400000000000032</v>
      </c>
      <c r="AC86" s="209"/>
      <c r="AD86" s="282"/>
      <c r="AE86" s="282"/>
      <c r="AF86" s="282"/>
      <c r="AG86" s="286">
        <f>IFERROR(+AG78/AG74-1,"N/A")</f>
        <v>5.1920054095171642E-2</v>
      </c>
      <c r="AH86" s="286"/>
    </row>
    <row r="87" spans="2:34" ht="16" x14ac:dyDescent="0.4">
      <c r="B87" s="255"/>
      <c r="C87" s="209"/>
      <c r="D87" s="209"/>
      <c r="E87" s="282"/>
      <c r="F87" s="282"/>
      <c r="G87" s="282"/>
      <c r="H87" s="282"/>
      <c r="I87" s="209"/>
      <c r="J87" s="282"/>
      <c r="K87" s="282"/>
      <c r="L87" s="282"/>
      <c r="M87" s="282"/>
      <c r="N87" s="209"/>
      <c r="O87" s="282"/>
      <c r="P87" s="282"/>
      <c r="Q87" s="282"/>
      <c r="R87" s="282"/>
      <c r="S87" s="209"/>
      <c r="T87" s="282"/>
      <c r="U87" s="282"/>
      <c r="V87" s="282"/>
      <c r="W87" s="282"/>
      <c r="X87" s="209"/>
      <c r="Y87" s="282"/>
      <c r="Z87" s="282"/>
      <c r="AA87" s="282"/>
      <c r="AB87" s="282"/>
      <c r="AC87" s="209"/>
      <c r="AD87" s="282"/>
      <c r="AE87" s="282"/>
      <c r="AF87" s="282"/>
      <c r="AG87" s="282"/>
      <c r="AH87" s="209"/>
    </row>
    <row r="88" spans="2:34" ht="16" x14ac:dyDescent="0.4">
      <c r="B88" s="255"/>
      <c r="C88" s="209" t="s">
        <v>265</v>
      </c>
      <c r="D88" s="209"/>
      <c r="E88" s="282"/>
      <c r="F88" s="282"/>
      <c r="G88" s="282"/>
      <c r="H88" s="286">
        <f>IFERROR(+H14/H8,"N/A")</f>
        <v>0.31883124712981331</v>
      </c>
      <c r="I88" s="209"/>
      <c r="J88" s="282"/>
      <c r="K88" s="282"/>
      <c r="L88" s="282"/>
      <c r="M88" s="286">
        <f>IFERROR(+M14/M8,"N/A")</f>
        <v>0.33788017379373425</v>
      </c>
      <c r="N88" s="209"/>
      <c r="O88" s="282"/>
      <c r="P88" s="282"/>
      <c r="Q88" s="282"/>
      <c r="R88" s="286">
        <f>IFERROR(+R14/R8,"N/A")</f>
        <v>0.41965779467680614</v>
      </c>
      <c r="S88" s="209"/>
      <c r="T88" s="282"/>
      <c r="U88" s="282"/>
      <c r="V88" s="282"/>
      <c r="W88" s="286">
        <f>IFERROR(+W14/W8,"N/A")</f>
        <v>0.34422727758197158</v>
      </c>
      <c r="X88" s="209"/>
      <c r="Y88" s="282"/>
      <c r="Z88" s="282"/>
      <c r="AA88" s="282"/>
      <c r="AB88" s="286">
        <f>IFERROR(+AB14/AB8,"N/A")</f>
        <v>0.30080591345413482</v>
      </c>
      <c r="AC88" s="209"/>
      <c r="AD88" s="282"/>
      <c r="AE88" s="282"/>
      <c r="AF88" s="282"/>
      <c r="AG88" s="286">
        <f>IFERROR(+AG14/AG8,"N/A")</f>
        <v>0.30390785987636149</v>
      </c>
      <c r="AH88" s="286"/>
    </row>
    <row r="89" spans="2:34" ht="16" x14ac:dyDescent="0.4">
      <c r="B89" s="255"/>
      <c r="C89" s="209" t="str">
        <f>TEXT(Forward_Year_1,"yyyy-mm-dd")&amp;" EBITDA Margin:"</f>
        <v>2025-06-30 EBITDA Margin:</v>
      </c>
      <c r="D89" s="209"/>
      <c r="E89" s="282"/>
      <c r="F89" s="282"/>
      <c r="G89" s="282"/>
      <c r="H89" s="286">
        <f>IFERROR(+H74/H73,"N/A")</f>
        <v>0.32</v>
      </c>
      <c r="I89" s="209"/>
      <c r="J89" s="282"/>
      <c r="K89" s="282"/>
      <c r="L89" s="282"/>
      <c r="M89" s="286">
        <f>IFERROR(+M74/M73,"N/A")</f>
        <v>0.34</v>
      </c>
      <c r="N89" s="209"/>
      <c r="O89" s="282"/>
      <c r="P89" s="282"/>
      <c r="Q89" s="282"/>
      <c r="R89" s="286">
        <f>IFERROR(+R74/R73,"N/A")</f>
        <v>0.41899999999999998</v>
      </c>
      <c r="S89" s="209"/>
      <c r="T89" s="282"/>
      <c r="U89" s="282"/>
      <c r="V89" s="282"/>
      <c r="W89" s="286">
        <f>IFERROR(+W74/W73,"N/A")</f>
        <v>0.33400000000000002</v>
      </c>
      <c r="X89" s="209"/>
      <c r="Y89" s="282"/>
      <c r="Z89" s="282"/>
      <c r="AA89" s="282"/>
      <c r="AB89" s="286">
        <f>IFERROR(+AB74/AB73,"N/A")</f>
        <v>0.30099999999999999</v>
      </c>
      <c r="AC89" s="209"/>
      <c r="AD89" s="282"/>
      <c r="AE89" s="282"/>
      <c r="AF89" s="282"/>
      <c r="AG89" s="286">
        <f>IFERROR(+AG74/AG73,"N/A")</f>
        <v>0.31013526684332626</v>
      </c>
      <c r="AH89" s="286"/>
    </row>
    <row r="90" spans="2:34" ht="16" x14ac:dyDescent="0.4">
      <c r="B90" s="255"/>
      <c r="C90" s="209" t="str">
        <f>TEXT(Forward_Year_2,"yyyy-mm-dd")&amp;" EBITDA Margin:"</f>
        <v>2026-06-30 EBITDA Margin:</v>
      </c>
      <c r="D90" s="209"/>
      <c r="E90" s="282"/>
      <c r="F90" s="282"/>
      <c r="G90" s="282"/>
      <c r="H90" s="286">
        <f>IFERROR(+H78/H77,"N/A")</f>
        <v>0.32</v>
      </c>
      <c r="I90" s="209"/>
      <c r="J90" s="282"/>
      <c r="K90" s="282"/>
      <c r="L90" s="282"/>
      <c r="M90" s="286">
        <f>IFERROR(+M78/M77,"N/A")</f>
        <v>0.34</v>
      </c>
      <c r="N90" s="209"/>
      <c r="O90" s="282"/>
      <c r="P90" s="282"/>
      <c r="Q90" s="282"/>
      <c r="R90" s="286">
        <f>IFERROR(+R78/R77,"N/A")</f>
        <v>0.41899999999999993</v>
      </c>
      <c r="S90" s="209"/>
      <c r="T90" s="282"/>
      <c r="U90" s="282"/>
      <c r="V90" s="282"/>
      <c r="W90" s="286">
        <f>IFERROR(+W78/W77,"N/A")</f>
        <v>0.33400000000000002</v>
      </c>
      <c r="X90" s="209"/>
      <c r="Y90" s="282"/>
      <c r="Z90" s="282"/>
      <c r="AA90" s="282"/>
      <c r="AB90" s="286">
        <f>IFERROR(+AB78/AB77,"N/A")</f>
        <v>0.30099999999999999</v>
      </c>
      <c r="AC90" s="209"/>
      <c r="AD90" s="282"/>
      <c r="AE90" s="282"/>
      <c r="AF90" s="282"/>
      <c r="AG90" s="286">
        <f>IFERROR(+AG78/AG77,"N/A")</f>
        <v>0.31111963709261725</v>
      </c>
      <c r="AH90" s="286"/>
    </row>
    <row r="91" spans="2:34" ht="16" x14ac:dyDescent="0.4">
      <c r="B91" s="255"/>
      <c r="C91" s="209"/>
      <c r="D91" s="209"/>
      <c r="E91" s="282"/>
      <c r="F91" s="282"/>
      <c r="G91" s="282"/>
      <c r="H91" s="282"/>
      <c r="I91" s="209"/>
      <c r="J91" s="282"/>
      <c r="K91" s="282"/>
      <c r="L91" s="282"/>
      <c r="M91" s="282"/>
      <c r="N91" s="209"/>
      <c r="O91" s="282"/>
      <c r="P91" s="282"/>
      <c r="Q91" s="282"/>
      <c r="R91" s="282"/>
      <c r="S91" s="209"/>
      <c r="T91" s="282"/>
      <c r="U91" s="282"/>
      <c r="V91" s="282"/>
      <c r="W91" s="282"/>
      <c r="X91" s="209"/>
      <c r="Y91" s="282"/>
      <c r="Z91" s="282"/>
      <c r="AA91" s="282"/>
      <c r="AB91" s="282"/>
      <c r="AC91" s="209"/>
      <c r="AD91" s="282"/>
      <c r="AE91" s="282"/>
      <c r="AF91" s="282"/>
      <c r="AG91" s="282"/>
      <c r="AH91" s="209"/>
    </row>
    <row r="92" spans="2:34" ht="16" x14ac:dyDescent="0.4">
      <c r="B92" s="255"/>
      <c r="C92" s="209" t="str">
        <f>TEXT(E66,"mm/dd/yyyy")&amp;" "&amp;C67</f>
        <v>LTM EV / Revenue:</v>
      </c>
      <c r="D92" s="209"/>
      <c r="E92" s="282"/>
      <c r="F92" s="282"/>
      <c r="G92" s="282"/>
      <c r="H92" s="281">
        <f>+E67</f>
        <v>5.8357121847284263</v>
      </c>
      <c r="I92" s="209"/>
      <c r="J92" s="282"/>
      <c r="K92" s="282"/>
      <c r="L92" s="282"/>
      <c r="M92" s="281">
        <f>+J67</f>
        <v>9.9878482506288577</v>
      </c>
      <c r="N92" s="209"/>
      <c r="O92" s="282"/>
      <c r="P92" s="282"/>
      <c r="Q92" s="282"/>
      <c r="R92" s="281">
        <f>+O67</f>
        <v>8.8724494979038688</v>
      </c>
      <c r="S92" s="209"/>
      <c r="T92" s="282"/>
      <c r="U92" s="282"/>
      <c r="V92" s="282"/>
      <c r="W92" s="281">
        <f>+T67</f>
        <v>16.627662544056388</v>
      </c>
      <c r="X92" s="209"/>
      <c r="Y92" s="282"/>
      <c r="Z92" s="282"/>
      <c r="AA92" s="282"/>
      <c r="AB92" s="281">
        <f>+Y67</f>
        <v>4.8962347928751084</v>
      </c>
      <c r="AC92" s="209"/>
      <c r="AD92" s="282"/>
      <c r="AE92" s="282"/>
      <c r="AF92" s="282"/>
      <c r="AG92" s="281">
        <f>+AD67</f>
        <v>8.2197757764203718</v>
      </c>
      <c r="AH92" s="281"/>
    </row>
    <row r="93" spans="2:34" ht="16" x14ac:dyDescent="0.4">
      <c r="B93" s="255"/>
      <c r="C93" s="209" t="str">
        <f>TEXT(E66,"mm/dd/yyyy")&amp;" "&amp;C68</f>
        <v>LTM EV / EBITDA:</v>
      </c>
      <c r="D93" s="209"/>
      <c r="E93" s="282"/>
      <c r="F93" s="282"/>
      <c r="G93" s="282"/>
      <c r="H93" s="281">
        <f>+E68</f>
        <v>18.303451237175619</v>
      </c>
      <c r="I93" s="209"/>
      <c r="J93" s="282"/>
      <c r="K93" s="282"/>
      <c r="L93" s="282"/>
      <c r="M93" s="281">
        <f>+J68</f>
        <v>29.56032648641332</v>
      </c>
      <c r="N93" s="209"/>
      <c r="O93" s="282"/>
      <c r="P93" s="282"/>
      <c r="Q93" s="282"/>
      <c r="R93" s="281">
        <f>+O68</f>
        <v>21.142105807272969</v>
      </c>
      <c r="S93" s="209"/>
      <c r="T93" s="282"/>
      <c r="U93" s="282"/>
      <c r="V93" s="282"/>
      <c r="W93" s="281">
        <f>+T68</f>
        <v>48.304314117282026</v>
      </c>
      <c r="X93" s="209"/>
      <c r="Y93" s="282"/>
      <c r="Z93" s="282"/>
      <c r="AA93" s="282"/>
      <c r="AB93" s="281">
        <f>+Y68</f>
        <v>16.277056313993171</v>
      </c>
      <c r="AC93" s="209"/>
      <c r="AD93" s="282"/>
      <c r="AE93" s="282"/>
      <c r="AF93" s="282"/>
      <c r="AG93" s="281">
        <f>+AD68</f>
        <v>27.046933829761475</v>
      </c>
      <c r="AH93" s="281"/>
    </row>
    <row r="94" spans="2:34" ht="16" x14ac:dyDescent="0.4">
      <c r="B94" s="255"/>
      <c r="C94" s="209" t="str">
        <f>TEXT(E66,"mm/dd/yyyy")&amp;" "&amp;C69</f>
        <v>LTM P / E:</v>
      </c>
      <c r="D94" s="209"/>
      <c r="E94" s="282"/>
      <c r="F94" s="282"/>
      <c r="G94" s="282"/>
      <c r="H94" s="281">
        <f>+E69</f>
        <v>23.328187355188561</v>
      </c>
      <c r="I94" s="209"/>
      <c r="J94" s="282"/>
      <c r="K94" s="282"/>
      <c r="L94" s="282"/>
      <c r="M94" s="281">
        <f>+J69</f>
        <v>38.392141244405948</v>
      </c>
      <c r="N94" s="209"/>
      <c r="O94" s="282"/>
      <c r="P94" s="282"/>
      <c r="Q94" s="282"/>
      <c r="R94" s="281">
        <f>+O69</f>
        <v>29.366255731625081</v>
      </c>
      <c r="S94" s="209"/>
      <c r="T94" s="282"/>
      <c r="U94" s="282"/>
      <c r="V94" s="282"/>
      <c r="W94" s="281">
        <f>+T69</f>
        <v>54.429515572898183</v>
      </c>
      <c r="X94" s="209"/>
      <c r="Y94" s="282"/>
      <c r="Z94" s="282"/>
      <c r="AA94" s="282"/>
      <c r="AB94" s="281">
        <f>+Y69</f>
        <v>25.799239491150438</v>
      </c>
      <c r="AC94" s="209"/>
      <c r="AD94" s="282"/>
      <c r="AE94" s="282"/>
      <c r="AF94" s="282"/>
      <c r="AG94" s="281">
        <f>+AD69</f>
        <v>31.681430472342207</v>
      </c>
      <c r="AH94" s="281"/>
    </row>
    <row r="95" spans="2:34" ht="16" x14ac:dyDescent="0.4">
      <c r="B95" s="255"/>
      <c r="C95" s="209"/>
      <c r="D95" s="209"/>
      <c r="E95" s="282"/>
      <c r="F95" s="282"/>
      <c r="G95" s="282"/>
      <c r="H95" s="282"/>
      <c r="I95" s="209"/>
      <c r="J95" s="282"/>
      <c r="K95" s="282"/>
      <c r="L95" s="282"/>
      <c r="M95" s="282"/>
      <c r="N95" s="209"/>
      <c r="O95" s="282"/>
      <c r="P95" s="282"/>
      <c r="Q95" s="282"/>
      <c r="R95" s="282"/>
      <c r="S95" s="209"/>
      <c r="T95" s="282"/>
      <c r="U95" s="282"/>
      <c r="V95" s="282"/>
      <c r="W95" s="282"/>
      <c r="X95" s="209"/>
      <c r="Y95" s="282"/>
      <c r="Z95" s="282"/>
      <c r="AA95" s="282"/>
      <c r="AB95" s="282"/>
      <c r="AC95" s="209"/>
      <c r="AD95" s="282"/>
      <c r="AE95" s="282"/>
      <c r="AF95" s="282"/>
      <c r="AG95" s="282"/>
      <c r="AH95" s="209"/>
    </row>
    <row r="96" spans="2:34" ht="16" x14ac:dyDescent="0.4">
      <c r="B96" s="255"/>
      <c r="C96" s="209" t="str">
        <f>TEXT(Forward_Year_1,"yyyy-mm-dd")&amp;" "&amp;C67</f>
        <v>2025-06-30 EV / Revenue:</v>
      </c>
      <c r="D96" s="209"/>
      <c r="E96" s="282"/>
      <c r="F96" s="282"/>
      <c r="G96" s="282"/>
      <c r="H96" s="281">
        <f>+F67</f>
        <v>5.5746678366634068</v>
      </c>
      <c r="I96" s="209"/>
      <c r="J96" s="282"/>
      <c r="K96" s="282"/>
      <c r="L96" s="282"/>
      <c r="M96" s="281">
        <f>+K67</f>
        <v>7.7133528300220746</v>
      </c>
      <c r="N96" s="209"/>
      <c r="O96" s="282"/>
      <c r="P96" s="282"/>
      <c r="Q96" s="282"/>
      <c r="R96" s="281">
        <f>+P67</f>
        <v>8.1429661212891897</v>
      </c>
      <c r="S96" s="209"/>
      <c r="T96" s="282"/>
      <c r="U96" s="282"/>
      <c r="V96" s="282"/>
      <c r="W96" s="281">
        <f>+U67</f>
        <v>20.141013846752568</v>
      </c>
      <c r="X96" s="209"/>
      <c r="Y96" s="282"/>
      <c r="Z96" s="282"/>
      <c r="AA96" s="282"/>
      <c r="AB96" s="281">
        <f>+Z67</f>
        <v>4.5377523566961155</v>
      </c>
      <c r="AC96" s="209"/>
      <c r="AD96" s="282"/>
      <c r="AE96" s="282"/>
      <c r="AF96" s="282"/>
      <c r="AG96" s="281">
        <f>+AE67</f>
        <v>7.9193265879539423</v>
      </c>
      <c r="AH96" s="281"/>
    </row>
    <row r="97" spans="2:34" ht="16" x14ac:dyDescent="0.4">
      <c r="B97" s="255"/>
      <c r="C97" s="209" t="str">
        <f>TEXT(Forward_Year_1,"yyyy-mm-dd")&amp;" "&amp;C68</f>
        <v>2025-06-30 EV / EBITDA:</v>
      </c>
      <c r="D97" s="209"/>
      <c r="E97" s="282"/>
      <c r="F97" s="282"/>
      <c r="G97" s="282"/>
      <c r="H97" s="281">
        <f>+F68</f>
        <v>17.420836989573147</v>
      </c>
      <c r="I97" s="209"/>
      <c r="J97" s="282"/>
      <c r="K97" s="282"/>
      <c r="L97" s="282"/>
      <c r="M97" s="281">
        <f>+K68</f>
        <v>22.686331853006102</v>
      </c>
      <c r="N97" s="209"/>
      <c r="O97" s="282"/>
      <c r="P97" s="282"/>
      <c r="Q97" s="282"/>
      <c r="R97" s="281">
        <f>+P68</f>
        <v>19.434286685654396</v>
      </c>
      <c r="S97" s="209"/>
      <c r="T97" s="282"/>
      <c r="U97" s="282"/>
      <c r="V97" s="282"/>
      <c r="W97" s="281">
        <f>+U68</f>
        <v>60.302436666923853</v>
      </c>
      <c r="X97" s="209"/>
      <c r="Y97" s="282"/>
      <c r="Z97" s="282"/>
      <c r="AA97" s="282"/>
      <c r="AB97" s="281">
        <f>+Z68</f>
        <v>15.075589224904039</v>
      </c>
      <c r="AC97" s="209"/>
      <c r="AD97" s="282"/>
      <c r="AE97" s="282"/>
      <c r="AF97" s="282"/>
      <c r="AG97" s="281">
        <f>+AE68</f>
        <v>25.53507270733779</v>
      </c>
      <c r="AH97" s="281"/>
    </row>
    <row r="98" spans="2:34" ht="16" x14ac:dyDescent="0.4">
      <c r="B98" s="255"/>
      <c r="C98" s="209" t="str">
        <f>TEXT(Forward_Year_1,"yyyy-mm-dd")&amp;" "&amp;C69</f>
        <v>2025-06-30 P / E:</v>
      </c>
      <c r="D98" s="209"/>
      <c r="E98" s="282"/>
      <c r="F98" s="282"/>
      <c r="G98" s="282"/>
      <c r="H98" s="281">
        <f>+F69</f>
        <v>21.763850892055572</v>
      </c>
      <c r="I98" s="209"/>
      <c r="J98" s="282"/>
      <c r="K98" s="282"/>
      <c r="L98" s="282"/>
      <c r="M98" s="281">
        <f>+K69</f>
        <v>27.085085705701577</v>
      </c>
      <c r="N98" s="209"/>
      <c r="O98" s="282"/>
      <c r="P98" s="282"/>
      <c r="Q98" s="282"/>
      <c r="R98" s="281">
        <f>+P69</f>
        <v>23.504669748438875</v>
      </c>
      <c r="S98" s="209"/>
      <c r="T98" s="282"/>
      <c r="U98" s="282"/>
      <c r="V98" s="282"/>
      <c r="W98" s="281">
        <f>+U69</f>
        <v>44.473275885556603</v>
      </c>
      <c r="X98" s="209"/>
      <c r="Y98" s="282"/>
      <c r="Z98" s="282"/>
      <c r="AA98" s="282"/>
      <c r="AB98" s="281">
        <f>+Z69</f>
        <v>21.060603666245253</v>
      </c>
      <c r="AC98" s="209"/>
      <c r="AD98" s="282"/>
      <c r="AE98" s="282"/>
      <c r="AF98" s="282"/>
      <c r="AG98" s="281">
        <f>+AE69</f>
        <v>32.404996554122796</v>
      </c>
      <c r="AH98" s="281"/>
    </row>
    <row r="99" spans="2:34" ht="16" x14ac:dyDescent="0.4">
      <c r="B99" s="255"/>
      <c r="C99" s="209"/>
      <c r="D99" s="209"/>
      <c r="E99" s="282"/>
      <c r="F99" s="282"/>
      <c r="G99" s="282"/>
      <c r="H99" s="282"/>
      <c r="I99" s="209"/>
      <c r="J99" s="282"/>
      <c r="K99" s="282"/>
      <c r="L99" s="282"/>
      <c r="M99" s="282"/>
      <c r="N99" s="209"/>
      <c r="O99" s="282"/>
      <c r="P99" s="282"/>
      <c r="Q99" s="282"/>
      <c r="R99" s="282"/>
      <c r="S99" s="209"/>
      <c r="T99" s="282"/>
      <c r="U99" s="282"/>
      <c r="V99" s="282"/>
      <c r="W99" s="282"/>
      <c r="X99" s="209"/>
      <c r="Y99" s="282"/>
      <c r="Z99" s="282"/>
      <c r="AA99" s="282"/>
      <c r="AB99" s="282"/>
      <c r="AC99" s="209"/>
      <c r="AD99" s="282"/>
      <c r="AE99" s="282"/>
      <c r="AF99" s="282"/>
      <c r="AG99" s="282"/>
      <c r="AH99" s="209"/>
    </row>
    <row r="100" spans="2:34" ht="16" x14ac:dyDescent="0.4">
      <c r="B100" s="255"/>
      <c r="C100" s="209" t="str">
        <f>TEXT(Forward_Year_2,"yyyy-mm-dd")&amp;" "&amp;C67</f>
        <v>2026-06-30 EV / Revenue:</v>
      </c>
      <c r="D100" s="209"/>
      <c r="E100" s="282"/>
      <c r="F100" s="282"/>
      <c r="G100" s="282"/>
      <c r="H100" s="281">
        <f>+G67</f>
        <v>5.0910208554003713</v>
      </c>
      <c r="I100" s="209"/>
      <c r="J100" s="282"/>
      <c r="K100" s="282"/>
      <c r="L100" s="282"/>
      <c r="M100" s="281">
        <f>+L67</f>
        <v>6.8112063001949315</v>
      </c>
      <c r="N100" s="209"/>
      <c r="O100" s="282"/>
      <c r="P100" s="282"/>
      <c r="Q100" s="282"/>
      <c r="R100" s="281">
        <f>+Q67</f>
        <v>7.9754810198718822</v>
      </c>
      <c r="S100" s="209"/>
      <c r="T100" s="282"/>
      <c r="U100" s="282"/>
      <c r="V100" s="282"/>
      <c r="W100" s="281">
        <f>+V67</f>
        <v>18.079904709831748</v>
      </c>
      <c r="X100" s="209"/>
      <c r="Y100" s="282"/>
      <c r="Z100" s="282"/>
      <c r="AA100" s="282"/>
      <c r="AB100" s="281">
        <f>+AA67</f>
        <v>4.0733863166033348</v>
      </c>
      <c r="AC100" s="209"/>
      <c r="AD100" s="282"/>
      <c r="AE100" s="282"/>
      <c r="AF100" s="282"/>
      <c r="AG100" s="281">
        <f>+AF67</f>
        <v>7.5523444228602559</v>
      </c>
      <c r="AH100" s="281"/>
    </row>
    <row r="101" spans="2:34" ht="16" x14ac:dyDescent="0.4">
      <c r="B101" s="255"/>
      <c r="C101" s="209" t="str">
        <f>TEXT(Forward_Year_2,"yyyy-mm-dd")&amp;" "&amp;C68</f>
        <v>2026-06-30 EV / EBITDA:</v>
      </c>
      <c r="D101" s="209"/>
      <c r="E101" s="282"/>
      <c r="F101" s="282"/>
      <c r="G101" s="282"/>
      <c r="H101" s="281">
        <f>+G68</f>
        <v>15.909440173126161</v>
      </c>
      <c r="I101" s="209"/>
      <c r="J101" s="282"/>
      <c r="K101" s="282"/>
      <c r="L101" s="282"/>
      <c r="M101" s="281">
        <f>+L68</f>
        <v>20.032959706455678</v>
      </c>
      <c r="N101" s="209"/>
      <c r="O101" s="282"/>
      <c r="P101" s="282"/>
      <c r="Q101" s="282"/>
      <c r="R101" s="281">
        <f>+Q68</f>
        <v>19.034560906615475</v>
      </c>
      <c r="S101" s="209"/>
      <c r="T101" s="282"/>
      <c r="U101" s="282"/>
      <c r="V101" s="282"/>
      <c r="W101" s="281">
        <f>+V68</f>
        <v>54.131451227041161</v>
      </c>
      <c r="X101" s="209"/>
      <c r="Y101" s="282"/>
      <c r="Z101" s="282"/>
      <c r="AA101" s="282"/>
      <c r="AB101" s="281">
        <f>+AA68</f>
        <v>13.532844905658918</v>
      </c>
      <c r="AC101" s="209"/>
      <c r="AD101" s="282"/>
      <c r="AE101" s="282"/>
      <c r="AF101" s="282"/>
      <c r="AG101" s="281">
        <f>+AF68</f>
        <v>24.274727540299864</v>
      </c>
      <c r="AH101" s="281"/>
    </row>
    <row r="102" spans="2:34" ht="16" x14ac:dyDescent="0.4">
      <c r="B102" s="255"/>
      <c r="C102" s="209" t="str">
        <f>TEXT(Forward_Year_2,"yyyy-mm-dd")&amp;" "&amp;C69</f>
        <v>2026-06-30 P / E:</v>
      </c>
      <c r="D102" s="209"/>
      <c r="E102" s="282"/>
      <c r="F102" s="282"/>
      <c r="G102" s="282"/>
      <c r="H102" s="281">
        <f>+G69</f>
        <v>19.158319447232014</v>
      </c>
      <c r="I102" s="209"/>
      <c r="J102" s="282"/>
      <c r="K102" s="282"/>
      <c r="L102" s="282"/>
      <c r="M102" s="281">
        <f>+L69</f>
        <v>23.917239424332969</v>
      </c>
      <c r="N102" s="209"/>
      <c r="O102" s="282"/>
      <c r="P102" s="282"/>
      <c r="Q102" s="282"/>
      <c r="R102" s="281">
        <f>+Q69</f>
        <v>17.619692465096605</v>
      </c>
      <c r="S102" s="209"/>
      <c r="T102" s="282"/>
      <c r="U102" s="282"/>
      <c r="V102" s="282"/>
      <c r="W102" s="281">
        <f>+V69</f>
        <v>43.261941522914974</v>
      </c>
      <c r="X102" s="209"/>
      <c r="Y102" s="282"/>
      <c r="Z102" s="282"/>
      <c r="AA102" s="282"/>
      <c r="AB102" s="281">
        <f>+AA69</f>
        <v>20.48696854693118</v>
      </c>
      <c r="AC102" s="209"/>
      <c r="AD102" s="282"/>
      <c r="AE102" s="282"/>
      <c r="AF102" s="282"/>
      <c r="AG102" s="281">
        <f>+AF69</f>
        <v>30.738295432637887</v>
      </c>
      <c r="AH102" s="281"/>
    </row>
    <row r="103" spans="2:34" ht="16" x14ac:dyDescent="0.4">
      <c r="B103" s="255"/>
      <c r="C103" s="209"/>
      <c r="D103" s="209"/>
      <c r="E103" s="209"/>
      <c r="F103" s="209"/>
      <c r="G103" s="209"/>
      <c r="H103" s="209"/>
      <c r="I103" s="209"/>
      <c r="J103" s="209"/>
      <c r="K103" s="209"/>
      <c r="L103" s="209"/>
      <c r="M103" s="209"/>
      <c r="N103" s="209"/>
      <c r="O103" s="209"/>
      <c r="P103" s="209"/>
      <c r="Q103" s="209"/>
      <c r="R103" s="209"/>
      <c r="S103" s="209"/>
      <c r="T103" s="209"/>
      <c r="U103" s="209"/>
      <c r="V103" s="209"/>
      <c r="W103" s="209"/>
      <c r="X103" s="209"/>
      <c r="Y103" s="209"/>
      <c r="Z103" s="209"/>
      <c r="AA103" s="209"/>
      <c r="AB103" s="209"/>
      <c r="AC103" s="209"/>
      <c r="AD103" s="209"/>
      <c r="AE103" s="209"/>
      <c r="AF103" s="209"/>
      <c r="AG103" s="209"/>
      <c r="AH103" s="209"/>
    </row>
    <row r="104" spans="2:34" ht="16" x14ac:dyDescent="0.4">
      <c r="B104" s="255"/>
      <c r="C104" s="287" t="s">
        <v>266</v>
      </c>
      <c r="D104" s="209"/>
      <c r="E104" s="288" t="s">
        <v>267</v>
      </c>
      <c r="F104" s="209"/>
      <c r="G104" s="209"/>
      <c r="H104" s="289"/>
      <c r="I104" s="209"/>
      <c r="J104" s="288" t="s">
        <v>268</v>
      </c>
      <c r="K104" s="209"/>
      <c r="L104" s="209"/>
      <c r="M104" s="289"/>
      <c r="N104" s="209"/>
      <c r="O104" s="288" t="s">
        <v>269</v>
      </c>
      <c r="P104" s="209"/>
      <c r="Q104" s="209"/>
      <c r="R104" s="289"/>
      <c r="S104" s="209"/>
      <c r="T104" s="288" t="s">
        <v>270</v>
      </c>
      <c r="U104" s="209"/>
      <c r="V104" s="209"/>
      <c r="W104" s="289"/>
      <c r="X104" s="209"/>
      <c r="Y104" s="288" t="s">
        <v>271</v>
      </c>
      <c r="Z104" s="209"/>
      <c r="AA104" s="209"/>
      <c r="AB104" s="289"/>
      <c r="AC104" s="209"/>
      <c r="AD104" s="288" t="s">
        <v>272</v>
      </c>
      <c r="AE104" s="209"/>
      <c r="AF104" s="209"/>
      <c r="AG104" s="289"/>
      <c r="AH104" s="290"/>
    </row>
  </sheetData>
  <hyperlinks>
    <hyperlink ref="G8" r:id="rId1" tooltip="Revenue_x000a_ FY: 2024_x000a_ Period End Date: Jun-30-2024_x000a_ Filing Date: Aug-29-2024_x000a_ Period Type: Annual_x000a_ Value: 14,905.4, Currency: USD, Millions" display="javascript:void(0);" xr:uid="{0F0BFE94-EFC3-4A8A-994B-0161040B108D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5DF3F-357A-435E-8287-6A52302A9BED}">
  <dimension ref="B2:P27"/>
  <sheetViews>
    <sheetView showGridLines="0" zoomScale="47" zoomScaleNormal="47" workbookViewId="0">
      <selection activeCell="C32" sqref="A1:XFD1048576"/>
    </sheetView>
  </sheetViews>
  <sheetFormatPr defaultRowHeight="14.5" x14ac:dyDescent="0.35"/>
  <cols>
    <col min="2" max="2" width="33.7265625" customWidth="1"/>
    <col min="3" max="3" width="44" customWidth="1"/>
    <col min="4" max="4" width="12.26953125" bestFit="1" customWidth="1"/>
    <col min="5" max="5" width="15.453125" bestFit="1" customWidth="1"/>
    <col min="6" max="7" width="14.26953125" bestFit="1" customWidth="1"/>
    <col min="8" max="8" width="9.7265625" bestFit="1" customWidth="1"/>
    <col min="9" max="9" width="7.7265625" bestFit="1" customWidth="1"/>
    <col min="10" max="13" width="10" bestFit="1" customWidth="1"/>
    <col min="14" max="15" width="8.81640625" bestFit="1" customWidth="1"/>
    <col min="16" max="16" width="8.54296875" bestFit="1" customWidth="1"/>
  </cols>
  <sheetData>
    <row r="2" spans="2:16" ht="18.5" x14ac:dyDescent="0.45">
      <c r="B2" s="375" t="s">
        <v>310</v>
      </c>
      <c r="C2" s="376"/>
      <c r="D2" s="376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</row>
    <row r="3" spans="2:16" ht="18.5" x14ac:dyDescent="0.45">
      <c r="B3" s="375" t="s">
        <v>311</v>
      </c>
      <c r="C3" s="376"/>
      <c r="D3" s="376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</row>
    <row r="4" spans="2:16" ht="16" x14ac:dyDescent="0.4">
      <c r="B4" s="292" t="str">
        <f>+[1]WMT_Model!$B$3</f>
        <v>($ in Millions Except Per Share and Per Unit Data)</v>
      </c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</row>
    <row r="5" spans="2:16" ht="16" x14ac:dyDescent="0.4">
      <c r="B5" s="377"/>
      <c r="C5" s="377"/>
      <c r="D5" s="377"/>
      <c r="E5" s="377"/>
      <c r="F5" s="378"/>
      <c r="G5" s="377"/>
      <c r="H5" s="377"/>
      <c r="I5" s="377"/>
      <c r="J5" s="377"/>
      <c r="K5" s="377"/>
      <c r="L5" s="377"/>
      <c r="M5" s="377"/>
      <c r="N5" s="377"/>
      <c r="O5" s="377"/>
      <c r="P5" s="377"/>
    </row>
    <row r="6" spans="2:16" ht="16" x14ac:dyDescent="0.4">
      <c r="B6" s="379" t="str">
        <f>Company_Name&amp;" - Comparable M&amp;A Transactions"</f>
        <v>Lam Research Corporation - Comparable M&amp;A Transactions</v>
      </c>
      <c r="C6" s="379"/>
      <c r="D6" s="379"/>
      <c r="E6" s="380"/>
      <c r="F6" s="381" t="s">
        <v>312</v>
      </c>
      <c r="G6" s="382"/>
      <c r="H6" s="381" t="s">
        <v>313</v>
      </c>
      <c r="I6" s="381"/>
      <c r="J6" s="383"/>
      <c r="K6" s="381" t="s">
        <v>314</v>
      </c>
      <c r="L6" s="381"/>
      <c r="M6" s="381"/>
      <c r="N6" s="381" t="s">
        <v>315</v>
      </c>
      <c r="O6" s="381"/>
      <c r="P6" s="381"/>
    </row>
    <row r="7" spans="2:16" ht="16" x14ac:dyDescent="0.4">
      <c r="B7" s="379"/>
      <c r="C7" s="379"/>
      <c r="D7" s="379"/>
      <c r="E7" s="380" t="s">
        <v>316</v>
      </c>
      <c r="F7" s="381"/>
      <c r="G7" s="382"/>
      <c r="H7" s="380" t="s">
        <v>317</v>
      </c>
      <c r="I7" s="380" t="s">
        <v>317</v>
      </c>
      <c r="J7" s="380"/>
      <c r="K7" s="381"/>
      <c r="L7" s="381"/>
      <c r="M7" s="381"/>
      <c r="N7" s="380"/>
      <c r="O7" s="380"/>
      <c r="P7" s="380"/>
    </row>
    <row r="8" spans="2:16" ht="16" x14ac:dyDescent="0.4">
      <c r="B8" s="384"/>
      <c r="C8" s="384"/>
      <c r="D8" s="380"/>
      <c r="E8" s="380" t="s">
        <v>282</v>
      </c>
      <c r="F8" s="380" t="s">
        <v>224</v>
      </c>
      <c r="G8" s="380" t="s">
        <v>224</v>
      </c>
      <c r="H8" s="380" t="s">
        <v>224</v>
      </c>
      <c r="I8" s="380" t="s">
        <v>224</v>
      </c>
      <c r="J8" s="380" t="s">
        <v>318</v>
      </c>
      <c r="K8" s="380" t="s">
        <v>319</v>
      </c>
      <c r="L8" s="380" t="s">
        <v>320</v>
      </c>
      <c r="M8" s="380" t="s">
        <v>321</v>
      </c>
      <c r="N8" s="380" t="s">
        <v>319</v>
      </c>
      <c r="O8" s="380" t="s">
        <v>320</v>
      </c>
      <c r="P8" s="380" t="s">
        <v>321</v>
      </c>
    </row>
    <row r="9" spans="2:16" ht="16" x14ac:dyDescent="0.4">
      <c r="B9" s="385" t="s">
        <v>322</v>
      </c>
      <c r="C9" s="385" t="s">
        <v>323</v>
      </c>
      <c r="D9" s="385" t="s">
        <v>324</v>
      </c>
      <c r="E9" s="385" t="s">
        <v>297</v>
      </c>
      <c r="F9" s="385" t="s">
        <v>0</v>
      </c>
      <c r="G9" s="385" t="s">
        <v>283</v>
      </c>
      <c r="H9" s="385" t="s">
        <v>0</v>
      </c>
      <c r="I9" s="385" t="s">
        <v>283</v>
      </c>
      <c r="J9" s="385" t="s">
        <v>288</v>
      </c>
      <c r="K9" s="385" t="s">
        <v>325</v>
      </c>
      <c r="L9" s="385" t="s">
        <v>325</v>
      </c>
      <c r="M9" s="385" t="s">
        <v>325</v>
      </c>
      <c r="N9" s="385" t="s">
        <v>325</v>
      </c>
      <c r="O9" s="385" t="s">
        <v>325</v>
      </c>
      <c r="P9" s="385" t="s">
        <v>325</v>
      </c>
    </row>
    <row r="10" spans="2:16" ht="16" x14ac:dyDescent="0.4">
      <c r="B10" s="386"/>
      <c r="C10" s="387"/>
      <c r="D10" s="388"/>
      <c r="E10" s="389"/>
      <c r="F10" s="390"/>
      <c r="G10" s="390"/>
      <c r="H10" s="391"/>
      <c r="I10" s="391"/>
      <c r="J10" s="392"/>
      <c r="K10" s="392"/>
      <c r="L10" s="392"/>
      <c r="M10" s="392"/>
      <c r="N10" s="393"/>
      <c r="O10" s="393"/>
      <c r="P10" s="393"/>
    </row>
    <row r="11" spans="2:16" ht="16" x14ac:dyDescent="0.35">
      <c r="B11" s="394" t="s">
        <v>215</v>
      </c>
      <c r="C11" s="395" t="s">
        <v>326</v>
      </c>
      <c r="D11" s="388">
        <v>43516</v>
      </c>
      <c r="E11" s="396">
        <f>3226605/1000</f>
        <v>3226.605</v>
      </c>
      <c r="F11" s="390">
        <v>1043.5</v>
      </c>
      <c r="G11" s="390">
        <v>192.5</v>
      </c>
      <c r="H11" s="391">
        <f t="shared" ref="H11:I15" si="0">IFERROR(IF(OR(+$E11/F11&lt;0,+$E11/F11&gt;=100),"NM",+$E11/F11),"N/A")</f>
        <v>3.0920987062769525</v>
      </c>
      <c r="I11" s="391">
        <f t="shared" si="0"/>
        <v>16.761584415584416</v>
      </c>
      <c r="J11" s="392">
        <v>69.02</v>
      </c>
      <c r="K11" s="392">
        <v>65.77</v>
      </c>
      <c r="L11" s="392">
        <v>61.85</v>
      </c>
      <c r="M11" s="392">
        <v>58.42</v>
      </c>
      <c r="N11" s="393">
        <f t="shared" ref="N11:P15" si="1">IFERROR($J11/K11-1,"N/A")</f>
        <v>4.9414626729511912E-2</v>
      </c>
      <c r="O11" s="393">
        <f t="shared" si="1"/>
        <v>0.11592562651576377</v>
      </c>
      <c r="P11" s="393">
        <f t="shared" si="1"/>
        <v>0.18144471071550838</v>
      </c>
    </row>
    <row r="12" spans="2:16" ht="16" x14ac:dyDescent="0.4">
      <c r="B12" s="292" t="s">
        <v>327</v>
      </c>
      <c r="C12" s="395" t="s">
        <v>328</v>
      </c>
      <c r="D12" s="388">
        <v>44434</v>
      </c>
      <c r="E12" s="396">
        <v>21000</v>
      </c>
      <c r="F12" s="396">
        <v>2632.5</v>
      </c>
      <c r="G12" s="396">
        <v>1057</v>
      </c>
      <c r="H12" s="391">
        <f t="shared" si="0"/>
        <v>7.9772079772079776</v>
      </c>
      <c r="I12" s="391">
        <f t="shared" si="0"/>
        <v>19.867549668874172</v>
      </c>
      <c r="J12" s="392">
        <v>73.63</v>
      </c>
      <c r="K12" s="392">
        <v>103.14</v>
      </c>
      <c r="L12" s="392">
        <v>98.45</v>
      </c>
      <c r="M12" s="392">
        <v>98.29</v>
      </c>
      <c r="N12" s="393">
        <f t="shared" si="1"/>
        <v>-0.28611595889082808</v>
      </c>
      <c r="O12" s="393">
        <f t="shared" si="1"/>
        <v>-0.25210766886744551</v>
      </c>
      <c r="P12" s="393">
        <f t="shared" si="1"/>
        <v>-0.25089022281005202</v>
      </c>
    </row>
    <row r="13" spans="2:16" ht="16" x14ac:dyDescent="0.35">
      <c r="B13" s="394" t="s">
        <v>329</v>
      </c>
      <c r="C13" s="395" t="s">
        <v>330</v>
      </c>
      <c r="D13" s="388">
        <v>44606</v>
      </c>
      <c r="E13" s="396">
        <v>48800</v>
      </c>
      <c r="F13" s="396">
        <v>3676.4</v>
      </c>
      <c r="G13" s="396">
        <v>1092.5</v>
      </c>
      <c r="H13" s="391">
        <f t="shared" si="0"/>
        <v>13.273854858013273</v>
      </c>
      <c r="I13" s="391">
        <f t="shared" si="0"/>
        <v>44.668192219679632</v>
      </c>
      <c r="J13" s="392">
        <v>143</v>
      </c>
      <c r="K13" s="392">
        <v>194.92</v>
      </c>
      <c r="L13" s="392">
        <v>210.13</v>
      </c>
      <c r="M13" s="392">
        <v>197.87</v>
      </c>
      <c r="N13" s="393">
        <f t="shared" si="1"/>
        <v>-0.26636568848758457</v>
      </c>
      <c r="O13" s="393">
        <f t="shared" si="1"/>
        <v>-0.31946890020463525</v>
      </c>
      <c r="P13" s="393">
        <f t="shared" si="1"/>
        <v>-0.27730327993126802</v>
      </c>
    </row>
    <row r="14" spans="2:16" ht="16" x14ac:dyDescent="0.35">
      <c r="B14" s="394" t="s">
        <v>331</v>
      </c>
      <c r="C14" s="395" t="s">
        <v>332</v>
      </c>
      <c r="D14" s="388">
        <v>45153</v>
      </c>
      <c r="E14" s="396">
        <v>5200</v>
      </c>
      <c r="F14" s="396">
        <v>1677.6</v>
      </c>
      <c r="G14" s="396">
        <v>594.70000000000005</v>
      </c>
      <c r="H14" s="391">
        <f t="shared" si="0"/>
        <v>3.0996661897949451</v>
      </c>
      <c r="I14" s="391">
        <f t="shared" si="0"/>
        <v>8.7439044896586502</v>
      </c>
      <c r="J14" s="392">
        <v>53</v>
      </c>
      <c r="K14" s="392">
        <v>34.24</v>
      </c>
      <c r="L14" s="392">
        <v>37.020000000000003</v>
      </c>
      <c r="M14" s="392">
        <v>37.47</v>
      </c>
      <c r="N14" s="393">
        <f t="shared" si="1"/>
        <v>0.5478971962616821</v>
      </c>
      <c r="O14" s="393">
        <f t="shared" si="1"/>
        <v>0.43165856293895177</v>
      </c>
      <c r="P14" s="393">
        <f t="shared" si="1"/>
        <v>0.41446490525753932</v>
      </c>
    </row>
    <row r="15" spans="2:16" ht="16" x14ac:dyDescent="0.35">
      <c r="B15" s="394" t="s">
        <v>333</v>
      </c>
      <c r="C15" s="395" t="s">
        <v>334</v>
      </c>
      <c r="D15" s="388">
        <v>44439</v>
      </c>
      <c r="E15" s="396">
        <v>4800</v>
      </c>
      <c r="F15" s="396">
        <v>1333.6610000000001</v>
      </c>
      <c r="G15" s="389">
        <f>116.9+84</f>
        <v>200.9</v>
      </c>
      <c r="H15" s="391">
        <f t="shared" si="0"/>
        <v>3.5991155173616081</v>
      </c>
      <c r="I15" s="391">
        <f t="shared" si="0"/>
        <v>23.892483822797409</v>
      </c>
      <c r="J15" s="392">
        <v>67.5</v>
      </c>
      <c r="K15" s="397">
        <v>67.42</v>
      </c>
      <c r="L15" s="397">
        <v>67.36</v>
      </c>
      <c r="M15" s="397">
        <v>64.84</v>
      </c>
      <c r="N15" s="393">
        <f t="shared" si="1"/>
        <v>1.1865915158706386E-3</v>
      </c>
      <c r="O15" s="393">
        <f t="shared" si="1"/>
        <v>2.0783847980998527E-3</v>
      </c>
      <c r="P15" s="393">
        <f t="shared" si="1"/>
        <v>4.1024059222702025E-2</v>
      </c>
    </row>
    <row r="16" spans="2:16" ht="16" x14ac:dyDescent="0.35">
      <c r="B16" s="394"/>
      <c r="C16" s="394"/>
      <c r="D16" s="388"/>
      <c r="E16" s="389"/>
      <c r="F16" s="389"/>
      <c r="G16" s="389"/>
      <c r="H16" s="391"/>
      <c r="I16" s="391"/>
      <c r="J16" s="397"/>
      <c r="K16" s="397"/>
      <c r="L16" s="397"/>
      <c r="M16" s="397"/>
      <c r="N16" s="393"/>
      <c r="O16" s="393"/>
      <c r="P16" s="393"/>
    </row>
    <row r="17" spans="2:16" ht="16" x14ac:dyDescent="0.4">
      <c r="B17" s="398"/>
      <c r="C17" s="398"/>
      <c r="D17" s="399"/>
      <c r="E17" s="400"/>
      <c r="F17" s="400"/>
      <c r="G17" s="400"/>
      <c r="H17" s="401"/>
      <c r="I17" s="401"/>
      <c r="J17" s="401"/>
      <c r="K17" s="401"/>
      <c r="L17" s="401"/>
      <c r="M17" s="401"/>
      <c r="N17" s="401"/>
      <c r="O17" s="401"/>
      <c r="P17" s="401"/>
    </row>
    <row r="18" spans="2:16" ht="16" x14ac:dyDescent="0.4">
      <c r="B18" s="402" t="s">
        <v>299</v>
      </c>
      <c r="C18" s="403"/>
      <c r="D18" s="404"/>
      <c r="E18" s="405">
        <f>MAX(E11:E16)</f>
        <v>48800</v>
      </c>
      <c r="F18" s="405">
        <f t="shared" ref="F18:P18" si="2">MAX(F11:F16)</f>
        <v>3676.4</v>
      </c>
      <c r="G18" s="405">
        <f t="shared" si="2"/>
        <v>1092.5</v>
      </c>
      <c r="H18" s="406">
        <f t="shared" si="2"/>
        <v>13.273854858013273</v>
      </c>
      <c r="I18" s="406">
        <f t="shared" si="2"/>
        <v>44.668192219679632</v>
      </c>
      <c r="J18" s="407"/>
      <c r="K18" s="407"/>
      <c r="L18" s="407"/>
      <c r="M18" s="407"/>
      <c r="N18" s="408">
        <f t="shared" si="2"/>
        <v>0.5478971962616821</v>
      </c>
      <c r="O18" s="408">
        <f t="shared" si="2"/>
        <v>0.43165856293895177</v>
      </c>
      <c r="P18" s="409">
        <f t="shared" si="2"/>
        <v>0.41446490525753932</v>
      </c>
    </row>
    <row r="19" spans="2:16" ht="16" x14ac:dyDescent="0.4">
      <c r="B19" s="410" t="s">
        <v>300</v>
      </c>
      <c r="C19" s="411"/>
      <c r="D19" s="412"/>
      <c r="E19" s="413">
        <f>QUARTILE(E11:E16,3)</f>
        <v>21000</v>
      </c>
      <c r="F19" s="413">
        <f t="shared" ref="F19:P19" si="3">QUARTILE(F11:F16,3)</f>
        <v>2632.5</v>
      </c>
      <c r="G19" s="413">
        <f t="shared" si="3"/>
        <v>1057</v>
      </c>
      <c r="H19" s="414">
        <f t="shared" si="3"/>
        <v>7.9772079772079776</v>
      </c>
      <c r="I19" s="414">
        <f t="shared" si="3"/>
        <v>23.892483822797409</v>
      </c>
      <c r="J19" s="415"/>
      <c r="K19" s="415"/>
      <c r="L19" s="415"/>
      <c r="M19" s="415"/>
      <c r="N19" s="416">
        <f t="shared" si="3"/>
        <v>4.9414626729511912E-2</v>
      </c>
      <c r="O19" s="416">
        <f t="shared" si="3"/>
        <v>0.11592562651576377</v>
      </c>
      <c r="P19" s="417">
        <f t="shared" si="3"/>
        <v>0.18144471071550838</v>
      </c>
    </row>
    <row r="20" spans="2:16" ht="16" x14ac:dyDescent="0.4">
      <c r="B20" s="418" t="s">
        <v>301</v>
      </c>
      <c r="C20" s="419"/>
      <c r="D20" s="420"/>
      <c r="E20" s="421">
        <f>MEDIAN(E11:E16)</f>
        <v>5200</v>
      </c>
      <c r="F20" s="421">
        <f t="shared" ref="F20:P20" si="4">MEDIAN(F11:F16)</f>
        <v>1677.6</v>
      </c>
      <c r="G20" s="421">
        <f t="shared" si="4"/>
        <v>594.70000000000005</v>
      </c>
      <c r="H20" s="422">
        <f t="shared" si="4"/>
        <v>3.5991155173616081</v>
      </c>
      <c r="I20" s="422">
        <f t="shared" si="4"/>
        <v>19.867549668874172</v>
      </c>
      <c r="J20" s="422"/>
      <c r="K20" s="422"/>
      <c r="L20" s="422"/>
      <c r="M20" s="422"/>
      <c r="N20" s="423">
        <f t="shared" si="4"/>
        <v>1.1865915158706386E-3</v>
      </c>
      <c r="O20" s="423">
        <f t="shared" si="4"/>
        <v>2.0783847980998527E-3</v>
      </c>
      <c r="P20" s="424">
        <f t="shared" si="4"/>
        <v>4.1024059222702025E-2</v>
      </c>
    </row>
    <row r="21" spans="2:16" ht="16" x14ac:dyDescent="0.4">
      <c r="B21" s="410" t="s">
        <v>302</v>
      </c>
      <c r="C21" s="411"/>
      <c r="D21" s="412"/>
      <c r="E21" s="413">
        <f>QUARTILE(E11:E16,1)</f>
        <v>4800</v>
      </c>
      <c r="F21" s="413">
        <f t="shared" ref="F21:P21" si="5">QUARTILE(F11:F16,1)</f>
        <v>1333.6610000000001</v>
      </c>
      <c r="G21" s="413">
        <f t="shared" si="5"/>
        <v>200.9</v>
      </c>
      <c r="H21" s="414">
        <f t="shared" si="5"/>
        <v>3.0996661897949451</v>
      </c>
      <c r="I21" s="414">
        <f t="shared" si="5"/>
        <v>16.761584415584416</v>
      </c>
      <c r="J21" s="415"/>
      <c r="K21" s="415"/>
      <c r="L21" s="415"/>
      <c r="M21" s="415"/>
      <c r="N21" s="416">
        <f t="shared" si="5"/>
        <v>-0.26636568848758457</v>
      </c>
      <c r="O21" s="416">
        <f t="shared" si="5"/>
        <v>-0.25210766886744551</v>
      </c>
      <c r="P21" s="417">
        <f t="shared" si="5"/>
        <v>-0.25089022281005202</v>
      </c>
    </row>
    <row r="22" spans="2:16" ht="16" x14ac:dyDescent="0.4">
      <c r="B22" s="425" t="s">
        <v>303</v>
      </c>
      <c r="C22" s="426"/>
      <c r="D22" s="427"/>
      <c r="E22" s="428">
        <f>MIN(E11:E16)</f>
        <v>3226.605</v>
      </c>
      <c r="F22" s="428">
        <f t="shared" ref="F22:P22" si="6">MIN(F11:F16)</f>
        <v>1043.5</v>
      </c>
      <c r="G22" s="428">
        <f t="shared" si="6"/>
        <v>192.5</v>
      </c>
      <c r="H22" s="429">
        <f t="shared" si="6"/>
        <v>3.0920987062769525</v>
      </c>
      <c r="I22" s="429">
        <f t="shared" si="6"/>
        <v>8.7439044896586502</v>
      </c>
      <c r="J22" s="430"/>
      <c r="K22" s="430"/>
      <c r="L22" s="430"/>
      <c r="M22" s="430"/>
      <c r="N22" s="431">
        <f t="shared" si="6"/>
        <v>-0.28611595889082808</v>
      </c>
      <c r="O22" s="431">
        <f t="shared" si="6"/>
        <v>-0.31946890020463525</v>
      </c>
      <c r="P22" s="432">
        <f t="shared" si="6"/>
        <v>-0.27730327993126802</v>
      </c>
    </row>
    <row r="25" spans="2:16" x14ac:dyDescent="0.35">
      <c r="E25" s="433"/>
    </row>
    <row r="26" spans="2:16" x14ac:dyDescent="0.35">
      <c r="E26" s="433"/>
    </row>
    <row r="27" spans="2:16" x14ac:dyDescent="0.35">
      <c r="E27" s="1"/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747A2-156B-4854-A926-328BC70B157B}">
  <dimension ref="B2:R53"/>
  <sheetViews>
    <sheetView showGridLines="0" zoomScale="59" workbookViewId="0">
      <selection activeCell="R2" sqref="R2:R4"/>
    </sheetView>
  </sheetViews>
  <sheetFormatPr defaultRowHeight="14.5" x14ac:dyDescent="0.35"/>
  <cols>
    <col min="2" max="2" width="38.1796875" bestFit="1" customWidth="1"/>
    <col min="6" max="16" width="9.54296875" bestFit="1" customWidth="1"/>
    <col min="18" max="18" width="9.7265625" bestFit="1" customWidth="1"/>
  </cols>
  <sheetData>
    <row r="2" spans="2:18" ht="16" x14ac:dyDescent="0.4">
      <c r="B2" s="562"/>
      <c r="C2" s="562"/>
      <c r="D2" s="563"/>
      <c r="E2" s="563"/>
      <c r="F2" s="564" t="str">
        <f>[1]WMT_Model!$E$90</f>
        <v>Historical:</v>
      </c>
      <c r="G2" s="564"/>
      <c r="H2" s="564"/>
      <c r="I2" s="564"/>
      <c r="J2" s="564" t="str">
        <f>[1]WMT_Model!$I$90</f>
        <v>Projected:</v>
      </c>
      <c r="K2" s="565"/>
      <c r="L2" s="564"/>
      <c r="M2" s="564"/>
      <c r="N2" s="564"/>
      <c r="O2" s="566"/>
      <c r="P2" s="566"/>
      <c r="Q2" s="567"/>
      <c r="R2" s="566" t="s">
        <v>277</v>
      </c>
    </row>
    <row r="3" spans="2:18" ht="16" x14ac:dyDescent="0.4">
      <c r="B3" s="151" t="s">
        <v>400</v>
      </c>
      <c r="C3" s="151"/>
      <c r="D3" s="568" t="str">
        <f>[1]WMT_Model!$D$91</f>
        <v>Units:</v>
      </c>
      <c r="E3" s="568"/>
      <c r="F3" s="354">
        <f>Model!H18</f>
        <v>43646</v>
      </c>
      <c r="G3" s="354">
        <f>Model!I18</f>
        <v>44012</v>
      </c>
      <c r="H3" s="354">
        <f>Model!J18</f>
        <v>44377</v>
      </c>
      <c r="I3" s="354">
        <f>Model!K18</f>
        <v>44742</v>
      </c>
      <c r="J3" s="354">
        <f>Model!L18</f>
        <v>45107</v>
      </c>
      <c r="K3" s="354">
        <f>Model!M18</f>
        <v>45473</v>
      </c>
      <c r="L3" s="354">
        <f>Model!N18</f>
        <v>45838</v>
      </c>
      <c r="M3" s="354">
        <f>Model!O18</f>
        <v>46203</v>
      </c>
      <c r="N3" s="354">
        <f>Model!P18</f>
        <v>46568</v>
      </c>
      <c r="O3" s="354">
        <f>Model!Q18</f>
        <v>46934</v>
      </c>
      <c r="P3" s="354">
        <f>Model!R18</f>
        <v>47299</v>
      </c>
      <c r="Q3" s="567"/>
      <c r="R3" s="354" t="s">
        <v>401</v>
      </c>
    </row>
    <row r="4" spans="2:18" ht="16" x14ac:dyDescent="0.4">
      <c r="B4" s="569" t="s">
        <v>402</v>
      </c>
      <c r="C4" s="569"/>
      <c r="D4" s="570"/>
      <c r="E4" s="570"/>
      <c r="F4" s="570"/>
      <c r="G4" s="571"/>
      <c r="H4" s="571"/>
      <c r="I4" s="571"/>
      <c r="J4" s="571"/>
      <c r="K4" s="571"/>
      <c r="L4" s="571"/>
      <c r="M4" s="571"/>
      <c r="N4" s="571"/>
      <c r="O4" s="571"/>
      <c r="P4" s="571"/>
      <c r="Q4" s="567"/>
      <c r="R4" s="571"/>
    </row>
    <row r="5" spans="2:18" ht="16" x14ac:dyDescent="0.4">
      <c r="B5" s="572" t="s">
        <v>403</v>
      </c>
      <c r="F5" s="573"/>
      <c r="G5" s="573"/>
      <c r="H5" s="573"/>
      <c r="I5" s="573"/>
      <c r="J5" s="573"/>
      <c r="K5" s="573"/>
      <c r="L5" s="573"/>
      <c r="M5" s="573"/>
      <c r="N5" s="573"/>
      <c r="O5" s="573"/>
      <c r="P5" s="573"/>
      <c r="Q5" s="541"/>
    </row>
    <row r="6" spans="2:18" ht="16" x14ac:dyDescent="0.4">
      <c r="B6" s="200" t="str">
        <f>Model!C22</f>
        <v>Memory</v>
      </c>
      <c r="D6" s="574" t="s">
        <v>404</v>
      </c>
      <c r="E6" s="574"/>
      <c r="F6" s="608">
        <f>Model!H22</f>
        <v>4515.7727999999997</v>
      </c>
      <c r="G6" s="608">
        <f>Model!I22</f>
        <v>3842.5753999999997</v>
      </c>
      <c r="H6" s="608">
        <f>Model!J22</f>
        <v>5956.5554499999998</v>
      </c>
      <c r="I6" s="608">
        <f>Model!K22</f>
        <v>6793.3625999999995</v>
      </c>
      <c r="J6" s="608">
        <f>Model!L22</f>
        <v>4492.2767400000002</v>
      </c>
      <c r="K6" s="608">
        <f>Model!M22</f>
        <v>3747.09006</v>
      </c>
      <c r="L6" s="608">
        <f>Model!N22</f>
        <v>4871.2170780000006</v>
      </c>
      <c r="M6" s="608">
        <f>Model!O22</f>
        <v>6089.021347500001</v>
      </c>
      <c r="N6" s="608">
        <f>Model!P22</f>
        <v>7306.8256170000013</v>
      </c>
      <c r="O6" s="608">
        <f>Model!Q22</f>
        <v>8768.1907404000012</v>
      </c>
      <c r="P6" s="608">
        <f>Model!R22</f>
        <v>10083.419351460001</v>
      </c>
      <c r="Q6" s="541"/>
      <c r="R6" s="575">
        <f>(N6/I6)^(1/YEARFRAC(I$3,N$3,))-1</f>
        <v>1.4679273655141101E-2</v>
      </c>
    </row>
    <row r="7" spans="2:18" ht="16" x14ac:dyDescent="0.4">
      <c r="B7" s="576" t="s">
        <v>405</v>
      </c>
      <c r="D7" s="574" t="s">
        <v>30</v>
      </c>
      <c r="E7" s="574"/>
      <c r="F7" s="577"/>
      <c r="G7" s="577">
        <f>Model!I25</f>
        <v>-0.14907689775712363</v>
      </c>
      <c r="H7" s="577">
        <f>Model!J25</f>
        <v>0.55014666725863082</v>
      </c>
      <c r="I7" s="577">
        <f>Model!K25</f>
        <v>0.14048507682405598</v>
      </c>
      <c r="J7" s="577">
        <f>Model!L25</f>
        <v>-0.33872560549027653</v>
      </c>
      <c r="K7" s="577">
        <f>Model!M25</f>
        <v>-0.16588173951188956</v>
      </c>
      <c r="L7" s="577">
        <f>Model!N23</f>
        <v>0.3</v>
      </c>
      <c r="M7" s="577">
        <f>Model!O23</f>
        <v>0.25</v>
      </c>
      <c r="N7" s="577">
        <f>Model!P23</f>
        <v>0.2</v>
      </c>
      <c r="O7" s="577">
        <f>Model!Q23</f>
        <v>0.2</v>
      </c>
      <c r="P7" s="577">
        <f>Model!R23</f>
        <v>0.15000000000000002</v>
      </c>
      <c r="Q7" s="541"/>
      <c r="R7" s="541"/>
    </row>
    <row r="8" spans="2:18" ht="16" x14ac:dyDescent="0.4">
      <c r="B8" s="200" t="str">
        <f>Model!C28</f>
        <v>Foundry</v>
      </c>
      <c r="D8" s="574" t="s">
        <v>404</v>
      </c>
      <c r="E8" s="574"/>
      <c r="F8" s="608">
        <f>Model!H28</f>
        <v>1290.2208000000001</v>
      </c>
      <c r="G8" s="608">
        <f>Model!I28</f>
        <v>2053.7903000000001</v>
      </c>
      <c r="H8" s="608">
        <f>Model!J28</f>
        <v>3124.7503999999999</v>
      </c>
      <c r="I8" s="608">
        <f>Model!K28</f>
        <v>2943.7904600000002</v>
      </c>
      <c r="J8" s="608">
        <f>Model!L28</f>
        <v>4064.4408599999997</v>
      </c>
      <c r="K8" s="608">
        <f>Model!M28</f>
        <v>3568.6572000000001</v>
      </c>
      <c r="L8" s="608">
        <f>Model!N28</f>
        <v>4103.9557800000002</v>
      </c>
      <c r="M8" s="608">
        <f>Model!O28</f>
        <v>4514.3513580000008</v>
      </c>
      <c r="N8" s="608">
        <f>Model!P28</f>
        <v>4965.7864938000012</v>
      </c>
      <c r="O8" s="608">
        <f>Model!Q28</f>
        <v>5313.3915483660012</v>
      </c>
      <c r="P8" s="608">
        <f>Model!R28</f>
        <v>5685.3289567516213</v>
      </c>
      <c r="Q8" s="541"/>
      <c r="R8" s="575">
        <f>(N8/I8)^(1/YEARFRAC(I$3,N$3,))-1</f>
        <v>0.1102383632094468</v>
      </c>
    </row>
    <row r="9" spans="2:18" ht="16" x14ac:dyDescent="0.4">
      <c r="B9" s="576" t="s">
        <v>405</v>
      </c>
      <c r="D9" s="574" t="s">
        <v>30</v>
      </c>
      <c r="E9" s="574"/>
      <c r="F9" s="577"/>
      <c r="G9" s="577">
        <f>Model!I31</f>
        <v>0.59181304471296703</v>
      </c>
      <c r="H9" s="577">
        <f>Model!J31</f>
        <v>0.52145542804443079</v>
      </c>
      <c r="I9" s="577">
        <f>Model!K31</f>
        <v>-5.7911806331795268E-2</v>
      </c>
      <c r="J9" s="577">
        <f>Model!L31</f>
        <v>0.38068280172359814</v>
      </c>
      <c r="K9" s="577">
        <f>Model!M31</f>
        <v>-0.1219807784335678</v>
      </c>
      <c r="L9" s="577">
        <f>Model!N29</f>
        <v>0.15</v>
      </c>
      <c r="M9" s="577">
        <f>Model!O29</f>
        <v>0.1</v>
      </c>
      <c r="N9" s="577">
        <f>Model!P29</f>
        <v>0.1</v>
      </c>
      <c r="O9" s="577">
        <f>Model!Q29</f>
        <v>7.0000000000000007E-2</v>
      </c>
      <c r="P9" s="577">
        <f>Model!R29</f>
        <v>7.0000000000000007E-2</v>
      </c>
      <c r="Q9" s="541"/>
      <c r="R9" s="575"/>
    </row>
    <row r="10" spans="2:18" ht="16" x14ac:dyDescent="0.4">
      <c r="B10" s="200" t="str">
        <f>Model!C34</f>
        <v>Logic/Integrated Device Manufacturing</v>
      </c>
      <c r="D10" s="574" t="s">
        <v>404</v>
      </c>
      <c r="E10" s="574"/>
      <c r="F10" s="608">
        <f>Model!H34</f>
        <v>645.11040000000003</v>
      </c>
      <c r="G10" s="608">
        <f>Model!I34</f>
        <v>728.76430000000005</v>
      </c>
      <c r="H10" s="608">
        <f>Model!J34</f>
        <v>683.53915000000006</v>
      </c>
      <c r="I10" s="608">
        <f>Model!K34</f>
        <v>1585.1179400000001</v>
      </c>
      <c r="J10" s="608">
        <f>Model!L34</f>
        <v>2139.1794</v>
      </c>
      <c r="K10" s="608">
        <f>Model!M34</f>
        <v>1605.8957399999999</v>
      </c>
      <c r="L10" s="608">
        <f>Model!N34</f>
        <v>1846.7801009999998</v>
      </c>
      <c r="M10" s="608">
        <f>Model!O34</f>
        <v>2123.7971161499995</v>
      </c>
      <c r="N10" s="608">
        <f>Model!P34</f>
        <v>2336.1768277649999</v>
      </c>
      <c r="O10" s="608">
        <f>Model!Q34</f>
        <v>2499.7092057085501</v>
      </c>
      <c r="P10" s="608">
        <f>Model!R34</f>
        <v>2674.6888501081489</v>
      </c>
      <c r="Q10" s="541"/>
      <c r="R10" s="575">
        <f>(N10/I10)^(1/YEARFRAC(I$3,N$3,))-1</f>
        <v>8.0659376737807431E-2</v>
      </c>
    </row>
    <row r="11" spans="2:18" ht="16" x14ac:dyDescent="0.4">
      <c r="B11" s="576" t="s">
        <v>405</v>
      </c>
      <c r="D11" s="574" t="s">
        <v>30</v>
      </c>
      <c r="E11" s="574"/>
      <c r="F11" s="606"/>
      <c r="G11" s="607">
        <f>Model!I37</f>
        <v>0.12967377366726685</v>
      </c>
      <c r="H11" s="607">
        <f>Model!J37</f>
        <v>-6.20573071430639E-2</v>
      </c>
      <c r="I11" s="607">
        <f>Model!K37</f>
        <v>1.3189863228755807</v>
      </c>
      <c r="J11" s="607">
        <f>Model!L37</f>
        <v>0.34953958063208845</v>
      </c>
      <c r="K11" s="607">
        <f>Model!M37</f>
        <v>-0.24929356556070059</v>
      </c>
      <c r="L11" s="607">
        <f>Model!N35</f>
        <v>0.15</v>
      </c>
      <c r="M11" s="607">
        <f>Model!O35</f>
        <v>0.15</v>
      </c>
      <c r="N11" s="607">
        <f>Model!P35</f>
        <v>0.1</v>
      </c>
      <c r="O11" s="607">
        <f>Model!Q35</f>
        <v>7.0000000000000007E-2</v>
      </c>
      <c r="P11" s="607">
        <f>Model!R35</f>
        <v>7.0000000000000007E-2</v>
      </c>
      <c r="Q11" s="541"/>
      <c r="R11" s="575"/>
    </row>
    <row r="12" spans="2:18" ht="16" x14ac:dyDescent="0.4">
      <c r="B12" s="200" t="str">
        <f>Model!C40</f>
        <v>Customer Support-Related Revenue and Other</v>
      </c>
      <c r="D12" s="574" t="s">
        <v>404</v>
      </c>
      <c r="E12" s="574"/>
      <c r="F12" s="608">
        <f>Model!H40</f>
        <v>3202.4549999999999</v>
      </c>
      <c r="G12" s="608">
        <f>Model!I40</f>
        <v>3419.6060000000002</v>
      </c>
      <c r="H12" s="608">
        <f>Model!J40</f>
        <v>4861.3050000000003</v>
      </c>
      <c r="I12" s="608">
        <f>Model!K40</f>
        <v>5904.768</v>
      </c>
      <c r="J12" s="608">
        <f>Model!L40</f>
        <v>6732.6189999999997</v>
      </c>
      <c r="K12" s="608">
        <f>Model!M40</f>
        <v>5983.7430000000004</v>
      </c>
      <c r="L12" s="608">
        <f>Model!N40</f>
        <v>7180.4916000000003</v>
      </c>
      <c r="M12" s="608">
        <f>Model!O40</f>
        <v>8257.5653399999992</v>
      </c>
      <c r="N12" s="608">
        <f>Model!P40</f>
        <v>9083.3218739999993</v>
      </c>
      <c r="O12" s="608">
        <f>Model!Q40</f>
        <v>9719.1544051799992</v>
      </c>
      <c r="P12" s="608">
        <f>Model!R40</f>
        <v>10205.112125439</v>
      </c>
      <c r="Q12" s="541"/>
      <c r="R12" s="575">
        <f>(N12/I12)^(1/YEARFRAC(I$3,N$3,))-1</f>
        <v>8.995451078414729E-2</v>
      </c>
    </row>
    <row r="13" spans="2:18" ht="16" x14ac:dyDescent="0.4">
      <c r="B13" s="576" t="s">
        <v>405</v>
      </c>
      <c r="D13" s="574" t="s">
        <v>30</v>
      </c>
      <c r="E13" s="574"/>
      <c r="F13" s="577"/>
      <c r="G13" s="577">
        <f>Model!I43</f>
        <v>6.7807666306005876E-2</v>
      </c>
      <c r="H13" s="577">
        <f>Model!J43</f>
        <v>0.42159798526496917</v>
      </c>
      <c r="I13" s="577">
        <f>Model!K43</f>
        <v>0.2146466843779602</v>
      </c>
      <c r="J13" s="577">
        <f>Model!L43</f>
        <v>0.14020042785762277</v>
      </c>
      <c r="K13" s="577">
        <f>Model!M43</f>
        <v>-0.11123100831934785</v>
      </c>
      <c r="L13" s="577">
        <f>Model!N41</f>
        <v>0.2</v>
      </c>
      <c r="M13" s="577">
        <f>Model!O41</f>
        <v>0.15</v>
      </c>
      <c r="N13" s="577">
        <f>Model!P41</f>
        <v>0.1</v>
      </c>
      <c r="O13" s="577">
        <f>Model!Q41</f>
        <v>7.0000000000000007E-2</v>
      </c>
      <c r="P13" s="577">
        <f>Model!R41</f>
        <v>0.05</v>
      </c>
      <c r="Q13" s="541"/>
      <c r="R13" s="541"/>
    </row>
    <row r="14" spans="2:18" ht="16" x14ac:dyDescent="0.4">
      <c r="B14" s="578"/>
      <c r="D14" s="574"/>
      <c r="E14" s="574"/>
      <c r="F14" s="579"/>
      <c r="G14" s="579"/>
      <c r="H14" s="579"/>
      <c r="I14" s="579"/>
      <c r="J14" s="579"/>
      <c r="K14" s="579"/>
      <c r="L14" s="579"/>
      <c r="M14" s="579"/>
      <c r="N14" s="579"/>
      <c r="O14" s="579"/>
      <c r="P14" s="579"/>
      <c r="Q14" s="541"/>
      <c r="R14" s="575"/>
    </row>
    <row r="15" spans="2:18" ht="16" x14ac:dyDescent="0.4">
      <c r="B15" s="569" t="s">
        <v>406</v>
      </c>
      <c r="C15" s="569"/>
      <c r="D15" s="570"/>
      <c r="E15" s="570"/>
      <c r="F15" s="570"/>
      <c r="G15" s="571"/>
      <c r="H15" s="571"/>
      <c r="I15" s="571"/>
      <c r="J15" s="571"/>
      <c r="K15" s="571"/>
      <c r="L15" s="571"/>
      <c r="M15" s="571"/>
      <c r="N15" s="571"/>
      <c r="O15" s="571"/>
      <c r="P15" s="571"/>
      <c r="Q15" s="541"/>
      <c r="R15" s="571"/>
    </row>
    <row r="16" spans="2:18" ht="16" x14ac:dyDescent="0.4">
      <c r="B16" s="86"/>
      <c r="C16" s="86"/>
      <c r="D16" s="580"/>
      <c r="E16" s="580"/>
      <c r="F16" s="580"/>
      <c r="G16" s="581"/>
      <c r="H16" s="581"/>
      <c r="I16" s="581"/>
      <c r="J16" s="581"/>
      <c r="K16" s="581"/>
      <c r="L16" s="581"/>
      <c r="M16" s="581"/>
      <c r="N16" s="581"/>
      <c r="O16" s="581"/>
      <c r="P16" s="581"/>
      <c r="Q16" s="541"/>
      <c r="R16" s="581"/>
    </row>
    <row r="17" spans="2:18" ht="16" x14ac:dyDescent="0.4">
      <c r="B17" s="8" t="s">
        <v>0</v>
      </c>
      <c r="C17" s="582"/>
      <c r="D17" s="574" t="s">
        <v>404</v>
      </c>
      <c r="E17" s="574"/>
      <c r="F17" s="583">
        <f t="shared" ref="F17:P18" si="0">INDEX(Model_Range,MATCH($B17,Model_Paramas,0),MATCH(F$3,Model_Years,0))</f>
        <v>9653.5589999999993</v>
      </c>
      <c r="G17" s="583">
        <f t="shared" si="0"/>
        <v>10044.736000000001</v>
      </c>
      <c r="H17" s="583">
        <f t="shared" si="0"/>
        <v>14626.150000000001</v>
      </c>
      <c r="I17" s="583">
        <f t="shared" si="0"/>
        <v>17227.039000000001</v>
      </c>
      <c r="J17" s="583">
        <f t="shared" si="0"/>
        <v>17428.516</v>
      </c>
      <c r="K17" s="583">
        <f t="shared" si="0"/>
        <v>14905.386</v>
      </c>
      <c r="L17" s="583">
        <f t="shared" si="0"/>
        <v>18002.444559000003</v>
      </c>
      <c r="M17" s="583">
        <f t="shared" si="0"/>
        <v>20984.735161650002</v>
      </c>
      <c r="N17" s="583">
        <f t="shared" si="0"/>
        <v>23692.110812564999</v>
      </c>
      <c r="O17" s="583">
        <f t="shared" si="0"/>
        <v>26300.445899654551</v>
      </c>
      <c r="P17" s="583">
        <f t="shared" si="0"/>
        <v>28648.549283758774</v>
      </c>
      <c r="Q17" s="541"/>
      <c r="R17" s="575">
        <f>(N17/I17)^(1/YEARFRAC(I$3,N$3,))-1</f>
        <v>6.5807135952595353E-2</v>
      </c>
    </row>
    <row r="18" spans="2:18" ht="16" x14ac:dyDescent="0.4">
      <c r="B18" s="576" t="s">
        <v>418</v>
      </c>
      <c r="C18" s="584"/>
      <c r="D18" s="574" t="s">
        <v>30</v>
      </c>
      <c r="E18" s="574"/>
      <c r="F18" s="605">
        <f t="shared" si="0"/>
        <v>0</v>
      </c>
      <c r="G18" s="605">
        <f t="shared" si="0"/>
        <v>4.0521532007004035E-2</v>
      </c>
      <c r="H18" s="605">
        <f t="shared" si="0"/>
        <v>0.45610098662622889</v>
      </c>
      <c r="I18" s="605">
        <f t="shared" si="0"/>
        <v>0.17782458131497347</v>
      </c>
      <c r="J18" s="605">
        <f t="shared" si="0"/>
        <v>1.169539350320159E-2</v>
      </c>
      <c r="K18" s="605">
        <f t="shared" si="0"/>
        <v>-0.14477021451510841</v>
      </c>
      <c r="L18" s="605">
        <f t="shared" si="0"/>
        <v>0.20778117111492467</v>
      </c>
      <c r="M18" s="605">
        <f t="shared" si="0"/>
        <v>0.16566031312447826</v>
      </c>
      <c r="N18" s="605">
        <f t="shared" si="0"/>
        <v>0.12901643170902521</v>
      </c>
      <c r="O18" s="605">
        <f t="shared" si="0"/>
        <v>0.11009298022134151</v>
      </c>
      <c r="P18" s="605">
        <f t="shared" si="0"/>
        <v>8.9279983809516406E-2</v>
      </c>
      <c r="Q18" s="541"/>
      <c r="R18" s="541"/>
    </row>
    <row r="19" spans="2:18" ht="16" x14ac:dyDescent="0.4">
      <c r="B19" s="585"/>
      <c r="C19" s="586"/>
      <c r="D19" s="586"/>
      <c r="E19" s="586"/>
      <c r="F19" s="601"/>
      <c r="G19" s="601"/>
      <c r="H19" s="601"/>
      <c r="I19" s="601"/>
      <c r="J19" s="601"/>
      <c r="K19" s="601"/>
      <c r="L19" s="601"/>
      <c r="M19" s="601"/>
      <c r="N19" s="601"/>
      <c r="O19" s="601"/>
      <c r="P19" s="601"/>
      <c r="Q19" s="541"/>
      <c r="R19" s="541"/>
    </row>
    <row r="20" spans="2:18" ht="16" x14ac:dyDescent="0.4">
      <c r="B20" s="8" t="s">
        <v>416</v>
      </c>
      <c r="C20" s="582"/>
      <c r="D20" s="574" t="s">
        <v>404</v>
      </c>
      <c r="E20" s="574"/>
      <c r="F20" s="602">
        <f t="shared" ref="F20:P21" si="1">INDEX(Model_Range,MATCH($B20,Model_Paramas,0),MATCH(F$3,Model_Years,0))</f>
        <v>4358.4589999999989</v>
      </c>
      <c r="G20" s="602">
        <f t="shared" si="1"/>
        <v>4608.6930000000011</v>
      </c>
      <c r="H20" s="602">
        <f t="shared" si="1"/>
        <v>6805.3060000000014</v>
      </c>
      <c r="I20" s="602">
        <f t="shared" si="1"/>
        <v>7871.8070000000007</v>
      </c>
      <c r="J20" s="602">
        <f t="shared" si="1"/>
        <v>7776.9250000000011</v>
      </c>
      <c r="K20" s="602">
        <f t="shared" si="1"/>
        <v>7052.7910000000002</v>
      </c>
      <c r="L20" s="602">
        <f t="shared" si="1"/>
        <v>8279.0733876555732</v>
      </c>
      <c r="M20" s="602">
        <f t="shared" si="1"/>
        <v>9650.5872774351283</v>
      </c>
      <c r="N20" s="602">
        <f t="shared" si="1"/>
        <v>10895.671611866326</v>
      </c>
      <c r="O20" s="602">
        <f t="shared" si="1"/>
        <v>12095.208571129759</v>
      </c>
      <c r="P20" s="602">
        <f t="shared" si="1"/>
        <v>13175.068596532949</v>
      </c>
      <c r="Q20" s="541"/>
      <c r="R20" s="575">
        <f>(N20/I20)^(1/YEARFRAC(I$3,N$3,))-1</f>
        <v>6.7175665443515609E-2</v>
      </c>
    </row>
    <row r="21" spans="2:18" ht="16" x14ac:dyDescent="0.4">
      <c r="B21" s="576" t="s">
        <v>417</v>
      </c>
      <c r="C21" s="584"/>
      <c r="D21" s="574" t="s">
        <v>30</v>
      </c>
      <c r="E21" s="574"/>
      <c r="F21" s="605">
        <f t="shared" si="1"/>
        <v>0.45148727013529405</v>
      </c>
      <c r="G21" s="605">
        <f t="shared" si="1"/>
        <v>0.45881673744337342</v>
      </c>
      <c r="H21" s="605">
        <f t="shared" si="1"/>
        <v>0.46528348198261338</v>
      </c>
      <c r="I21" s="605">
        <f t="shared" si="1"/>
        <v>0.45694486440763271</v>
      </c>
      <c r="J21" s="605">
        <f t="shared" si="1"/>
        <v>0.4462184273176214</v>
      </c>
      <c r="K21" s="605">
        <f t="shared" si="1"/>
        <v>0.47317063778153751</v>
      </c>
      <c r="L21" s="605">
        <f t="shared" si="1"/>
        <v>0.45988606494647399</v>
      </c>
      <c r="M21" s="605">
        <f t="shared" si="1"/>
        <v>0.45988606494647394</v>
      </c>
      <c r="N21" s="605">
        <f t="shared" si="1"/>
        <v>0.45988606494647399</v>
      </c>
      <c r="O21" s="605">
        <f t="shared" si="1"/>
        <v>0.45988606494647399</v>
      </c>
      <c r="P21" s="605">
        <f t="shared" si="1"/>
        <v>0.45988606494647399</v>
      </c>
      <c r="Q21" s="541"/>
      <c r="R21" s="541"/>
    </row>
    <row r="22" spans="2:18" ht="16" x14ac:dyDescent="0.4">
      <c r="B22" s="585"/>
      <c r="C22" s="586"/>
      <c r="D22" s="586"/>
      <c r="E22" s="586"/>
      <c r="F22" s="601"/>
      <c r="G22" s="601"/>
      <c r="H22" s="601"/>
      <c r="I22" s="601"/>
      <c r="J22" s="601"/>
      <c r="K22" s="601"/>
      <c r="L22" s="601"/>
      <c r="M22" s="601"/>
      <c r="N22" s="601"/>
      <c r="O22" s="601"/>
      <c r="P22" s="601"/>
      <c r="Q22" s="541"/>
      <c r="R22" s="541"/>
    </row>
    <row r="23" spans="2:18" ht="16" x14ac:dyDescent="0.4">
      <c r="B23" s="8" t="s">
        <v>7</v>
      </c>
      <c r="C23" s="582"/>
      <c r="D23" s="574" t="s">
        <v>404</v>
      </c>
      <c r="E23" s="574"/>
      <c r="F23" s="602">
        <f t="shared" ref="F23:P24" si="2">INDEX(Model_Range,MATCH($B23,Model_Paramas,0),MATCH(F$3,Model_Years,0))</f>
        <v>2191.4299999999989</v>
      </c>
      <c r="G23" s="602">
        <f t="shared" si="2"/>
        <v>2251.7530000000011</v>
      </c>
      <c r="H23" s="602">
        <f t="shared" si="2"/>
        <v>3908.458000000001</v>
      </c>
      <c r="I23" s="602">
        <f t="shared" si="2"/>
        <v>4605.2860000000001</v>
      </c>
      <c r="J23" s="602">
        <f t="shared" si="2"/>
        <v>4510.9310000000005</v>
      </c>
      <c r="K23" s="602">
        <f t="shared" si="2"/>
        <v>3827.7720000000008</v>
      </c>
      <c r="L23" s="602">
        <f t="shared" si="2"/>
        <v>4011.2894470533088</v>
      </c>
      <c r="M23" s="602">
        <f t="shared" si="2"/>
        <v>4494.8332106025482</v>
      </c>
      <c r="N23" s="602">
        <f t="shared" si="2"/>
        <v>6077.1980639978647</v>
      </c>
      <c r="O23" s="602">
        <f t="shared" si="2"/>
        <v>6650.3763838812029</v>
      </c>
      <c r="P23" s="602">
        <f t="shared" si="2"/>
        <v>7109.5828271843266</v>
      </c>
      <c r="Q23" s="541"/>
      <c r="R23" s="575">
        <f>(N23/I23)^(1/YEARFRAC(I$3,N$3,))-1</f>
        <v>5.7034973832278624E-2</v>
      </c>
    </row>
    <row r="24" spans="2:18" ht="16" x14ac:dyDescent="0.4">
      <c r="B24" s="4" t="s">
        <v>17</v>
      </c>
      <c r="C24" s="587"/>
      <c r="D24" s="574" t="s">
        <v>407</v>
      </c>
      <c r="E24" s="574"/>
      <c r="F24" s="609">
        <f t="shared" si="2"/>
        <v>1.3699999999999999</v>
      </c>
      <c r="G24" s="609">
        <f t="shared" si="2"/>
        <v>1.51</v>
      </c>
      <c r="H24" s="609">
        <f t="shared" si="2"/>
        <v>2.69</v>
      </c>
      <c r="I24" s="609">
        <f t="shared" si="2"/>
        <v>3.2749999999999999</v>
      </c>
      <c r="J24" s="609">
        <f t="shared" si="2"/>
        <v>3.3210000000000002</v>
      </c>
      <c r="K24" s="609">
        <f t="shared" si="2"/>
        <v>2.9</v>
      </c>
      <c r="L24" s="609">
        <f t="shared" si="2"/>
        <v>3.4938752176338248</v>
      </c>
      <c r="M24" s="609">
        <f t="shared" si="2"/>
        <v>4.0145466892911097</v>
      </c>
      <c r="N24" s="609">
        <f t="shared" si="2"/>
        <v>5.3083292099892168</v>
      </c>
      <c r="O24" s="609">
        <f t="shared" si="2"/>
        <v>5.8128968640473015</v>
      </c>
      <c r="P24" s="609">
        <f t="shared" si="2"/>
        <v>6.2161932136447247</v>
      </c>
      <c r="Q24" s="541"/>
      <c r="R24" s="575"/>
    </row>
    <row r="25" spans="2:18" ht="16" x14ac:dyDescent="0.4">
      <c r="B25" s="585"/>
      <c r="C25" s="586"/>
      <c r="D25" s="586"/>
      <c r="E25" s="586"/>
      <c r="F25" s="601"/>
      <c r="G25" s="601"/>
      <c r="H25" s="601"/>
      <c r="I25" s="601"/>
      <c r="J25" s="601"/>
      <c r="K25" s="601"/>
      <c r="L25" s="601"/>
      <c r="M25" s="601"/>
      <c r="N25" s="601"/>
      <c r="O25" s="601"/>
      <c r="P25" s="601"/>
      <c r="Q25" s="541"/>
      <c r="R25" s="541"/>
    </row>
    <row r="26" spans="2:18" ht="16" x14ac:dyDescent="0.4">
      <c r="B26" s="33" t="s">
        <v>81</v>
      </c>
      <c r="C26" s="587"/>
      <c r="D26" s="574" t="s">
        <v>404</v>
      </c>
      <c r="E26" s="574"/>
      <c r="F26" s="602">
        <f t="shared" ref="F26:P26" si="3">INDEX(Model_Range,MATCH($B26,Model_Paramas,0),MATCH(F$3,Model_Years,0))</f>
        <v>-303.49099999999999</v>
      </c>
      <c r="G26" s="602">
        <f t="shared" si="3"/>
        <v>-232.52899999999988</v>
      </c>
      <c r="H26" s="602">
        <f t="shared" si="3"/>
        <v>-502.96400000000011</v>
      </c>
      <c r="I26" s="602">
        <f t="shared" si="3"/>
        <v>-647.33199999999988</v>
      </c>
      <c r="J26" s="602">
        <f t="shared" si="3"/>
        <v>-618.12100000000009</v>
      </c>
      <c r="K26" s="602">
        <f t="shared" si="3"/>
        <v>-627.63600000000019</v>
      </c>
      <c r="L26" s="602">
        <f t="shared" si="3"/>
        <v>-945.12833934750006</v>
      </c>
      <c r="M26" s="602">
        <f t="shared" si="3"/>
        <v>-1292.6596859576402</v>
      </c>
      <c r="N26" s="602">
        <f t="shared" si="3"/>
        <v>-894.81928552553609</v>
      </c>
      <c r="O26" s="602">
        <f t="shared" si="3"/>
        <v>-921.86454943849458</v>
      </c>
      <c r="P26" s="602">
        <f t="shared" si="3"/>
        <v>-925.51024323967442</v>
      </c>
      <c r="Q26" s="541"/>
      <c r="R26" s="575">
        <f>(N26/I26)^(1/YEARFRAC(I$3,N$3,))-1</f>
        <v>6.6894931329754881E-2</v>
      </c>
    </row>
    <row r="27" spans="2:18" ht="16" x14ac:dyDescent="0.4">
      <c r="B27" s="584" t="s">
        <v>408</v>
      </c>
      <c r="C27" s="587"/>
      <c r="D27" s="574" t="s">
        <v>30</v>
      </c>
      <c r="E27" s="574"/>
      <c r="F27" s="604">
        <f>-F26/F17</f>
        <v>3.1438249872404574E-2</v>
      </c>
      <c r="G27" s="604">
        <f t="shared" ref="G27:P27" si="4">-G26/G17</f>
        <v>2.3149339116528285E-2</v>
      </c>
      <c r="H27" s="604">
        <f t="shared" si="4"/>
        <v>3.4387996841274027E-2</v>
      </c>
      <c r="I27" s="604">
        <f t="shared" si="4"/>
        <v>3.7576509811117272E-2</v>
      </c>
      <c r="J27" s="604">
        <f t="shared" si="4"/>
        <v>3.5466071810130027E-2</v>
      </c>
      <c r="K27" s="604">
        <f t="shared" si="4"/>
        <v>4.2108000423471098E-2</v>
      </c>
      <c r="L27" s="604">
        <f t="shared" si="4"/>
        <v>5.2499999999999991E-2</v>
      </c>
      <c r="M27" s="604">
        <f t="shared" si="4"/>
        <v>6.1600000000000009E-2</v>
      </c>
      <c r="N27" s="604">
        <f t="shared" si="4"/>
        <v>3.7768660319238964E-2</v>
      </c>
      <c r="O27" s="604">
        <f t="shared" si="4"/>
        <v>3.5051289736901498E-2</v>
      </c>
      <c r="P27" s="604">
        <f t="shared" si="4"/>
        <v>3.230565827514198E-2</v>
      </c>
      <c r="Q27" s="541"/>
      <c r="R27" s="575"/>
    </row>
    <row r="28" spans="2:18" ht="16" x14ac:dyDescent="0.4">
      <c r="B28" s="584"/>
      <c r="C28" s="587"/>
      <c r="D28" s="574"/>
      <c r="E28" s="574"/>
      <c r="F28" s="601"/>
      <c r="G28" s="601"/>
      <c r="H28" s="601"/>
      <c r="I28" s="601"/>
      <c r="J28" s="601"/>
      <c r="K28" s="601"/>
      <c r="L28" s="601"/>
      <c r="M28" s="601"/>
      <c r="N28" s="601"/>
      <c r="O28" s="601"/>
      <c r="P28" s="601"/>
      <c r="Q28" s="541"/>
      <c r="R28" s="575"/>
    </row>
    <row r="29" spans="2:18" ht="16" x14ac:dyDescent="0.4">
      <c r="B29" s="32" t="s">
        <v>79</v>
      </c>
      <c r="C29" s="587"/>
      <c r="D29" s="574" t="s">
        <v>404</v>
      </c>
      <c r="E29" s="574"/>
      <c r="F29" s="602">
        <f t="shared" ref="F29:P31" si="5">INDEX(Model_Range,MATCH($B29,Model_Paramas,0),MATCH(F$3,Model_Years,0))</f>
        <v>3019.2029999999982</v>
      </c>
      <c r="G29" s="602">
        <f t="shared" si="5"/>
        <v>1909.2429999999979</v>
      </c>
      <c r="H29" s="602">
        <f t="shared" si="5"/>
        <v>3587.6890000000058</v>
      </c>
      <c r="I29" s="602">
        <f t="shared" si="5"/>
        <v>3265.9850000000001</v>
      </c>
      <c r="J29" s="602">
        <f t="shared" si="5"/>
        <v>5255.4480000000003</v>
      </c>
      <c r="K29" s="602">
        <f t="shared" si="5"/>
        <v>4938.6330000000016</v>
      </c>
      <c r="L29" s="602">
        <f t="shared" si="5"/>
        <v>3331.0968650993805</v>
      </c>
      <c r="M29" s="602">
        <f t="shared" si="5"/>
        <v>4401.7868161059778</v>
      </c>
      <c r="N29" s="602">
        <f t="shared" si="5"/>
        <v>6011.8274314863975</v>
      </c>
      <c r="O29" s="602">
        <f t="shared" si="5"/>
        <v>7441.4357898093704</v>
      </c>
      <c r="P29" s="602">
        <f t="shared" si="5"/>
        <v>8382.0304795423635</v>
      </c>
      <c r="Q29" s="541"/>
      <c r="R29" s="575">
        <f>(N29/I29)^(1/YEARFRAC(I$3,N$3,))-1</f>
        <v>0.12979191883139674</v>
      </c>
    </row>
    <row r="30" spans="2:18" ht="16" x14ac:dyDescent="0.4">
      <c r="B30" s="32" t="s">
        <v>83</v>
      </c>
      <c r="C30" s="587"/>
      <c r="D30" s="574" t="s">
        <v>404</v>
      </c>
      <c r="E30" s="574"/>
      <c r="F30" s="602">
        <f t="shared" si="5"/>
        <v>-1637.0540000000003</v>
      </c>
      <c r="G30" s="602">
        <f t="shared" si="5"/>
        <v>-273.37399999999991</v>
      </c>
      <c r="H30" s="602">
        <f t="shared" si="5"/>
        <v>-80.597000000000179</v>
      </c>
      <c r="I30" s="602">
        <f t="shared" si="5"/>
        <v>510.97700000000015</v>
      </c>
      <c r="J30" s="602">
        <f t="shared" si="5"/>
        <v>-651.11500000000024</v>
      </c>
      <c r="K30" s="602">
        <f t="shared" si="5"/>
        <v>-601.58000000000027</v>
      </c>
      <c r="L30" s="602">
        <f t="shared" si="5"/>
        <v>-891.91417268083342</v>
      </c>
      <c r="M30" s="602">
        <f t="shared" si="5"/>
        <v>-1241.1588804020846</v>
      </c>
      <c r="N30" s="602">
        <f t="shared" si="5"/>
        <v>-842.23573459961017</v>
      </c>
      <c r="O30" s="602">
        <f t="shared" si="5"/>
        <v>-865.2994622471366</v>
      </c>
      <c r="P30" s="602">
        <f t="shared" si="5"/>
        <v>-870.06336373864576</v>
      </c>
      <c r="Q30" s="541"/>
      <c r="R30" s="575">
        <f>(-N30/-I30)^(1/YEARFRAC(I$3,N$3,))-1</f>
        <v>-2.1051124263496535</v>
      </c>
    </row>
    <row r="31" spans="2:18" ht="16" x14ac:dyDescent="0.4">
      <c r="B31" s="32" t="s">
        <v>87</v>
      </c>
      <c r="C31" s="587"/>
      <c r="D31" s="574" t="s">
        <v>404</v>
      </c>
      <c r="E31" s="574"/>
      <c r="F31" s="602">
        <f t="shared" si="5"/>
        <v>-2390.08</v>
      </c>
      <c r="G31" s="602">
        <f t="shared" si="5"/>
        <v>-623.92999999999984</v>
      </c>
      <c r="H31" s="602">
        <f t="shared" si="5"/>
        <v>-4166.982</v>
      </c>
      <c r="I31" s="602">
        <f t="shared" si="5"/>
        <v>-4578.9370000000008</v>
      </c>
      <c r="J31" s="602">
        <f t="shared" si="5"/>
        <v>-2830.6669999999999</v>
      </c>
      <c r="K31" s="602">
        <f t="shared" si="5"/>
        <v>-3995.849999999999</v>
      </c>
      <c r="L31" s="602">
        <f t="shared" si="5"/>
        <v>-5513.1991139155298</v>
      </c>
      <c r="M31" s="602">
        <f t="shared" si="5"/>
        <v>-6319.5947693378621</v>
      </c>
      <c r="N31" s="602">
        <f t="shared" si="5"/>
        <v>-5061.4074606258509</v>
      </c>
      <c r="O31" s="602">
        <f t="shared" si="5"/>
        <v>-5542.1835843882336</v>
      </c>
      <c r="P31" s="602">
        <f t="shared" si="5"/>
        <v>-4618.3887598298325</v>
      </c>
      <c r="Q31" s="541"/>
      <c r="R31" s="575">
        <f>(-N31/-I31)^(1/YEARFRAC(I$3,N$3,))-1</f>
        <v>2.0237603478486133E-2</v>
      </c>
    </row>
    <row r="32" spans="2:18" ht="16" x14ac:dyDescent="0.4">
      <c r="B32" s="584"/>
      <c r="C32" s="587"/>
      <c r="D32" s="574"/>
      <c r="E32" s="574"/>
      <c r="F32" s="601"/>
      <c r="G32" s="601"/>
      <c r="H32" s="601"/>
      <c r="I32" s="601"/>
      <c r="J32" s="601"/>
      <c r="K32" s="601"/>
      <c r="L32" s="601"/>
      <c r="M32" s="601"/>
      <c r="N32" s="601"/>
      <c r="O32" s="601"/>
      <c r="P32" s="601"/>
      <c r="Q32" s="541"/>
      <c r="R32" s="575"/>
    </row>
    <row r="33" spans="2:18" ht="16" x14ac:dyDescent="0.4">
      <c r="B33" s="32" t="s">
        <v>65</v>
      </c>
      <c r="C33" s="587"/>
      <c r="D33" s="574" t="s">
        <v>404</v>
      </c>
      <c r="E33" s="574"/>
      <c r="F33" s="602">
        <f t="shared" ref="F33:P35" si="6">INDEX(Model_Range,MATCH($B33,Model_Paramas,0),MATCH(F$3,Model_Years,0))</f>
        <v>12001.332999999999</v>
      </c>
      <c r="G33" s="602">
        <f t="shared" si="6"/>
        <v>14559.046999999999</v>
      </c>
      <c r="H33" s="602">
        <f t="shared" si="6"/>
        <v>15892.151999999998</v>
      </c>
      <c r="I33" s="602">
        <f t="shared" si="6"/>
        <v>17195.631999999998</v>
      </c>
      <c r="J33" s="602">
        <f t="shared" si="6"/>
        <v>18781.643000000004</v>
      </c>
      <c r="K33" s="602">
        <f t="shared" si="6"/>
        <v>18744.727999999999</v>
      </c>
      <c r="L33" s="602">
        <f t="shared" si="6"/>
        <v>19322.142207789802</v>
      </c>
      <c r="M33" s="602">
        <f t="shared" si="6"/>
        <v>19338.441762875034</v>
      </c>
      <c r="N33" s="602">
        <f t="shared" si="6"/>
        <v>20926.123333514413</v>
      </c>
      <c r="O33" s="602">
        <f t="shared" si="6"/>
        <v>23245.099926675153</v>
      </c>
      <c r="P33" s="602">
        <f t="shared" si="6"/>
        <v>27141.515528476793</v>
      </c>
      <c r="Q33" s="541"/>
      <c r="R33" s="575">
        <f>(N33/I33)^(1/YEARFRAC(I$3,N$3,))-1</f>
        <v>4.0049782848336823E-2</v>
      </c>
    </row>
    <row r="34" spans="2:18" ht="16" x14ac:dyDescent="0.4">
      <c r="B34" s="603" t="s">
        <v>93</v>
      </c>
      <c r="C34" s="586"/>
      <c r="D34" s="574" t="s">
        <v>404</v>
      </c>
      <c r="E34" s="574"/>
      <c r="F34" s="602">
        <f t="shared" si="6"/>
        <v>4489.8990000000003</v>
      </c>
      <c r="G34" s="602">
        <f t="shared" si="6"/>
        <v>5810.7250000000004</v>
      </c>
      <c r="H34" s="602">
        <f t="shared" si="6"/>
        <v>5001.6819999999998</v>
      </c>
      <c r="I34" s="602">
        <f t="shared" si="6"/>
        <v>5005.83</v>
      </c>
      <c r="J34" s="602">
        <f t="shared" si="6"/>
        <v>5011.5410000000002</v>
      </c>
      <c r="K34" s="602">
        <f t="shared" si="6"/>
        <v>4983.3340000000007</v>
      </c>
      <c r="L34" s="602">
        <f t="shared" si="6"/>
        <v>4234.223380960615</v>
      </c>
      <c r="M34" s="602">
        <f t="shared" si="6"/>
        <v>3268.1679758739751</v>
      </c>
      <c r="N34" s="602">
        <f t="shared" si="6"/>
        <v>3078.4372118127003</v>
      </c>
      <c r="O34" s="602">
        <f t="shared" si="6"/>
        <v>2958.365263265503</v>
      </c>
      <c r="P34" s="602">
        <f t="shared" si="6"/>
        <v>2824.9162185695855</v>
      </c>
      <c r="Q34" s="541"/>
      <c r="R34" s="575">
        <f t="shared" ref="R34:R37" si="7">(N34/I34)^(1/YEARFRAC(I$3,N$3,))-1</f>
        <v>-9.2658362992884546E-2</v>
      </c>
    </row>
    <row r="35" spans="2:18" ht="16" x14ac:dyDescent="0.4">
      <c r="B35" s="32" t="s">
        <v>50</v>
      </c>
      <c r="C35" s="587"/>
      <c r="D35" s="574" t="s">
        <v>404</v>
      </c>
      <c r="E35" s="574"/>
      <c r="F35" s="602">
        <f t="shared" si="6"/>
        <v>5431.2029999999995</v>
      </c>
      <c r="G35" s="602">
        <f t="shared" si="6"/>
        <v>6710.2519999999995</v>
      </c>
      <c r="H35" s="602">
        <f t="shared" si="6"/>
        <v>5729.1350000000002</v>
      </c>
      <c r="I35" s="602">
        <f t="shared" si="6"/>
        <v>3657.732</v>
      </c>
      <c r="J35" s="602">
        <f t="shared" si="6"/>
        <v>5337.0559999999996</v>
      </c>
      <c r="K35" s="602">
        <f t="shared" si="6"/>
        <v>5847.8559999999998</v>
      </c>
      <c r="L35" s="602">
        <f t="shared" si="6"/>
        <v>3275.271340348389</v>
      </c>
      <c r="M35" s="602">
        <f t="shared" si="6"/>
        <v>668.38696141099581</v>
      </c>
      <c r="N35" s="602">
        <f t="shared" si="6"/>
        <v>1384.3694145048325</v>
      </c>
      <c r="O35" s="602">
        <f t="shared" si="6"/>
        <v>3069.0215113567019</v>
      </c>
      <c r="P35" s="602">
        <f t="shared" si="6"/>
        <v>6659.2034374325749</v>
      </c>
      <c r="Q35" s="541"/>
      <c r="R35" s="575">
        <f t="shared" si="7"/>
        <v>-0.17660538426091843</v>
      </c>
    </row>
    <row r="36" spans="2:18" ht="16" x14ac:dyDescent="0.4">
      <c r="C36" s="584"/>
      <c r="D36" s="574"/>
      <c r="E36" s="574"/>
      <c r="F36" s="601"/>
      <c r="G36" s="601"/>
      <c r="H36" s="601"/>
      <c r="I36" s="601"/>
      <c r="J36" s="601"/>
      <c r="K36" s="601"/>
      <c r="L36" s="601"/>
      <c r="M36" s="601"/>
      <c r="N36" s="601"/>
      <c r="O36" s="601"/>
      <c r="P36" s="601"/>
      <c r="Q36" s="541"/>
      <c r="R36" s="541"/>
    </row>
    <row r="37" spans="2:18" ht="16" x14ac:dyDescent="0.4">
      <c r="B37" s="163" t="s">
        <v>283</v>
      </c>
      <c r="C37" s="586"/>
      <c r="D37" s="574" t="s">
        <v>404</v>
      </c>
      <c r="E37" s="574"/>
      <c r="F37" s="602">
        <f t="shared" ref="F37:P37" si="8">INDEX(Model_Range,MATCH($B37,Model_Paramas,0),MATCH(F$3,Model_Years,0))</f>
        <v>2494.9209999999989</v>
      </c>
      <c r="G37" s="602">
        <f t="shared" si="8"/>
        <v>2484.2820000000011</v>
      </c>
      <c r="H37" s="602">
        <f t="shared" si="8"/>
        <v>4411.4220000000014</v>
      </c>
      <c r="I37" s="602">
        <f t="shared" si="8"/>
        <v>5252.6180000000004</v>
      </c>
      <c r="J37" s="602">
        <f t="shared" si="8"/>
        <v>5129.0520000000006</v>
      </c>
      <c r="K37" s="602">
        <f t="shared" si="8"/>
        <v>4455.4080000000013</v>
      </c>
      <c r="L37" s="602">
        <f t="shared" si="8"/>
        <v>4525.371998135859</v>
      </c>
      <c r="M37" s="602">
        <f t="shared" si="8"/>
        <v>5199.7613083705237</v>
      </c>
      <c r="N37" s="602">
        <f t="shared" si="8"/>
        <v>6875.5072426543338</v>
      </c>
      <c r="O37" s="602">
        <f t="shared" si="8"/>
        <v>7529.038405219987</v>
      </c>
      <c r="P37" s="602">
        <f t="shared" si="8"/>
        <v>8051.3999361090573</v>
      </c>
      <c r="Q37" s="541"/>
      <c r="R37" s="575">
        <f t="shared" si="7"/>
        <v>5.5323927959604946E-2</v>
      </c>
    </row>
    <row r="38" spans="2:18" ht="16" x14ac:dyDescent="0.4">
      <c r="B38" s="199" t="s">
        <v>389</v>
      </c>
      <c r="C38" s="587"/>
      <c r="D38" s="574" t="s">
        <v>30</v>
      </c>
      <c r="E38" s="574"/>
      <c r="F38" s="604">
        <f>F37/F17</f>
        <v>0.25844571934558014</v>
      </c>
      <c r="G38" s="604">
        <f t="shared" ref="G38:P38" si="9">G37/G17</f>
        <v>0.24732178127926915</v>
      </c>
      <c r="H38" s="604">
        <f t="shared" si="9"/>
        <v>0.30161197581044918</v>
      </c>
      <c r="I38" s="604">
        <f t="shared" si="9"/>
        <v>0.30490544544538384</v>
      </c>
      <c r="J38" s="604">
        <f t="shared" si="9"/>
        <v>0.29429080479370706</v>
      </c>
      <c r="K38" s="604">
        <f t="shared" si="9"/>
        <v>0.29891262124979529</v>
      </c>
      <c r="L38" s="604">
        <f t="shared" si="9"/>
        <v>0.25137541644995537</v>
      </c>
      <c r="M38" s="604">
        <f t="shared" si="9"/>
        <v>0.24778779757359937</v>
      </c>
      <c r="N38" s="604">
        <f t="shared" si="9"/>
        <v>0.29020239256216634</v>
      </c>
      <c r="O38" s="604">
        <f t="shared" si="9"/>
        <v>0.28627037100229846</v>
      </c>
      <c r="P38" s="604">
        <f t="shared" si="9"/>
        <v>0.28104040649183931</v>
      </c>
      <c r="Q38" s="541"/>
      <c r="R38" s="575"/>
    </row>
    <row r="39" spans="2:18" ht="16" x14ac:dyDescent="0.4">
      <c r="B39" s="585"/>
      <c r="C39" s="587"/>
      <c r="D39" s="574"/>
      <c r="E39" s="574"/>
      <c r="F39" s="579"/>
      <c r="G39" s="579"/>
      <c r="H39" s="579"/>
      <c r="I39" s="579"/>
      <c r="J39" s="579"/>
      <c r="K39" s="579"/>
      <c r="L39" s="579"/>
      <c r="M39" s="579"/>
      <c r="N39" s="579"/>
      <c r="O39" s="579"/>
      <c r="P39" s="579"/>
      <c r="Q39" s="541"/>
      <c r="R39" s="575"/>
    </row>
    <row r="40" spans="2:18" ht="16" x14ac:dyDescent="0.4">
      <c r="B40" s="562"/>
      <c r="C40" s="562"/>
      <c r="D40" s="563"/>
      <c r="E40" s="563"/>
      <c r="F40" s="564"/>
      <c r="G40" s="564"/>
      <c r="H40" s="564"/>
      <c r="I40" s="588" t="s">
        <v>224</v>
      </c>
      <c r="J40" s="564" t="str">
        <f>[1]WMT_Model!$I$90</f>
        <v>Projected:</v>
      </c>
      <c r="K40" s="564"/>
      <c r="L40" s="564"/>
      <c r="M40" s="564"/>
      <c r="N40" s="564"/>
      <c r="O40" s="589"/>
      <c r="P40" s="589"/>
      <c r="Q40" s="541"/>
      <c r="R40" s="541"/>
    </row>
    <row r="41" spans="2:18" ht="16" x14ac:dyDescent="0.4">
      <c r="B41" s="590" t="s">
        <v>409</v>
      </c>
      <c r="C41" s="590"/>
      <c r="D41" s="591" t="str">
        <f>[1]WMT_Model!$D$91</f>
        <v>Units:</v>
      </c>
      <c r="E41" s="591"/>
      <c r="F41" s="305"/>
      <c r="G41" s="305"/>
      <c r="H41" s="305"/>
      <c r="I41" s="305">
        <f>LTM</f>
        <v>45564</v>
      </c>
      <c r="J41" s="305">
        <f>L3</f>
        <v>45838</v>
      </c>
      <c r="K41" s="305">
        <f t="shared" ref="K41:N41" si="10">M3</f>
        <v>46203</v>
      </c>
      <c r="L41" s="305">
        <f t="shared" si="10"/>
        <v>46568</v>
      </c>
      <c r="M41" s="305">
        <f t="shared" si="10"/>
        <v>46934</v>
      </c>
      <c r="N41" s="305">
        <f t="shared" si="10"/>
        <v>47299</v>
      </c>
      <c r="O41" s="592"/>
      <c r="P41" s="592"/>
      <c r="Q41" s="541"/>
      <c r="R41" s="541"/>
    </row>
    <row r="42" spans="2:18" ht="16" x14ac:dyDescent="0.4">
      <c r="B42" s="587" t="s">
        <v>410</v>
      </c>
      <c r="D42" s="593" t="s">
        <v>411</v>
      </c>
      <c r="E42" s="593"/>
      <c r="F42" s="594"/>
      <c r="G42" s="594"/>
      <c r="H42" s="594"/>
      <c r="I42" s="594">
        <f>PubComps!N37</f>
        <v>8.8724494979038688</v>
      </c>
      <c r="J42" s="594">
        <f>PubComps!O37</f>
        <v>7.9193265879539423</v>
      </c>
      <c r="K42" s="594">
        <f>PubComps!P37</f>
        <v>7.5523444228602559</v>
      </c>
      <c r="L42" s="594"/>
      <c r="M42" s="594"/>
      <c r="N42" s="594"/>
      <c r="O42" s="594"/>
      <c r="P42" s="594"/>
      <c r="Q42" s="541"/>
      <c r="R42" s="541"/>
    </row>
    <row r="43" spans="2:18" ht="16" x14ac:dyDescent="0.4">
      <c r="B43" s="587" t="str">
        <f>"EV / Revenue - "&amp;Company_Name&amp;":"</f>
        <v>EV / Revenue - Lam Research Corporation:</v>
      </c>
      <c r="D43" s="593" t="s">
        <v>411</v>
      </c>
      <c r="E43" s="593"/>
      <c r="F43" s="594"/>
      <c r="G43" s="594"/>
      <c r="H43" s="594"/>
      <c r="I43" s="594">
        <f>PubComps!N41</f>
        <v>5.8357121847284263</v>
      </c>
      <c r="J43" s="594">
        <f>PubComps!O41</f>
        <v>5.5746678366634068</v>
      </c>
      <c r="K43" s="594">
        <f>PubComps!P41</f>
        <v>5.0910208554003713</v>
      </c>
      <c r="L43" s="594"/>
      <c r="M43" s="594"/>
      <c r="N43" s="594"/>
      <c r="O43" s="594"/>
      <c r="P43" s="594"/>
      <c r="Q43" s="541"/>
      <c r="R43" s="541"/>
    </row>
    <row r="44" spans="2:18" ht="16" x14ac:dyDescent="0.4">
      <c r="B44" s="587" t="s">
        <v>412</v>
      </c>
      <c r="D44" s="574" t="s">
        <v>30</v>
      </c>
      <c r="E44" s="574"/>
      <c r="F44" s="541"/>
      <c r="G44" s="541"/>
      <c r="H44" s="541"/>
      <c r="I44" s="541"/>
      <c r="J44" s="541"/>
      <c r="K44" s="595">
        <f>PubComps!W18</f>
        <v>0.1140000000000001</v>
      </c>
      <c r="L44" s="541"/>
      <c r="M44" s="541"/>
      <c r="N44" s="541"/>
      <c r="O44" s="541"/>
      <c r="P44" s="541"/>
      <c r="Q44" s="541"/>
      <c r="R44" s="541"/>
    </row>
    <row r="45" spans="2:18" ht="16" x14ac:dyDescent="0.4">
      <c r="B45" s="587" t="e">
        <f>"Projected Revenue Growth - "&amp;CompanyName&amp;":"</f>
        <v>#NAME?</v>
      </c>
      <c r="D45" s="574" t="s">
        <v>30</v>
      </c>
      <c r="E45" s="574"/>
      <c r="F45" s="541"/>
      <c r="G45" s="541"/>
      <c r="H45" s="541"/>
      <c r="I45" s="541"/>
      <c r="J45" s="541"/>
      <c r="K45" s="595">
        <f>PubComps!W22</f>
        <v>2.0999999999999908E-2</v>
      </c>
      <c r="L45" s="541"/>
      <c r="M45" s="541"/>
      <c r="N45" s="541"/>
      <c r="O45" s="541"/>
      <c r="P45" s="541"/>
      <c r="Q45" s="541"/>
      <c r="R45" s="541"/>
    </row>
    <row r="46" spans="2:18" ht="16" x14ac:dyDescent="0.4">
      <c r="B46" s="541"/>
      <c r="D46" s="541"/>
      <c r="E46" s="541"/>
      <c r="F46" s="541"/>
      <c r="G46" s="541"/>
      <c r="H46" s="541"/>
      <c r="I46" s="541"/>
      <c r="J46" s="541"/>
      <c r="K46" s="596"/>
      <c r="L46" s="541"/>
      <c r="M46" s="541"/>
      <c r="N46" s="541"/>
      <c r="O46" s="541"/>
      <c r="P46" s="541"/>
      <c r="Q46" s="541"/>
      <c r="R46" s="541"/>
    </row>
    <row r="47" spans="2:18" ht="16" x14ac:dyDescent="0.4">
      <c r="B47" s="587" t="s">
        <v>413</v>
      </c>
      <c r="D47" s="593" t="s">
        <v>411</v>
      </c>
      <c r="E47" s="593"/>
      <c r="F47" s="594"/>
      <c r="G47" s="594"/>
      <c r="H47" s="594"/>
      <c r="I47" s="594">
        <f>PubComps!Q37</f>
        <v>27.046933829761475</v>
      </c>
      <c r="J47" s="594">
        <f>PubComps!R37</f>
        <v>22.686331853006102</v>
      </c>
      <c r="K47" s="594">
        <f>PubComps!S37</f>
        <v>20.032959706455678</v>
      </c>
      <c r="L47" s="594"/>
      <c r="M47" s="594"/>
      <c r="N47" s="594"/>
      <c r="O47" s="594"/>
      <c r="P47" s="594"/>
      <c r="Q47" s="541"/>
      <c r="R47" s="541"/>
    </row>
    <row r="48" spans="2:18" ht="16" x14ac:dyDescent="0.4">
      <c r="B48" s="587" t="e">
        <f>"EV / EBITDA - "&amp;CompanyName&amp;":"</f>
        <v>#NAME?</v>
      </c>
      <c r="D48" s="593" t="s">
        <v>411</v>
      </c>
      <c r="E48" s="593"/>
      <c r="F48" s="594"/>
      <c r="G48" s="594"/>
      <c r="H48" s="594"/>
      <c r="I48" s="594">
        <f>PubComps!Q41</f>
        <v>18.303451237175619</v>
      </c>
      <c r="J48" s="594">
        <f>PubComps!R41</f>
        <v>17.420836989573147</v>
      </c>
      <c r="K48" s="594">
        <f>PubComps!S41</f>
        <v>15.909440173126161</v>
      </c>
      <c r="L48" s="594"/>
      <c r="M48" s="594"/>
      <c r="N48" s="594"/>
      <c r="O48" s="594"/>
      <c r="P48" s="594"/>
      <c r="Q48" s="541"/>
      <c r="R48" s="541"/>
    </row>
    <row r="49" spans="2:18" ht="16" x14ac:dyDescent="0.4">
      <c r="B49" s="587" t="s">
        <v>414</v>
      </c>
      <c r="D49" s="574" t="s">
        <v>30</v>
      </c>
      <c r="E49" s="574"/>
      <c r="F49" s="541"/>
      <c r="G49" s="541"/>
      <c r="H49" s="541"/>
      <c r="I49" s="541"/>
      <c r="J49" s="541"/>
      <c r="K49" s="595">
        <f>PubComps!X18</f>
        <v>0.1140000000000001</v>
      </c>
      <c r="L49" s="541"/>
      <c r="M49" s="541"/>
      <c r="N49" s="541"/>
      <c r="O49" s="541"/>
      <c r="P49" s="541"/>
      <c r="Q49" s="541"/>
      <c r="R49" s="541"/>
    </row>
    <row r="50" spans="2:18" ht="16" x14ac:dyDescent="0.4">
      <c r="B50" s="587" t="e">
        <f>"Projected EBITDA Growth - "&amp;CompanyName&amp;":"</f>
        <v>#NAME?</v>
      </c>
      <c r="D50" s="574" t="s">
        <v>30</v>
      </c>
      <c r="E50" s="574"/>
      <c r="F50" s="541"/>
      <c r="G50" s="541"/>
      <c r="H50" s="541"/>
      <c r="I50" s="541"/>
      <c r="J50" s="541"/>
      <c r="K50" s="595">
        <f>PubComps!X22</f>
        <v>2.0999999999999908E-2</v>
      </c>
      <c r="L50" s="541"/>
      <c r="M50" s="541"/>
      <c r="N50" s="541"/>
      <c r="O50" s="541"/>
      <c r="P50" s="541"/>
      <c r="Q50" s="541"/>
      <c r="R50" s="541"/>
    </row>
    <row r="51" spans="2:18" ht="16" x14ac:dyDescent="0.4">
      <c r="B51" s="541"/>
      <c r="D51" s="541"/>
      <c r="E51" s="541"/>
      <c r="F51" s="541"/>
      <c r="G51" s="541"/>
      <c r="H51" s="541"/>
      <c r="I51" s="541"/>
      <c r="J51" s="541"/>
      <c r="K51" s="596"/>
      <c r="L51" s="541"/>
      <c r="M51" s="541"/>
      <c r="N51" s="541"/>
      <c r="O51" s="541"/>
      <c r="P51" s="541"/>
      <c r="Q51" s="541"/>
      <c r="R51" s="541"/>
    </row>
    <row r="52" spans="2:18" ht="16" x14ac:dyDescent="0.4">
      <c r="B52" s="587" t="s">
        <v>415</v>
      </c>
      <c r="D52" s="593" t="s">
        <v>411</v>
      </c>
      <c r="E52" s="593"/>
      <c r="F52" s="594"/>
      <c r="G52" s="594"/>
      <c r="H52" s="594"/>
      <c r="I52" s="594">
        <f>PubComps!T37</f>
        <v>31.681430472342207</v>
      </c>
      <c r="J52" s="594">
        <f>PubComps!U37</f>
        <v>27.085085705701577</v>
      </c>
      <c r="K52" s="594">
        <f>PubComps!V37</f>
        <v>23.917239424332969</v>
      </c>
      <c r="L52" s="594"/>
      <c r="M52" s="594"/>
      <c r="N52" s="594"/>
      <c r="O52" s="594"/>
      <c r="P52" s="594"/>
      <c r="Q52" s="541"/>
      <c r="R52" s="541"/>
    </row>
    <row r="53" spans="2:18" ht="16" x14ac:dyDescent="0.4">
      <c r="B53" s="587" t="e">
        <f>"P / E - "&amp;CompanyName&amp;":"</f>
        <v>#NAME?</v>
      </c>
      <c r="D53" s="593" t="s">
        <v>411</v>
      </c>
      <c r="E53" s="593"/>
      <c r="F53" s="594"/>
      <c r="G53" s="594"/>
      <c r="H53" s="594"/>
      <c r="I53" s="594">
        <f>PubComps!T41</f>
        <v>23.328187355188561</v>
      </c>
      <c r="J53" s="594">
        <f>PubComps!U41</f>
        <v>21.763850892055572</v>
      </c>
      <c r="K53" s="594">
        <f>PubComps!V41</f>
        <v>19.158319447232014</v>
      </c>
      <c r="L53" s="594"/>
      <c r="M53" s="594"/>
      <c r="N53" s="594"/>
      <c r="O53" s="594"/>
      <c r="P53" s="594"/>
      <c r="Q53" s="541"/>
      <c r="R53" s="541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BDDE6-9B27-4B33-B4A6-A25172D44B65}">
  <dimension ref="B2:AC357"/>
  <sheetViews>
    <sheetView showGridLines="0" topLeftCell="A22" zoomScale="49" workbookViewId="0">
      <selection activeCell="R45" sqref="A1:XFD1048576"/>
    </sheetView>
  </sheetViews>
  <sheetFormatPr defaultRowHeight="14.5" x14ac:dyDescent="0.35"/>
  <cols>
    <col min="17" max="17" width="24.1796875" bestFit="1" customWidth="1"/>
    <col min="18" max="19" width="20.26953125" bestFit="1" customWidth="1"/>
    <col min="20" max="20" width="14.1796875" bestFit="1" customWidth="1"/>
    <col min="21" max="22" width="19" bestFit="1" customWidth="1"/>
    <col min="24" max="25" width="24.1796875" bestFit="1" customWidth="1"/>
    <col min="27" max="28" width="22.81640625" bestFit="1" customWidth="1"/>
  </cols>
  <sheetData>
    <row r="2" spans="2:20" ht="16" x14ac:dyDescent="0.4">
      <c r="B2" s="547" t="str">
        <f>"Graphs and Analysis of Financial Model Output - "&amp;TEXT(Company_Name,"")</f>
        <v>Graphs and Analysis of Financial Model Output - Lam Research Corporation</v>
      </c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8"/>
    </row>
    <row r="6" spans="2:20" ht="16" x14ac:dyDescent="0.4">
      <c r="Q6" s="537" t="s">
        <v>388</v>
      </c>
      <c r="R6" s="537" t="s">
        <v>0</v>
      </c>
      <c r="S6" s="537" t="s">
        <v>283</v>
      </c>
      <c r="T6" s="537" t="s">
        <v>285</v>
      </c>
    </row>
    <row r="7" spans="2:20" x14ac:dyDescent="0.35">
      <c r="Q7" s="546" cm="1">
        <f t="array" ref="Q7:Q17">TRANSPOSE(DCF!H47:R47)</f>
        <v>43646</v>
      </c>
      <c r="R7" s="549" cm="1">
        <f t="array" ref="R7:R17">TRANSPOSE(DCF!H49:R49)</f>
        <v>9653.5589999999993</v>
      </c>
      <c r="S7" s="549" cm="1">
        <f t="array" ref="S7:S17">TRANSPOSE(DCF!H70:R70)</f>
        <v>2494.9209999999989</v>
      </c>
      <c r="T7" s="550" cm="1">
        <f t="array" ref="T7:T17">TRANSPOSE(DCF!H71:R71)</f>
        <v>0.25844571934558014</v>
      </c>
    </row>
    <row r="8" spans="2:20" x14ac:dyDescent="0.35">
      <c r="Q8" s="546">
        <v>44012</v>
      </c>
      <c r="R8" s="549">
        <v>10044.736000000001</v>
      </c>
      <c r="S8" s="549">
        <v>2484.2820000000011</v>
      </c>
      <c r="T8" s="550">
        <v>0.24732178127926915</v>
      </c>
    </row>
    <row r="9" spans="2:20" x14ac:dyDescent="0.35">
      <c r="Q9" s="546">
        <v>44377</v>
      </c>
      <c r="R9" s="549">
        <v>14626.150000000001</v>
      </c>
      <c r="S9" s="549">
        <v>4411.4220000000014</v>
      </c>
      <c r="T9" s="550">
        <v>0.30161197581044918</v>
      </c>
    </row>
    <row r="10" spans="2:20" x14ac:dyDescent="0.35">
      <c r="Q10" s="546">
        <v>44742</v>
      </c>
      <c r="R10" s="549">
        <v>17227.039000000001</v>
      </c>
      <c r="S10" s="549">
        <v>5252.6180000000004</v>
      </c>
      <c r="T10" s="550">
        <v>0.30490544544538384</v>
      </c>
    </row>
    <row r="11" spans="2:20" x14ac:dyDescent="0.35">
      <c r="Q11" s="546">
        <v>45107</v>
      </c>
      <c r="R11" s="549">
        <v>17428.516</v>
      </c>
      <c r="S11" s="549">
        <v>5129.0520000000006</v>
      </c>
      <c r="T11" s="550">
        <v>0.29429080479370706</v>
      </c>
    </row>
    <row r="12" spans="2:20" x14ac:dyDescent="0.35">
      <c r="Q12" s="546">
        <v>45473</v>
      </c>
      <c r="R12" s="549">
        <v>14905.386</v>
      </c>
      <c r="S12" s="549">
        <v>4455.4080000000013</v>
      </c>
      <c r="T12" s="550">
        <v>0.29891262124979529</v>
      </c>
    </row>
    <row r="13" spans="2:20" x14ac:dyDescent="0.35">
      <c r="Q13" s="546">
        <v>45838</v>
      </c>
      <c r="R13" s="549">
        <v>18002.444559000003</v>
      </c>
      <c r="S13" s="549">
        <v>4525.371998135859</v>
      </c>
      <c r="T13" s="550">
        <v>0.25137541644995537</v>
      </c>
    </row>
    <row r="14" spans="2:20" x14ac:dyDescent="0.35">
      <c r="Q14" s="546">
        <v>46203</v>
      </c>
      <c r="R14" s="549">
        <v>20984.735161650002</v>
      </c>
      <c r="S14" s="549">
        <v>5199.7613083705237</v>
      </c>
      <c r="T14" s="550">
        <v>0.24778779757359937</v>
      </c>
    </row>
    <row r="15" spans="2:20" x14ac:dyDescent="0.35">
      <c r="Q15" s="546">
        <v>46568</v>
      </c>
      <c r="R15" s="549">
        <v>23692.110812564999</v>
      </c>
      <c r="S15" s="549">
        <v>6875.5072426543338</v>
      </c>
      <c r="T15" s="550">
        <v>0.29020239256216634</v>
      </c>
    </row>
    <row r="16" spans="2:20" x14ac:dyDescent="0.35">
      <c r="Q16" s="546">
        <v>46934</v>
      </c>
      <c r="R16" s="549">
        <v>26300.445899654551</v>
      </c>
      <c r="S16" s="549">
        <v>7529.038405219987</v>
      </c>
      <c r="T16" s="550">
        <v>0.28627037100229846</v>
      </c>
    </row>
    <row r="17" spans="17:27" x14ac:dyDescent="0.35">
      <c r="Q17" s="546">
        <v>47299</v>
      </c>
      <c r="R17" s="549">
        <v>28648.549283758774</v>
      </c>
      <c r="S17" s="549">
        <v>8051.3999361090573</v>
      </c>
      <c r="T17" s="550">
        <v>0.28104040649183931</v>
      </c>
    </row>
    <row r="18" spans="17:27" x14ac:dyDescent="0.35">
      <c r="Q18" s="538"/>
      <c r="R18" s="202"/>
    </row>
    <row r="19" spans="17:27" x14ac:dyDescent="0.35">
      <c r="Q19" s="538"/>
      <c r="R19" s="202"/>
    </row>
    <row r="20" spans="17:27" ht="16" x14ac:dyDescent="0.4">
      <c r="Q20" s="540" t="s">
        <v>390</v>
      </c>
      <c r="R20" s="551">
        <v>1</v>
      </c>
      <c r="S20" s="541"/>
      <c r="T20" s="541"/>
    </row>
    <row r="21" spans="17:27" ht="16" x14ac:dyDescent="0.4">
      <c r="Q21" s="541"/>
      <c r="R21" s="541"/>
      <c r="S21" s="541"/>
      <c r="T21" s="541"/>
    </row>
    <row r="22" spans="17:27" ht="16" x14ac:dyDescent="0.4">
      <c r="Q22" s="540" t="s">
        <v>391</v>
      </c>
      <c r="R22" s="542"/>
      <c r="S22" s="543" t="b">
        <v>1</v>
      </c>
      <c r="T22" s="544" t="b">
        <v>1</v>
      </c>
    </row>
    <row r="23" spans="17:27" ht="16" x14ac:dyDescent="0.4">
      <c r="Q23" s="537" t="s">
        <v>388</v>
      </c>
      <c r="R23" s="537" t="s">
        <v>0</v>
      </c>
      <c r="S23" s="537" t="s">
        <v>283</v>
      </c>
      <c r="T23" s="537" t="s">
        <v>285</v>
      </c>
    </row>
    <row r="24" spans="17:27" ht="16" x14ac:dyDescent="0.4">
      <c r="Q24" s="545">
        <f>INDEX($Q$6:$Q$17,$R$20+ROWS(Q$23:Q23))</f>
        <v>43646</v>
      </c>
      <c r="R24" s="549">
        <f>INDEX($R$6:$R$17,$R$20+ROWS(R$23:R23))</f>
        <v>9653.5589999999993</v>
      </c>
      <c r="S24" s="549">
        <f>INDEX($S$6:$S$17,$R$20+ROWS(S$23:S23))</f>
        <v>2494.9209999999989</v>
      </c>
      <c r="T24" s="550">
        <f>INDEX($T$6:$T$17,$R$20+ROWS(T$23:T23))</f>
        <v>0.25844571934558014</v>
      </c>
      <c r="U24" s="545"/>
    </row>
    <row r="25" spans="17:27" ht="16" x14ac:dyDescent="0.4">
      <c r="Q25" s="545">
        <f>INDEX($Q$6:$Q$17,$R$20+ROWS(Q$23:Q24))</f>
        <v>44012</v>
      </c>
      <c r="R25" s="549">
        <f>INDEX($R$6:$R$17,$R$20+ROWS(R$23:R24))</f>
        <v>10044.736000000001</v>
      </c>
      <c r="S25" s="549">
        <f>INDEX($S$6:$S$17,$R$20+ROWS(S$23:S24))</f>
        <v>2484.2820000000011</v>
      </c>
      <c r="T25" s="550">
        <f>INDEX($T$6:$T$17,$R$20+ROWS(T$23:T24))</f>
        <v>0.24732178127926915</v>
      </c>
    </row>
    <row r="26" spans="17:27" ht="16" x14ac:dyDescent="0.4">
      <c r="Q26" s="545">
        <f>INDEX($Q$6:$Q$17,$R$20+ROWS(Q$23:Q25))</f>
        <v>44377</v>
      </c>
      <c r="R26" s="549">
        <f>INDEX($R$6:$R$17,$R$20+ROWS(R$23:R25))</f>
        <v>14626.150000000001</v>
      </c>
      <c r="S26" s="549">
        <f>INDEX($S$6:$S$17,$R$20+ROWS(S$23:S25))</f>
        <v>4411.4220000000014</v>
      </c>
      <c r="T26" s="550">
        <f>INDEX($T$6:$T$17,$R$20+ROWS(T$23:T25))</f>
        <v>0.30161197581044918</v>
      </c>
    </row>
    <row r="27" spans="17:27" ht="16" x14ac:dyDescent="0.4">
      <c r="Q27" s="545">
        <f>INDEX($Q$6:$Q$17,$R$20+ROWS(Q$23:Q26))</f>
        <v>44742</v>
      </c>
      <c r="R27" s="549">
        <f>INDEX($R$6:$R$17,$R$20+ROWS(R$23:R26))</f>
        <v>17227.039000000001</v>
      </c>
      <c r="S27" s="549">
        <f>INDEX($S$6:$S$17,$R$20+ROWS(S$23:S26))</f>
        <v>5252.6180000000004</v>
      </c>
      <c r="T27" s="550">
        <f>INDEX($T$6:$T$17,$R$20+ROWS(T$23:T26))</f>
        <v>0.30490544544538384</v>
      </c>
    </row>
    <row r="30" spans="17:27" ht="16" x14ac:dyDescent="0.4">
      <c r="Q30" s="541" t="str">
        <f>Company_Name&amp;": Revenue, EBITDA, and Margins, FY"&amp;TEXT(Q23,"yy")&amp;" to FY"&amp;TEXT(Q26,"yy")</f>
        <v>Lam Research Corporation: Revenue, EBITDA, and Margins, FYYear to FY21</v>
      </c>
    </row>
    <row r="32" spans="17:27" ht="16" x14ac:dyDescent="0.4">
      <c r="R32" s="556" t="s">
        <v>195</v>
      </c>
      <c r="S32" s="557"/>
      <c r="T32" s="541"/>
      <c r="U32" s="556" t="s">
        <v>92</v>
      </c>
      <c r="V32" s="557"/>
      <c r="W32" s="541"/>
      <c r="X32" s="556" t="s">
        <v>398</v>
      </c>
      <c r="Y32" s="557"/>
      <c r="Z32" s="541"/>
      <c r="AA32" s="556" t="s">
        <v>399</v>
      </c>
    </row>
    <row r="33" spans="17:29" ht="16" x14ac:dyDescent="0.4">
      <c r="Q33" s="541"/>
      <c r="R33" s="552" t="str">
        <f>PubCompsData!C73</f>
        <v>2025-06-30 Revenue:</v>
      </c>
      <c r="S33" s="552" t="str">
        <f>PubCompsData!C77</f>
        <v>2026-06-30 Revenue:</v>
      </c>
      <c r="T33" s="541"/>
      <c r="U33" s="553" t="str">
        <f>PubCompsData!C74</f>
        <v>2025-06-30 EBITDA:</v>
      </c>
      <c r="V33" s="553" t="str">
        <f>PubCompsData!C78</f>
        <v>2026-06-30 EBITDA:</v>
      </c>
      <c r="W33" s="541"/>
      <c r="X33" s="553" t="str">
        <f>PubCompsData!C96</f>
        <v>2025-06-30 EV / Revenue:</v>
      </c>
      <c r="Y33" s="553" t="str">
        <f>PubCompsData!C100</f>
        <v>2026-06-30 EV / Revenue:</v>
      </c>
      <c r="Z33" s="541"/>
      <c r="AA33" s="553" t="str">
        <f>PubCompsData!C97</f>
        <v>2025-06-30 EV / EBITDA:</v>
      </c>
      <c r="AB33" s="553" t="str">
        <f>PubCompsData!C101</f>
        <v>2026-06-30 EV / EBITDA:</v>
      </c>
      <c r="AC33" s="541"/>
    </row>
    <row r="34" spans="17:29" ht="16" x14ac:dyDescent="0.4">
      <c r="Q34" s="19" t="s">
        <v>212</v>
      </c>
      <c r="R34" s="554">
        <f t="shared" ref="R34:S39" si="0">INDEX(Pub_Comps_Range,MATCH(R$33,Pub_Comps_Params,0),MATCH($Q34,Pub_Comps_Tickers,0))</f>
        <v>28207.022910228687</v>
      </c>
      <c r="S34" s="554">
        <f t="shared" si="0"/>
        <v>29577.653506353243</v>
      </c>
      <c r="T34" s="541"/>
      <c r="U34" s="554">
        <f t="shared" ref="U34:V39" si="1">INDEX(Pub_Comps_Range,MATCH(U$33,Pub_Comps_Params,0),MATCH($Q34,Pub_Comps_Tickers,0))</f>
        <v>8747.9925771195904</v>
      </c>
      <c r="V34" s="554">
        <f t="shared" si="1"/>
        <v>9202.1888249477997</v>
      </c>
      <c r="W34" s="555"/>
      <c r="X34" s="104">
        <f t="shared" ref="X34:Y39" si="2">INDEX(Pub_Comps_Range,MATCH(X$33,Pub_Comps_Params,0),MATCH($Q34,Pub_Comps_Tickers,0))</f>
        <v>7.9193265879539423</v>
      </c>
      <c r="Y34" s="104">
        <f t="shared" si="2"/>
        <v>7.5523444228602559</v>
      </c>
      <c r="Z34" s="541"/>
      <c r="AA34" s="104">
        <f t="shared" ref="AA34:AB39" si="3">INDEX(Pub_Comps_Range,MATCH(AA$33,Pub_Comps_Params,0),MATCH($Q34,Pub_Comps_Tickers,0))</f>
        <v>25.53507270733779</v>
      </c>
      <c r="AB34" s="104">
        <f t="shared" si="3"/>
        <v>24.274727540299864</v>
      </c>
      <c r="AC34" s="541"/>
    </row>
    <row r="35" spans="17:29" ht="16" x14ac:dyDescent="0.4">
      <c r="Q35" s="19" t="s">
        <v>208</v>
      </c>
      <c r="R35" s="554">
        <f t="shared" si="0"/>
        <v>33975</v>
      </c>
      <c r="S35" s="554">
        <f t="shared" si="0"/>
        <v>38475</v>
      </c>
      <c r="T35" s="541"/>
      <c r="U35" s="554">
        <f t="shared" si="1"/>
        <v>11551.5</v>
      </c>
      <c r="V35" s="554">
        <f t="shared" si="1"/>
        <v>13081.500000000002</v>
      </c>
      <c r="W35" s="555"/>
      <c r="X35" s="104">
        <f t="shared" si="2"/>
        <v>7.7133528300220746</v>
      </c>
      <c r="Y35" s="104">
        <f t="shared" si="2"/>
        <v>6.8112063001949315</v>
      </c>
      <c r="Z35" s="541"/>
      <c r="AA35" s="104">
        <f t="shared" si="3"/>
        <v>22.686331853006102</v>
      </c>
      <c r="AB35" s="104">
        <f t="shared" si="3"/>
        <v>20.032959706455678</v>
      </c>
      <c r="AC35" s="541"/>
    </row>
    <row r="36" spans="17:29" ht="16" x14ac:dyDescent="0.4">
      <c r="Q36" s="19" t="s">
        <v>209</v>
      </c>
      <c r="R36" s="554">
        <f t="shared" si="0"/>
        <v>11175.868</v>
      </c>
      <c r="S36" s="554">
        <f t="shared" si="0"/>
        <v>11410.561227999999</v>
      </c>
      <c r="T36" s="541"/>
      <c r="U36" s="554">
        <f t="shared" si="1"/>
        <v>4682.6886919999997</v>
      </c>
      <c r="V36" s="554">
        <f t="shared" si="1"/>
        <v>4781.0251545319989</v>
      </c>
      <c r="W36" s="555"/>
      <c r="X36" s="104">
        <f t="shared" si="2"/>
        <v>8.1429661212891897</v>
      </c>
      <c r="Y36" s="104">
        <f t="shared" si="2"/>
        <v>7.9754810198718822</v>
      </c>
      <c r="Z36" s="541"/>
      <c r="AA36" s="104">
        <f t="shared" si="3"/>
        <v>19.434286685654396</v>
      </c>
      <c r="AB36" s="104">
        <f t="shared" si="3"/>
        <v>19.034560906615475</v>
      </c>
      <c r="AC36" s="541"/>
    </row>
    <row r="37" spans="17:29" ht="16" x14ac:dyDescent="0.4">
      <c r="Q37" s="19" t="s">
        <v>210</v>
      </c>
      <c r="R37" s="554">
        <f t="shared" si="0"/>
        <v>38648.701000000001</v>
      </c>
      <c r="S37" s="554">
        <f t="shared" si="0"/>
        <v>43054.652914000006</v>
      </c>
      <c r="T37" s="541"/>
      <c r="U37" s="554">
        <f t="shared" si="1"/>
        <v>12908.666134000001</v>
      </c>
      <c r="V37" s="554">
        <f t="shared" si="1"/>
        <v>14380.254073276003</v>
      </c>
      <c r="W37" s="555"/>
      <c r="X37" s="104">
        <f t="shared" si="2"/>
        <v>20.141013846752568</v>
      </c>
      <c r="Y37" s="104">
        <f t="shared" si="2"/>
        <v>18.079904709831748</v>
      </c>
      <c r="Z37" s="541"/>
      <c r="AA37" s="104">
        <f t="shared" si="3"/>
        <v>60.302436666923853</v>
      </c>
      <c r="AB37" s="104">
        <f t="shared" si="3"/>
        <v>54.131451227041161</v>
      </c>
      <c r="AC37" s="541"/>
    </row>
    <row r="38" spans="17:29" ht="16" x14ac:dyDescent="0.4">
      <c r="Q38" s="19" t="s">
        <v>211</v>
      </c>
      <c r="R38" s="554">
        <f t="shared" si="0"/>
        <v>42039.998</v>
      </c>
      <c r="S38" s="554">
        <f t="shared" si="0"/>
        <v>46832.557772000007</v>
      </c>
      <c r="T38" s="541"/>
      <c r="U38" s="554">
        <f t="shared" si="1"/>
        <v>12654.039397999999</v>
      </c>
      <c r="V38" s="554">
        <f t="shared" si="1"/>
        <v>14096.599889372003</v>
      </c>
      <c r="W38" s="555"/>
      <c r="X38" s="104">
        <f t="shared" si="2"/>
        <v>4.5377523566961155</v>
      </c>
      <c r="Y38" s="104">
        <f t="shared" si="2"/>
        <v>4.0733863166033348</v>
      </c>
      <c r="Z38" s="541"/>
      <c r="AA38" s="104">
        <f t="shared" si="3"/>
        <v>15.075589224904039</v>
      </c>
      <c r="AB38" s="104">
        <f t="shared" si="3"/>
        <v>13.532844905658918</v>
      </c>
      <c r="AC38" s="541"/>
    </row>
    <row r="39" spans="17:29" ht="16" x14ac:dyDescent="0.4">
      <c r="Q39" s="541" t="s">
        <v>40</v>
      </c>
      <c r="R39" s="554">
        <f t="shared" si="0"/>
        <v>16321.412999999999</v>
      </c>
      <c r="S39" s="554">
        <f t="shared" si="0"/>
        <v>17871.947235</v>
      </c>
      <c r="T39" s="541"/>
      <c r="U39" s="554">
        <f t="shared" si="1"/>
        <v>5222.8521599999995</v>
      </c>
      <c r="V39" s="554">
        <f t="shared" si="1"/>
        <v>5719.0231151999997</v>
      </c>
      <c r="W39" s="555"/>
      <c r="X39" s="104">
        <f t="shared" si="2"/>
        <v>5.5746678366634068</v>
      </c>
      <c r="Y39" s="104">
        <f t="shared" si="2"/>
        <v>5.0910208554003713</v>
      </c>
      <c r="Z39" s="541"/>
      <c r="AA39" s="104">
        <f t="shared" si="3"/>
        <v>17.420836989573147</v>
      </c>
      <c r="AB39" s="104">
        <f t="shared" si="3"/>
        <v>15.909440173126161</v>
      </c>
      <c r="AC39" s="541"/>
    </row>
    <row r="40" spans="17:29" ht="16" x14ac:dyDescent="0.4">
      <c r="Q40" s="541"/>
      <c r="R40" s="541"/>
      <c r="S40" s="541"/>
      <c r="T40" s="541"/>
      <c r="U40" s="541"/>
      <c r="V40" s="541"/>
      <c r="W40" s="541"/>
      <c r="X40" s="541"/>
      <c r="Y40" s="541"/>
      <c r="Z40" s="541"/>
      <c r="AA40" s="541"/>
      <c r="AB40" s="541"/>
      <c r="AC40" s="541"/>
    </row>
    <row r="41" spans="17:29" ht="16" x14ac:dyDescent="0.4">
      <c r="Q41" s="540" t="s">
        <v>392</v>
      </c>
      <c r="R41" s="541"/>
      <c r="S41" s="541"/>
      <c r="T41" s="541"/>
      <c r="U41" s="541"/>
      <c r="V41" s="541"/>
      <c r="W41" s="541"/>
      <c r="X41" s="541"/>
      <c r="Y41" s="541"/>
      <c r="Z41" s="541"/>
      <c r="AA41" s="541"/>
      <c r="AB41" s="541"/>
      <c r="AC41" s="541"/>
    </row>
    <row r="42" spans="17:29" ht="16" x14ac:dyDescent="0.4">
      <c r="Q42" s="541"/>
      <c r="R42" s="556" t="s">
        <v>393</v>
      </c>
      <c r="S42" s="557"/>
      <c r="T42" s="541"/>
      <c r="U42" s="556" t="s">
        <v>394</v>
      </c>
      <c r="V42" s="556"/>
      <c r="W42" s="541"/>
      <c r="X42" s="556" t="s">
        <v>395</v>
      </c>
      <c r="Y42" s="557"/>
      <c r="Z42" s="541"/>
      <c r="AA42" s="556" t="s">
        <v>396</v>
      </c>
      <c r="AB42" s="556"/>
      <c r="AC42" s="541"/>
    </row>
    <row r="43" spans="17:29" ht="16" x14ac:dyDescent="0.4">
      <c r="Q43" s="541"/>
      <c r="R43" s="558" t="str">
        <f>PubCompsData!C85</f>
        <v>Year 1 Projected Revenue Growth:</v>
      </c>
      <c r="S43" s="559" t="s">
        <v>397</v>
      </c>
      <c r="T43" s="541"/>
      <c r="U43" s="558" t="str">
        <f>PubCompsData!C86</f>
        <v>Year 1 Projected EBITDA Growth:</v>
      </c>
      <c r="V43" s="559">
        <f>$R$100</f>
        <v>0</v>
      </c>
      <c r="W43" s="541"/>
      <c r="X43" s="553" t="str">
        <f>PubCompsData!C100</f>
        <v>2026-06-30 EV / Revenue:</v>
      </c>
      <c r="Y43" s="559">
        <f>$R$100</f>
        <v>0</v>
      </c>
      <c r="Z43" s="541"/>
      <c r="AA43" s="553" t="str">
        <f>PubCompsData!C101</f>
        <v>2026-06-30 EV / EBITDA:</v>
      </c>
      <c r="AB43" s="559">
        <f>$R$100</f>
        <v>0</v>
      </c>
      <c r="AC43" s="541"/>
    </row>
    <row r="44" spans="17:29" ht="16" x14ac:dyDescent="0.4">
      <c r="Q44" s="19" t="s">
        <v>212</v>
      </c>
      <c r="R44" s="195">
        <f t="shared" ref="R44:R49" si="4">INDEX(Pub_Comps_Range,MATCH(R$43,Pub_Comps_Params,0),MATCH($Q44,Pub_Comps_Tickers,0))</f>
        <v>4.8591820572015276E-2</v>
      </c>
      <c r="S44" s="560" t="e">
        <f t="shared" ref="S44:S48" si="5">IF($P44=Ticker,R44,NA())</f>
        <v>#N/A</v>
      </c>
      <c r="T44" s="541"/>
      <c r="U44" s="195">
        <f t="shared" ref="U44:U49" si="6">INDEX(Pub_Comps_Range,MATCH(U$43,Pub_Comps_Params,0),MATCH($Q44,Pub_Comps_Tickers,0))</f>
        <v>5.1920054095171642E-2</v>
      </c>
      <c r="V44" s="560" t="e">
        <f t="shared" ref="V44:V48" si="7">IF($P44=Ticker,U44,NA())</f>
        <v>#N/A</v>
      </c>
      <c r="W44" s="541"/>
      <c r="X44" s="104">
        <f t="shared" ref="X44:X49" si="8">INDEX(Pub_Comps_Range,MATCH(X$43,Pub_Comps_Params,0),MATCH($Q44,Pub_Comps_Tickers,0))</f>
        <v>7.5523444228602559</v>
      </c>
      <c r="Y44" s="561" t="e">
        <f t="shared" ref="Y44:Y48" si="9">IF($P44=Ticker,X44,NA())</f>
        <v>#N/A</v>
      </c>
      <c r="Z44" s="541"/>
      <c r="AA44" s="104">
        <f t="shared" ref="AA44:AA49" si="10">INDEX(Pub_Comps_Range,MATCH(AA$43,Pub_Comps_Params,0),MATCH($Q44,Pub_Comps_Tickers,0))</f>
        <v>24.274727540299864</v>
      </c>
      <c r="AB44" s="561" t="e">
        <f t="shared" ref="AB44:AB48" si="11">IF($P44=Ticker,AA44,NA())</f>
        <v>#N/A</v>
      </c>
      <c r="AC44" s="541"/>
    </row>
    <row r="45" spans="17:29" ht="16" x14ac:dyDescent="0.4">
      <c r="Q45" s="19" t="s">
        <v>208</v>
      </c>
      <c r="R45" s="195">
        <f t="shared" si="4"/>
        <v>0.13245033112582782</v>
      </c>
      <c r="S45" s="560" t="e">
        <f t="shared" si="5"/>
        <v>#N/A</v>
      </c>
      <c r="T45" s="541"/>
      <c r="U45" s="195">
        <f t="shared" si="6"/>
        <v>0.13245033112582805</v>
      </c>
      <c r="V45" s="560" t="e">
        <f t="shared" si="7"/>
        <v>#N/A</v>
      </c>
      <c r="W45" s="541"/>
      <c r="X45" s="104">
        <f t="shared" si="8"/>
        <v>6.8112063001949315</v>
      </c>
      <c r="Y45" s="561" t="e">
        <f t="shared" si="9"/>
        <v>#N/A</v>
      </c>
      <c r="Z45" s="541"/>
      <c r="AA45" s="104">
        <f t="shared" si="10"/>
        <v>20.032959706455678</v>
      </c>
      <c r="AB45" s="561" t="e">
        <f t="shared" si="11"/>
        <v>#N/A</v>
      </c>
      <c r="AC45" s="541"/>
    </row>
    <row r="46" spans="17:29" ht="16" x14ac:dyDescent="0.4">
      <c r="Q46" s="19" t="s">
        <v>209</v>
      </c>
      <c r="R46" s="195">
        <f t="shared" si="4"/>
        <v>2.0999999999999908E-2</v>
      </c>
      <c r="S46" s="560" t="e">
        <f t="shared" si="5"/>
        <v>#N/A</v>
      </c>
      <c r="T46" s="541"/>
      <c r="U46" s="195">
        <f t="shared" si="6"/>
        <v>2.0999999999999908E-2</v>
      </c>
      <c r="V46" s="560" t="e">
        <f t="shared" si="7"/>
        <v>#N/A</v>
      </c>
      <c r="W46" s="541"/>
      <c r="X46" s="104">
        <f t="shared" si="8"/>
        <v>7.9754810198718822</v>
      </c>
      <c r="Y46" s="561" t="e">
        <f t="shared" si="9"/>
        <v>#N/A</v>
      </c>
      <c r="Z46" s="541"/>
      <c r="AA46" s="104">
        <f t="shared" si="10"/>
        <v>19.034560906615475</v>
      </c>
      <c r="AB46" s="561" t="e">
        <f t="shared" si="11"/>
        <v>#N/A</v>
      </c>
      <c r="AC46" s="541"/>
    </row>
    <row r="47" spans="17:29" ht="16" x14ac:dyDescent="0.4">
      <c r="Q47" s="19" t="s">
        <v>210</v>
      </c>
      <c r="R47" s="195">
        <f t="shared" si="4"/>
        <v>0.1140000000000001</v>
      </c>
      <c r="S47" s="560" t="e">
        <f t="shared" si="5"/>
        <v>#N/A</v>
      </c>
      <c r="T47" s="541"/>
      <c r="U47" s="195">
        <f t="shared" si="6"/>
        <v>0.1140000000000001</v>
      </c>
      <c r="V47" s="560" t="e">
        <f t="shared" si="7"/>
        <v>#N/A</v>
      </c>
      <c r="W47" s="541"/>
      <c r="X47" s="104">
        <f t="shared" si="8"/>
        <v>18.079904709831748</v>
      </c>
      <c r="Y47" s="561" t="e">
        <f t="shared" si="9"/>
        <v>#N/A</v>
      </c>
      <c r="Z47" s="541"/>
      <c r="AA47" s="104">
        <f t="shared" si="10"/>
        <v>54.131451227041161</v>
      </c>
      <c r="AB47" s="561" t="e">
        <f t="shared" si="11"/>
        <v>#N/A</v>
      </c>
      <c r="AC47" s="541"/>
    </row>
    <row r="48" spans="17:29" ht="16" x14ac:dyDescent="0.4">
      <c r="Q48" s="19" t="s">
        <v>211</v>
      </c>
      <c r="R48" s="195">
        <f t="shared" si="4"/>
        <v>0.1140000000000001</v>
      </c>
      <c r="S48" s="560" t="e">
        <f t="shared" si="5"/>
        <v>#N/A</v>
      </c>
      <c r="T48" s="541"/>
      <c r="U48" s="195">
        <f t="shared" si="6"/>
        <v>0.11400000000000032</v>
      </c>
      <c r="V48" s="560" t="e">
        <f t="shared" si="7"/>
        <v>#N/A</v>
      </c>
      <c r="W48" s="541"/>
      <c r="X48" s="104">
        <f t="shared" si="8"/>
        <v>4.0733863166033348</v>
      </c>
      <c r="Y48" s="561" t="e">
        <f t="shared" si="9"/>
        <v>#N/A</v>
      </c>
      <c r="Z48" s="541"/>
      <c r="AA48" s="104">
        <f t="shared" si="10"/>
        <v>13.532844905658918</v>
      </c>
      <c r="AB48" s="561" t="e">
        <f t="shared" si="11"/>
        <v>#N/A</v>
      </c>
      <c r="AC48" s="541"/>
    </row>
    <row r="49" spans="17:29" ht="16" x14ac:dyDescent="0.4">
      <c r="Q49" s="541" t="s">
        <v>40</v>
      </c>
      <c r="R49" s="195">
        <f t="shared" si="4"/>
        <v>9.4999999999999973E-2</v>
      </c>
      <c r="S49" s="195">
        <v>9.4999999999999973E-2</v>
      </c>
      <c r="T49" s="541"/>
      <c r="U49" s="195">
        <f t="shared" si="6"/>
        <v>9.4999999999999973E-2</v>
      </c>
      <c r="V49" s="560">
        <v>9.4999999999999973E-2</v>
      </c>
      <c r="W49" s="541"/>
      <c r="X49" s="104">
        <f t="shared" si="8"/>
        <v>5.0910208554003713</v>
      </c>
      <c r="Y49" s="561">
        <v>5.0910208554003713</v>
      </c>
      <c r="Z49" s="541"/>
      <c r="AA49" s="104">
        <f t="shared" si="10"/>
        <v>15.909440173126161</v>
      </c>
      <c r="AB49" s="561">
        <v>15.909440173126161</v>
      </c>
      <c r="AC49" s="541"/>
    </row>
    <row r="52" spans="17:29" ht="16" x14ac:dyDescent="0.4">
      <c r="Q52" s="541" t="str">
        <f>Company_Name&amp;": Revenue and Operating Margins"</f>
        <v>Lam Research Corporation: Revenue and Operating Margins</v>
      </c>
    </row>
    <row r="54" spans="17:29" ht="16" x14ac:dyDescent="0.4">
      <c r="Q54" s="541" t="str">
        <f>Company_Name&amp;": Revenue by Segment"</f>
        <v>Lam Research Corporation: Revenue by Segment</v>
      </c>
    </row>
    <row r="56" spans="17:29" ht="16" x14ac:dyDescent="0.4">
      <c r="Q56" s="541" t="str">
        <f>Company_Name&amp;": Revenue and Operating Margins"</f>
        <v>Lam Research Corporation: Revenue and Operating Margins</v>
      </c>
    </row>
    <row r="59" spans="17:29" ht="16" x14ac:dyDescent="0.4">
      <c r="Q59" s="541" t="str">
        <f>"Annual Revenue, FY"&amp;TEXT(Forward_Year_1,"yy")&amp;" - FY"&amp;TEXT(Forward_Year_2,"yy")</f>
        <v>Annual Revenue, FY25 - FY26</v>
      </c>
    </row>
    <row r="60" spans="17:29" ht="16" x14ac:dyDescent="0.4">
      <c r="Q60" s="541" t="str">
        <f>"Annual EBITDA, FY"&amp;TEXT(Forward_Year_1,"yy")&amp;" - FY"&amp;TEXT(Forward_Year_2,"yy")</f>
        <v>Annual EBITDA, FY25 - FY26</v>
      </c>
    </row>
    <row r="62" spans="17:29" ht="16" x14ac:dyDescent="0.4">
      <c r="Q62" s="541" t="str">
        <f>"Projected Revenue Growth, FY"&amp;TEXT(Forward_Year_1,"yy")&amp;" - FY"&amp;TEXT(Forward_Year_2,"yy")</f>
        <v>Projected Revenue Growth, FY25 - FY26</v>
      </c>
    </row>
    <row r="63" spans="17:29" ht="16" x14ac:dyDescent="0.4">
      <c r="Q63" s="541" t="str">
        <f>"Projected EBITDA Growth, FY"&amp;TEXT(Forward_Year_1,"yy")&amp;" - FY"&amp;TEXT(Forward_Year_2,"yy")</f>
        <v>Projected EBITDA Growth, FY25 - FY26</v>
      </c>
    </row>
    <row r="64" spans="17:29" ht="16" x14ac:dyDescent="0.4">
      <c r="Q64" s="541"/>
    </row>
    <row r="65" spans="17:17" ht="16" x14ac:dyDescent="0.4">
      <c r="Q65" s="541" t="str">
        <f>"FY"&amp;TEXT(Forward_Year_2,"yy")&amp;" Revenue Multiples"</f>
        <v>FY26 Revenue Multiples</v>
      </c>
    </row>
    <row r="66" spans="17:17" ht="16" x14ac:dyDescent="0.4">
      <c r="Q66" s="541" t="str">
        <f>"FY"&amp;TEXT(Forward_Year_2,"yy")&amp;" EBITDA Multiples"</f>
        <v>FY26 EBITDA Multiples</v>
      </c>
    </row>
    <row r="106" spans="18:20" ht="16" x14ac:dyDescent="0.4">
      <c r="R106" s="541" t="s">
        <v>324</v>
      </c>
      <c r="S106" s="541" t="s">
        <v>419</v>
      </c>
      <c r="T106" s="596" t="s">
        <v>420</v>
      </c>
    </row>
    <row r="107" spans="18:20" ht="16" x14ac:dyDescent="0.35">
      <c r="R107" s="611">
        <v>45635</v>
      </c>
      <c r="S107" s="610">
        <v>76.510000000000005</v>
      </c>
      <c r="T107" s="612">
        <v>10738066</v>
      </c>
    </row>
    <row r="108" spans="18:20" ht="16" x14ac:dyDescent="0.35">
      <c r="R108" s="611">
        <v>45632</v>
      </c>
      <c r="S108" s="610">
        <v>75.14</v>
      </c>
      <c r="T108" s="612">
        <v>8328000</v>
      </c>
    </row>
    <row r="109" spans="18:20" ht="16" x14ac:dyDescent="0.35">
      <c r="R109" s="611">
        <v>45631</v>
      </c>
      <c r="S109" s="610">
        <v>77.88</v>
      </c>
      <c r="T109" s="612">
        <v>12921600</v>
      </c>
    </row>
    <row r="110" spans="18:20" ht="16" x14ac:dyDescent="0.35">
      <c r="R110" s="611">
        <v>45630</v>
      </c>
      <c r="S110" s="610">
        <v>79.540000000000006</v>
      </c>
      <c r="T110" s="612">
        <v>9380400</v>
      </c>
    </row>
    <row r="111" spans="18:20" ht="16" x14ac:dyDescent="0.35">
      <c r="R111" s="611">
        <v>45629</v>
      </c>
      <c r="S111" s="610">
        <v>77.7</v>
      </c>
      <c r="T111" s="612">
        <v>9884600</v>
      </c>
    </row>
    <row r="112" spans="18:20" ht="16" x14ac:dyDescent="0.35">
      <c r="R112" s="611">
        <v>45628</v>
      </c>
      <c r="S112" s="610">
        <v>73.88</v>
      </c>
      <c r="T112" s="612">
        <v>20059300</v>
      </c>
    </row>
    <row r="113" spans="18:20" ht="16" x14ac:dyDescent="0.35">
      <c r="R113" s="611">
        <v>45625</v>
      </c>
      <c r="S113" s="610">
        <v>73.849999999999994</v>
      </c>
      <c r="T113" s="612">
        <v>10736500</v>
      </c>
    </row>
    <row r="114" spans="18:20" ht="16" x14ac:dyDescent="0.35">
      <c r="R114" s="611">
        <v>45623</v>
      </c>
      <c r="S114" s="610">
        <v>72.73</v>
      </c>
      <c r="T114" s="612">
        <v>7846700</v>
      </c>
    </row>
    <row r="115" spans="18:20" ht="16" x14ac:dyDescent="0.35">
      <c r="R115" s="611">
        <v>45622</v>
      </c>
      <c r="S115" s="610">
        <v>74.11</v>
      </c>
      <c r="T115" s="612">
        <v>7385200</v>
      </c>
    </row>
    <row r="116" spans="18:20" ht="16" x14ac:dyDescent="0.35">
      <c r="R116" s="611">
        <v>45621</v>
      </c>
      <c r="S116" s="610">
        <v>74.010000000000005</v>
      </c>
      <c r="T116" s="612">
        <v>16714200</v>
      </c>
    </row>
    <row r="117" spans="18:20" ht="16" x14ac:dyDescent="0.35">
      <c r="R117" s="611">
        <v>45618</v>
      </c>
      <c r="S117" s="610">
        <v>72.61</v>
      </c>
      <c r="T117" s="612">
        <v>8666500</v>
      </c>
    </row>
    <row r="118" spans="18:20" ht="16" x14ac:dyDescent="0.35">
      <c r="R118" s="611">
        <v>45617</v>
      </c>
      <c r="S118" s="610">
        <v>71.19</v>
      </c>
      <c r="T118" s="612">
        <v>14509000</v>
      </c>
    </row>
    <row r="119" spans="18:20" ht="16" x14ac:dyDescent="0.35">
      <c r="R119" s="611">
        <v>45616</v>
      </c>
      <c r="S119" s="610">
        <v>70.010000000000005</v>
      </c>
      <c r="T119" s="612">
        <v>8816900</v>
      </c>
    </row>
    <row r="120" spans="18:20" ht="16" x14ac:dyDescent="0.35">
      <c r="R120" s="611">
        <v>45615</v>
      </c>
      <c r="S120" s="610">
        <v>70.05</v>
      </c>
      <c r="T120" s="612">
        <v>7445900</v>
      </c>
    </row>
    <row r="121" spans="18:20" ht="16" x14ac:dyDescent="0.35">
      <c r="R121" s="611">
        <v>45614</v>
      </c>
      <c r="S121" s="610">
        <v>69.89</v>
      </c>
      <c r="T121" s="612">
        <v>11520100</v>
      </c>
    </row>
    <row r="122" spans="18:20" ht="16" x14ac:dyDescent="0.35">
      <c r="R122" s="611">
        <v>45611</v>
      </c>
      <c r="S122" s="610">
        <v>71.650000000000006</v>
      </c>
      <c r="T122" s="612">
        <v>14577400</v>
      </c>
    </row>
    <row r="123" spans="18:20" ht="16" x14ac:dyDescent="0.35">
      <c r="R123" s="611">
        <v>45610</v>
      </c>
      <c r="S123" s="610">
        <v>75.45</v>
      </c>
      <c r="T123" s="612">
        <v>9993900</v>
      </c>
    </row>
    <row r="124" spans="18:20" ht="16" x14ac:dyDescent="0.35">
      <c r="R124" s="611">
        <v>45609</v>
      </c>
      <c r="S124" s="610">
        <v>74.5</v>
      </c>
      <c r="T124" s="612">
        <v>11618100</v>
      </c>
    </row>
    <row r="125" spans="18:20" ht="16" x14ac:dyDescent="0.35">
      <c r="R125" s="611">
        <v>45608</v>
      </c>
      <c r="S125" s="610">
        <v>76.42</v>
      </c>
      <c r="T125" s="612">
        <v>9672300</v>
      </c>
    </row>
    <row r="126" spans="18:20" ht="16" x14ac:dyDescent="0.35">
      <c r="R126" s="611">
        <v>45607</v>
      </c>
      <c r="S126" s="610">
        <v>77.430000000000007</v>
      </c>
      <c r="T126" s="612">
        <v>10306200</v>
      </c>
    </row>
    <row r="127" spans="18:20" ht="16" x14ac:dyDescent="0.35">
      <c r="R127" s="611">
        <v>45604</v>
      </c>
      <c r="S127" s="610">
        <v>78.83</v>
      </c>
      <c r="T127" s="612">
        <v>7527100</v>
      </c>
    </row>
    <row r="128" spans="18:20" ht="16" x14ac:dyDescent="0.35">
      <c r="R128" s="611">
        <v>45603</v>
      </c>
      <c r="S128" s="610">
        <v>78.06</v>
      </c>
      <c r="T128" s="612">
        <v>11523600</v>
      </c>
    </row>
    <row r="129" spans="18:20" ht="16" x14ac:dyDescent="0.35">
      <c r="R129" s="611">
        <v>45602</v>
      </c>
      <c r="S129" s="610">
        <v>77.680000000000007</v>
      </c>
      <c r="T129" s="612">
        <v>15034800</v>
      </c>
    </row>
    <row r="130" spans="18:20" ht="16" x14ac:dyDescent="0.35">
      <c r="R130" s="611">
        <v>45601</v>
      </c>
      <c r="S130" s="610">
        <v>74.52</v>
      </c>
      <c r="T130" s="612">
        <v>8004900</v>
      </c>
    </row>
    <row r="131" spans="18:20" ht="16" x14ac:dyDescent="0.35">
      <c r="R131" s="611">
        <v>45600</v>
      </c>
      <c r="S131" s="610">
        <v>74.430000000000007</v>
      </c>
      <c r="T131" s="612">
        <v>7773000</v>
      </c>
    </row>
    <row r="132" spans="18:20" ht="16" x14ac:dyDescent="0.35">
      <c r="R132" s="611">
        <v>45597</v>
      </c>
      <c r="S132" s="610">
        <v>74.36</v>
      </c>
      <c r="T132" s="612">
        <v>10317500</v>
      </c>
    </row>
    <row r="133" spans="18:20" ht="16" x14ac:dyDescent="0.35">
      <c r="R133" s="611">
        <v>45596</v>
      </c>
      <c r="S133" s="610">
        <v>76.099999999999994</v>
      </c>
      <c r="T133" s="612">
        <v>13044900</v>
      </c>
    </row>
    <row r="134" spans="18:20" ht="16" x14ac:dyDescent="0.35">
      <c r="R134" s="611">
        <v>45595</v>
      </c>
      <c r="S134" s="610">
        <v>76.86</v>
      </c>
      <c r="T134" s="612">
        <v>11076800</v>
      </c>
    </row>
    <row r="135" spans="18:20" ht="16" x14ac:dyDescent="0.35">
      <c r="R135" s="611">
        <v>45594</v>
      </c>
      <c r="S135" s="610">
        <v>75.849999999999994</v>
      </c>
      <c r="T135" s="612">
        <v>12540800</v>
      </c>
    </row>
    <row r="136" spans="18:20" ht="16" x14ac:dyDescent="0.35">
      <c r="R136" s="611">
        <v>45593</v>
      </c>
      <c r="S136" s="610">
        <v>77.17</v>
      </c>
      <c r="T136" s="612">
        <v>10175800</v>
      </c>
    </row>
    <row r="137" spans="18:20" ht="16" x14ac:dyDescent="0.35">
      <c r="R137" s="611">
        <v>45590</v>
      </c>
      <c r="S137" s="610">
        <v>77.47</v>
      </c>
      <c r="T137" s="612">
        <v>14591100</v>
      </c>
    </row>
    <row r="138" spans="18:20" ht="16" x14ac:dyDescent="0.35">
      <c r="R138" s="611">
        <v>45589</v>
      </c>
      <c r="S138" s="610">
        <v>76.180000000000007</v>
      </c>
      <c r="T138" s="612">
        <v>23196200</v>
      </c>
    </row>
    <row r="139" spans="18:20" ht="16" x14ac:dyDescent="0.35">
      <c r="R139" s="611">
        <v>45588</v>
      </c>
      <c r="S139" s="610">
        <v>72.37</v>
      </c>
      <c r="T139" s="612">
        <v>20569100</v>
      </c>
    </row>
    <row r="140" spans="18:20" ht="16" x14ac:dyDescent="0.35">
      <c r="R140" s="611">
        <v>45587</v>
      </c>
      <c r="S140" s="610">
        <v>72.67</v>
      </c>
      <c r="T140" s="612">
        <v>13307000</v>
      </c>
    </row>
    <row r="141" spans="18:20" ht="16" x14ac:dyDescent="0.35">
      <c r="R141" s="611">
        <v>45586</v>
      </c>
      <c r="S141" s="610">
        <v>72.62</v>
      </c>
      <c r="T141" s="612">
        <v>12374900</v>
      </c>
    </row>
    <row r="142" spans="18:20" ht="16" x14ac:dyDescent="0.35">
      <c r="R142" s="611">
        <v>45583</v>
      </c>
      <c r="S142" s="610">
        <v>74.23</v>
      </c>
      <c r="T142" s="612">
        <v>18493400</v>
      </c>
    </row>
    <row r="143" spans="18:20" ht="16" x14ac:dyDescent="0.35">
      <c r="R143" s="611">
        <v>45582</v>
      </c>
      <c r="S143" s="610">
        <v>76.459999999999994</v>
      </c>
      <c r="T143" s="612">
        <v>20940600</v>
      </c>
    </row>
    <row r="144" spans="18:20" ht="16" x14ac:dyDescent="0.35">
      <c r="R144" s="611">
        <v>45581</v>
      </c>
      <c r="S144" s="610">
        <v>77.150000000000006</v>
      </c>
      <c r="T144" s="612">
        <v>20469200</v>
      </c>
    </row>
    <row r="145" spans="18:20" ht="16" x14ac:dyDescent="0.35">
      <c r="R145" s="611">
        <v>45580</v>
      </c>
      <c r="S145" s="610">
        <v>85.8</v>
      </c>
      <c r="T145" s="612">
        <v>25611300</v>
      </c>
    </row>
    <row r="146" spans="18:20" ht="16" x14ac:dyDescent="0.35">
      <c r="R146" s="611">
        <v>45579</v>
      </c>
      <c r="S146" s="610">
        <v>83.77</v>
      </c>
      <c r="T146" s="612">
        <v>8155000</v>
      </c>
    </row>
    <row r="147" spans="18:20" ht="16" x14ac:dyDescent="0.35">
      <c r="R147" s="611">
        <v>45576</v>
      </c>
      <c r="S147" s="610">
        <v>81.489999999999995</v>
      </c>
      <c r="T147" s="612">
        <v>6530300</v>
      </c>
    </row>
    <row r="148" spans="18:20" ht="16" x14ac:dyDescent="0.35">
      <c r="R148" s="611">
        <v>45575</v>
      </c>
      <c r="S148" s="610">
        <v>81.540000000000006</v>
      </c>
      <c r="T148" s="612">
        <v>7159500</v>
      </c>
    </row>
    <row r="149" spans="18:20" ht="16" x14ac:dyDescent="0.35">
      <c r="R149" s="611">
        <v>45574</v>
      </c>
      <c r="S149" s="610">
        <v>80.760000000000005</v>
      </c>
      <c r="T149" s="612">
        <v>9078600</v>
      </c>
    </row>
    <row r="150" spans="18:20" ht="16" x14ac:dyDescent="0.35">
      <c r="R150" s="611">
        <v>45573</v>
      </c>
      <c r="S150" s="610">
        <v>80.7</v>
      </c>
      <c r="T150" s="612">
        <v>6913500</v>
      </c>
    </row>
    <row r="151" spans="18:20" ht="16" x14ac:dyDescent="0.35">
      <c r="R151" s="611">
        <v>45572</v>
      </c>
      <c r="S151" s="610">
        <v>80.58</v>
      </c>
      <c r="T151" s="612">
        <v>7542700</v>
      </c>
    </row>
    <row r="152" spans="18:20" ht="16" x14ac:dyDescent="0.35">
      <c r="R152" s="611">
        <v>45569</v>
      </c>
      <c r="S152" s="610">
        <v>82.97</v>
      </c>
      <c r="T152" s="612">
        <v>7574100</v>
      </c>
    </row>
    <row r="153" spans="18:20" ht="16" x14ac:dyDescent="0.35">
      <c r="R153" s="611">
        <v>45568</v>
      </c>
      <c r="S153" s="610">
        <v>79.930000000000007</v>
      </c>
      <c r="T153" s="612">
        <v>6725800</v>
      </c>
    </row>
    <row r="154" spans="18:20" ht="16" x14ac:dyDescent="0.35">
      <c r="R154" s="611">
        <v>45567</v>
      </c>
      <c r="S154" s="610">
        <v>80.400000000000006</v>
      </c>
      <c r="T154" s="612">
        <v>14324000</v>
      </c>
    </row>
    <row r="155" spans="18:20" ht="16" x14ac:dyDescent="0.35">
      <c r="R155" s="611">
        <v>45566</v>
      </c>
      <c r="S155" s="610">
        <v>81.75</v>
      </c>
      <c r="T155" s="612">
        <v>14368000</v>
      </c>
    </row>
    <row r="156" spans="18:20" ht="16" x14ac:dyDescent="0.35">
      <c r="R156" s="611">
        <v>45565</v>
      </c>
      <c r="S156" s="610">
        <v>82.16</v>
      </c>
      <c r="T156" s="612">
        <v>10983000</v>
      </c>
    </row>
    <row r="157" spans="18:20" ht="16" x14ac:dyDescent="0.35">
      <c r="R157" s="611">
        <v>45562</v>
      </c>
      <c r="S157" s="610">
        <v>85.38</v>
      </c>
      <c r="T157" s="612">
        <v>13895000</v>
      </c>
    </row>
    <row r="158" spans="18:20" ht="16" x14ac:dyDescent="0.35">
      <c r="R158" s="611">
        <v>45561</v>
      </c>
      <c r="S158" s="610">
        <v>86.26</v>
      </c>
      <c r="T158" s="612">
        <v>20680000</v>
      </c>
    </row>
    <row r="159" spans="18:20" ht="16" x14ac:dyDescent="0.35">
      <c r="R159" s="611">
        <v>45560</v>
      </c>
      <c r="S159" s="610">
        <v>78.900000000000006</v>
      </c>
      <c r="T159" s="612">
        <v>11680000</v>
      </c>
    </row>
    <row r="160" spans="18:20" ht="16" x14ac:dyDescent="0.35">
      <c r="R160" s="611">
        <v>45559</v>
      </c>
      <c r="S160" s="610">
        <v>79.599999999999994</v>
      </c>
      <c r="T160" s="612">
        <v>9895000</v>
      </c>
    </row>
    <row r="161" spans="18:20" ht="16" x14ac:dyDescent="0.35">
      <c r="R161" s="611">
        <v>45558</v>
      </c>
      <c r="S161" s="610">
        <v>77.7</v>
      </c>
      <c r="T161" s="612">
        <v>7389000</v>
      </c>
    </row>
    <row r="162" spans="18:20" ht="16" x14ac:dyDescent="0.35">
      <c r="R162" s="611">
        <v>45555</v>
      </c>
      <c r="S162" s="610">
        <v>77.63</v>
      </c>
      <c r="T162" s="612">
        <v>29262000</v>
      </c>
    </row>
    <row r="163" spans="18:20" ht="16" x14ac:dyDescent="0.35">
      <c r="R163" s="611">
        <v>45554</v>
      </c>
      <c r="S163" s="610">
        <v>79.58</v>
      </c>
      <c r="T163" s="612">
        <v>15943000</v>
      </c>
    </row>
    <row r="164" spans="18:20" ht="16" x14ac:dyDescent="0.35">
      <c r="R164" s="611">
        <v>45553</v>
      </c>
      <c r="S164" s="610">
        <v>77.97</v>
      </c>
      <c r="T164" s="612">
        <v>11523000</v>
      </c>
    </row>
    <row r="165" spans="18:20" ht="16" x14ac:dyDescent="0.35">
      <c r="R165" s="611">
        <v>45552</v>
      </c>
      <c r="S165" s="610">
        <v>77.260000000000005</v>
      </c>
      <c r="T165" s="612">
        <v>11458000</v>
      </c>
    </row>
    <row r="166" spans="18:20" ht="16" x14ac:dyDescent="0.35">
      <c r="R166" s="611">
        <v>45551</v>
      </c>
      <c r="S166" s="610">
        <v>75.150000000000006</v>
      </c>
      <c r="T166" s="612">
        <v>12521000</v>
      </c>
    </row>
    <row r="167" spans="18:20" ht="16" x14ac:dyDescent="0.35">
      <c r="R167" s="611">
        <v>45548</v>
      </c>
      <c r="S167" s="610">
        <v>75.58</v>
      </c>
      <c r="T167" s="612">
        <v>8713000</v>
      </c>
    </row>
    <row r="168" spans="18:20" ht="16" x14ac:dyDescent="0.35">
      <c r="R168" s="611">
        <v>45547</v>
      </c>
      <c r="S168" s="610">
        <v>76.53</v>
      </c>
      <c r="T168" s="612">
        <v>15075000</v>
      </c>
    </row>
    <row r="169" spans="18:20" ht="16" x14ac:dyDescent="0.35">
      <c r="R169" s="611">
        <v>45546</v>
      </c>
      <c r="S169" s="610">
        <v>73.2</v>
      </c>
      <c r="T169" s="612">
        <v>22202000</v>
      </c>
    </row>
    <row r="170" spans="18:20" ht="16" x14ac:dyDescent="0.35">
      <c r="R170" s="611">
        <v>45545</v>
      </c>
      <c r="S170" s="610">
        <v>73.849999999999994</v>
      </c>
      <c r="T170" s="612">
        <v>13518000</v>
      </c>
    </row>
    <row r="171" spans="18:20" ht="16" x14ac:dyDescent="0.35">
      <c r="R171" s="611">
        <v>45544</v>
      </c>
      <c r="S171" s="610">
        <v>74.290000000000006</v>
      </c>
      <c r="T171" s="612">
        <v>11506000</v>
      </c>
    </row>
    <row r="172" spans="18:20" ht="16" x14ac:dyDescent="0.35">
      <c r="R172" s="611">
        <v>45541</v>
      </c>
      <c r="S172" s="610">
        <v>75.25</v>
      </c>
      <c r="T172" s="612">
        <v>15530000</v>
      </c>
    </row>
    <row r="173" spans="18:20" ht="16" x14ac:dyDescent="0.35">
      <c r="R173" s="611">
        <v>45540</v>
      </c>
      <c r="S173" s="610">
        <v>75.03</v>
      </c>
      <c r="T173" s="612">
        <v>8197000</v>
      </c>
    </row>
    <row r="174" spans="18:20" ht="16" x14ac:dyDescent="0.35">
      <c r="R174" s="611">
        <v>45539</v>
      </c>
      <c r="S174" s="610">
        <v>75.25</v>
      </c>
      <c r="T174" s="612">
        <v>9434000</v>
      </c>
    </row>
    <row r="175" spans="18:20" ht="16" x14ac:dyDescent="0.35">
      <c r="R175" s="611">
        <v>45538</v>
      </c>
      <c r="S175" s="610">
        <v>80.56</v>
      </c>
      <c r="T175" s="612">
        <v>16690000</v>
      </c>
    </row>
    <row r="176" spans="18:20" ht="16" x14ac:dyDescent="0.35">
      <c r="R176" s="611">
        <v>45534</v>
      </c>
      <c r="S176" s="610">
        <v>82.36</v>
      </c>
      <c r="T176" s="612">
        <v>12427000</v>
      </c>
    </row>
    <row r="177" spans="18:20" ht="16" x14ac:dyDescent="0.35">
      <c r="R177" s="611">
        <v>45533</v>
      </c>
      <c r="S177" s="610">
        <v>81.84</v>
      </c>
      <c r="T177" s="612">
        <v>12437000</v>
      </c>
    </row>
    <row r="178" spans="18:20" ht="16" x14ac:dyDescent="0.35">
      <c r="R178" s="611">
        <v>45532</v>
      </c>
      <c r="S178" s="610">
        <v>81.99</v>
      </c>
      <c r="T178" s="612">
        <v>11739000</v>
      </c>
    </row>
    <row r="179" spans="18:20" ht="16" x14ac:dyDescent="0.35">
      <c r="R179" s="611">
        <v>45531</v>
      </c>
      <c r="S179" s="610">
        <v>81.069999999999993</v>
      </c>
      <c r="T179" s="612">
        <v>8911000</v>
      </c>
    </row>
    <row r="180" spans="18:20" ht="16" x14ac:dyDescent="0.35">
      <c r="R180" s="611">
        <v>45530</v>
      </c>
      <c r="S180" s="610">
        <v>84.1</v>
      </c>
      <c r="T180" s="612">
        <v>11154000</v>
      </c>
    </row>
    <row r="181" spans="18:20" ht="16" x14ac:dyDescent="0.35">
      <c r="R181" s="611">
        <v>45527</v>
      </c>
      <c r="S181" s="610">
        <v>85.1</v>
      </c>
      <c r="T181" s="612">
        <v>10671000</v>
      </c>
    </row>
    <row r="182" spans="18:20" ht="16" x14ac:dyDescent="0.35">
      <c r="R182" s="611">
        <v>45526</v>
      </c>
      <c r="S182" s="610">
        <v>87.5</v>
      </c>
      <c r="T182" s="612">
        <v>13665000</v>
      </c>
    </row>
    <row r="183" spans="18:20" ht="16" x14ac:dyDescent="0.35">
      <c r="R183" s="611">
        <v>45525</v>
      </c>
      <c r="S183" s="610">
        <v>86.95</v>
      </c>
      <c r="T183" s="612">
        <v>8452000</v>
      </c>
    </row>
    <row r="184" spans="18:20" ht="16" x14ac:dyDescent="0.35">
      <c r="R184" s="611">
        <v>45524</v>
      </c>
      <c r="S184" s="610">
        <v>88.07</v>
      </c>
      <c r="T184" s="612">
        <v>9951000</v>
      </c>
    </row>
    <row r="185" spans="18:20" ht="16" x14ac:dyDescent="0.35">
      <c r="R185" s="611">
        <v>45523</v>
      </c>
      <c r="S185" s="610">
        <v>86.5</v>
      </c>
      <c r="T185" s="612">
        <v>10306000</v>
      </c>
    </row>
    <row r="186" spans="18:20" ht="16" x14ac:dyDescent="0.35">
      <c r="R186" s="611">
        <v>45520</v>
      </c>
      <c r="S186" s="610">
        <v>87.15</v>
      </c>
      <c r="T186" s="612">
        <v>11232000</v>
      </c>
    </row>
    <row r="187" spans="18:20" ht="16" x14ac:dyDescent="0.35">
      <c r="R187" s="611">
        <v>45519</v>
      </c>
      <c r="S187" s="610">
        <v>86.47</v>
      </c>
      <c r="T187" s="612">
        <v>12064000</v>
      </c>
    </row>
    <row r="188" spans="18:20" ht="16" x14ac:dyDescent="0.35">
      <c r="R188" s="611">
        <v>45518</v>
      </c>
      <c r="S188" s="610">
        <v>84.88</v>
      </c>
      <c r="T188" s="612">
        <v>8602000</v>
      </c>
    </row>
    <row r="189" spans="18:20" ht="16" x14ac:dyDescent="0.35">
      <c r="R189" s="611">
        <v>45517</v>
      </c>
      <c r="S189" s="610">
        <v>81.5</v>
      </c>
      <c r="T189" s="612">
        <v>15018000</v>
      </c>
    </row>
    <row r="190" spans="18:20" ht="16" x14ac:dyDescent="0.35">
      <c r="R190" s="611">
        <v>45516</v>
      </c>
      <c r="S190" s="610">
        <v>80.739999999999995</v>
      </c>
      <c r="T190" s="612">
        <v>7256000</v>
      </c>
    </row>
    <row r="191" spans="18:20" ht="16" x14ac:dyDescent="0.35">
      <c r="R191" s="611">
        <v>45513</v>
      </c>
      <c r="S191" s="610">
        <v>80.8</v>
      </c>
      <c r="T191" s="612">
        <v>12528000</v>
      </c>
    </row>
    <row r="192" spans="18:20" ht="16" x14ac:dyDescent="0.35">
      <c r="R192" s="611">
        <v>45512</v>
      </c>
      <c r="S192" s="610">
        <v>78.02</v>
      </c>
      <c r="T192" s="612">
        <v>14911000</v>
      </c>
    </row>
    <row r="193" spans="18:20" ht="16" x14ac:dyDescent="0.35">
      <c r="R193" s="611">
        <v>45511</v>
      </c>
      <c r="S193" s="610">
        <v>79.8</v>
      </c>
      <c r="T193" s="612">
        <v>12823000</v>
      </c>
    </row>
    <row r="194" spans="18:20" ht="16" x14ac:dyDescent="0.35">
      <c r="R194" s="611">
        <v>45510</v>
      </c>
      <c r="S194" s="610">
        <v>77.5</v>
      </c>
      <c r="T194" s="612">
        <v>12832000</v>
      </c>
    </row>
    <row r="195" spans="18:20" ht="16" x14ac:dyDescent="0.35">
      <c r="R195" s="611">
        <v>45509</v>
      </c>
      <c r="S195" s="610">
        <v>74.069999999999993</v>
      </c>
      <c r="T195" s="612">
        <v>23639000</v>
      </c>
    </row>
    <row r="196" spans="18:20" ht="16" x14ac:dyDescent="0.35">
      <c r="R196" s="611">
        <v>45506</v>
      </c>
      <c r="S196" s="610">
        <v>80</v>
      </c>
      <c r="T196" s="612">
        <v>27073000</v>
      </c>
    </row>
    <row r="197" spans="18:20" ht="16" x14ac:dyDescent="0.35">
      <c r="R197" s="611">
        <v>45505</v>
      </c>
      <c r="S197" s="610">
        <v>85.47</v>
      </c>
      <c r="T197" s="612">
        <v>28880000</v>
      </c>
    </row>
    <row r="198" spans="18:20" ht="16" x14ac:dyDescent="0.35">
      <c r="R198" s="611">
        <v>45504</v>
      </c>
      <c r="S198" s="610">
        <v>89.35</v>
      </c>
      <c r="T198" s="612">
        <v>19419000</v>
      </c>
    </row>
    <row r="199" spans="18:20" ht="16" x14ac:dyDescent="0.35">
      <c r="R199" s="611">
        <v>45503</v>
      </c>
      <c r="S199" s="610">
        <v>90</v>
      </c>
      <c r="T199" s="612">
        <v>13399000</v>
      </c>
    </row>
    <row r="200" spans="18:20" ht="16" x14ac:dyDescent="0.35">
      <c r="R200" s="611">
        <v>45502</v>
      </c>
      <c r="S200" s="610">
        <v>90.92</v>
      </c>
      <c r="T200" s="612">
        <v>8251000</v>
      </c>
    </row>
    <row r="201" spans="18:20" ht="16" x14ac:dyDescent="0.35">
      <c r="R201" s="611">
        <v>45499</v>
      </c>
      <c r="S201" s="610">
        <v>90.81</v>
      </c>
      <c r="T201" s="612">
        <v>11679000</v>
      </c>
    </row>
    <row r="202" spans="18:20" ht="16" x14ac:dyDescent="0.35">
      <c r="R202" s="611">
        <v>45498</v>
      </c>
      <c r="S202" s="610">
        <v>91.09</v>
      </c>
      <c r="T202" s="612">
        <v>19318000</v>
      </c>
    </row>
    <row r="203" spans="18:20" ht="16" x14ac:dyDescent="0.35">
      <c r="R203" s="611">
        <v>45497</v>
      </c>
      <c r="S203" s="610">
        <v>95</v>
      </c>
      <c r="T203" s="612">
        <v>13159000</v>
      </c>
    </row>
    <row r="204" spans="18:20" ht="16" x14ac:dyDescent="0.35">
      <c r="R204" s="611">
        <v>45496</v>
      </c>
      <c r="S204" s="610">
        <v>96.38</v>
      </c>
      <c r="T204" s="612">
        <v>6710000</v>
      </c>
    </row>
    <row r="205" spans="18:20" ht="16" x14ac:dyDescent="0.35">
      <c r="R205" s="611">
        <v>45495</v>
      </c>
      <c r="S205" s="610">
        <v>94.2</v>
      </c>
      <c r="T205" s="612">
        <v>13319000</v>
      </c>
    </row>
    <row r="206" spans="18:20" ht="16" x14ac:dyDescent="0.35">
      <c r="R206" s="611">
        <v>45492</v>
      </c>
      <c r="S206" s="610">
        <v>95.95</v>
      </c>
      <c r="T206" s="612">
        <v>14103000</v>
      </c>
    </row>
    <row r="207" spans="18:20" ht="16" x14ac:dyDescent="0.35">
      <c r="R207" s="611">
        <v>45491</v>
      </c>
      <c r="S207" s="610">
        <v>98.42</v>
      </c>
      <c r="T207" s="612">
        <v>16199000</v>
      </c>
    </row>
    <row r="208" spans="18:20" ht="16" x14ac:dyDescent="0.35">
      <c r="R208" s="611">
        <v>45490</v>
      </c>
      <c r="S208" s="610">
        <v>101.92</v>
      </c>
      <c r="T208" s="612">
        <v>21142000</v>
      </c>
    </row>
    <row r="209" spans="18:20" ht="16" x14ac:dyDescent="0.35">
      <c r="R209" s="611">
        <v>45489</v>
      </c>
      <c r="S209" s="610">
        <v>107.56</v>
      </c>
      <c r="T209" s="612">
        <v>6284000</v>
      </c>
    </row>
    <row r="210" spans="18:20" ht="16" x14ac:dyDescent="0.35">
      <c r="R210" s="611">
        <v>45488</v>
      </c>
      <c r="S210" s="610">
        <v>106.98</v>
      </c>
      <c r="T210" s="612">
        <v>7911000</v>
      </c>
    </row>
    <row r="211" spans="18:20" ht="16" x14ac:dyDescent="0.35">
      <c r="R211" s="611">
        <v>45485</v>
      </c>
      <c r="S211" s="610">
        <v>105.7</v>
      </c>
      <c r="T211" s="612">
        <v>9459000</v>
      </c>
    </row>
    <row r="212" spans="18:20" ht="16" x14ac:dyDescent="0.35">
      <c r="R212" s="611">
        <v>45484</v>
      </c>
      <c r="S212" s="610">
        <v>112.98</v>
      </c>
      <c r="T212" s="612">
        <v>13516000</v>
      </c>
    </row>
    <row r="213" spans="18:20" ht="16" x14ac:dyDescent="0.35">
      <c r="R213" s="611">
        <v>45483</v>
      </c>
      <c r="S213" s="610">
        <v>111.61</v>
      </c>
      <c r="T213" s="612">
        <v>7749000</v>
      </c>
    </row>
    <row r="214" spans="18:20" ht="16" x14ac:dyDescent="0.35">
      <c r="R214" s="611">
        <v>45482</v>
      </c>
      <c r="S214" s="610">
        <v>110.61</v>
      </c>
      <c r="T214" s="612">
        <v>6242000</v>
      </c>
    </row>
    <row r="215" spans="18:20" ht="16" x14ac:dyDescent="0.35">
      <c r="R215" s="611">
        <v>45481</v>
      </c>
      <c r="S215" s="610">
        <v>108.84</v>
      </c>
      <c r="T215" s="612">
        <v>7275000</v>
      </c>
    </row>
    <row r="216" spans="18:20" ht="16" x14ac:dyDescent="0.35">
      <c r="R216" s="611">
        <v>45478</v>
      </c>
      <c r="S216" s="610">
        <v>109.04</v>
      </c>
      <c r="T216" s="612">
        <v>5599000</v>
      </c>
    </row>
    <row r="217" spans="18:20" ht="16" x14ac:dyDescent="0.35">
      <c r="R217" s="611">
        <v>45476</v>
      </c>
      <c r="S217" s="610">
        <v>107</v>
      </c>
      <c r="T217" s="612">
        <v>4308000</v>
      </c>
    </row>
    <row r="218" spans="18:20" ht="16" x14ac:dyDescent="0.35">
      <c r="R218" s="611">
        <v>45475</v>
      </c>
      <c r="S218" s="610">
        <v>104.89</v>
      </c>
      <c r="T218" s="612">
        <v>5504000</v>
      </c>
    </row>
    <row r="219" spans="18:20" ht="16" x14ac:dyDescent="0.35">
      <c r="R219" s="611">
        <v>45474</v>
      </c>
      <c r="S219" s="610">
        <v>106.23</v>
      </c>
      <c r="T219" s="612">
        <v>6145000</v>
      </c>
    </row>
    <row r="220" spans="18:20" ht="16" x14ac:dyDescent="0.35">
      <c r="R220" s="611">
        <v>45471</v>
      </c>
      <c r="S220" s="610">
        <v>106.5</v>
      </c>
      <c r="T220" s="612">
        <v>12237000</v>
      </c>
    </row>
    <row r="221" spans="18:20" ht="16" x14ac:dyDescent="0.35">
      <c r="R221" s="611">
        <v>45470</v>
      </c>
      <c r="S221" s="610">
        <v>107.63</v>
      </c>
      <c r="T221" s="612">
        <v>9148000</v>
      </c>
    </row>
    <row r="222" spans="18:20" ht="16" x14ac:dyDescent="0.35">
      <c r="R222" s="611">
        <v>45469</v>
      </c>
      <c r="S222" s="610">
        <v>105.36</v>
      </c>
      <c r="T222" s="612">
        <v>8787000</v>
      </c>
    </row>
    <row r="223" spans="18:20" ht="16" x14ac:dyDescent="0.35">
      <c r="R223" s="611">
        <v>45468</v>
      </c>
      <c r="S223" s="610">
        <v>102.47</v>
      </c>
      <c r="T223" s="612">
        <v>9323000</v>
      </c>
    </row>
    <row r="224" spans="18:20" ht="16" x14ac:dyDescent="0.35">
      <c r="R224" s="611">
        <v>45467</v>
      </c>
      <c r="S224" s="610">
        <v>104.79</v>
      </c>
      <c r="T224" s="612">
        <v>10415000</v>
      </c>
    </row>
    <row r="225" spans="18:20" ht="16" x14ac:dyDescent="0.35">
      <c r="R225" s="611">
        <v>45464</v>
      </c>
      <c r="S225" s="610">
        <v>106</v>
      </c>
      <c r="T225" s="612">
        <v>16990000</v>
      </c>
    </row>
    <row r="226" spans="18:20" ht="16" x14ac:dyDescent="0.35">
      <c r="R226" s="611">
        <v>45463</v>
      </c>
      <c r="S226" s="610">
        <v>109.19</v>
      </c>
      <c r="T226" s="612">
        <v>14615000</v>
      </c>
    </row>
    <row r="227" spans="18:20" ht="16" x14ac:dyDescent="0.35">
      <c r="R227" s="611">
        <v>45461</v>
      </c>
      <c r="S227" s="610">
        <v>107.1</v>
      </c>
      <c r="T227" s="612">
        <v>11927000</v>
      </c>
    </row>
    <row r="228" spans="18:20" ht="16" x14ac:dyDescent="0.35">
      <c r="R228" s="611">
        <v>45460</v>
      </c>
      <c r="S228" s="610">
        <v>103</v>
      </c>
      <c r="T228" s="612">
        <v>10497000</v>
      </c>
    </row>
    <row r="229" spans="18:20" ht="16" x14ac:dyDescent="0.35">
      <c r="R229" s="611">
        <v>45457</v>
      </c>
      <c r="S229" s="610">
        <v>102.5</v>
      </c>
      <c r="T229" s="612">
        <v>6205000</v>
      </c>
    </row>
    <row r="230" spans="18:20" ht="16" x14ac:dyDescent="0.35">
      <c r="R230" s="611">
        <v>45456</v>
      </c>
      <c r="S230" s="610">
        <v>102.72</v>
      </c>
      <c r="T230" s="612">
        <v>9582000</v>
      </c>
    </row>
    <row r="231" spans="18:20" ht="16" x14ac:dyDescent="0.35">
      <c r="R231" s="611">
        <v>45455</v>
      </c>
      <c r="S231" s="610">
        <v>101.14</v>
      </c>
      <c r="T231" s="612">
        <v>15063000</v>
      </c>
    </row>
    <row r="232" spans="18:20" ht="16" x14ac:dyDescent="0.35">
      <c r="R232" s="611">
        <v>45454</v>
      </c>
      <c r="S232" s="610">
        <v>99.9</v>
      </c>
      <c r="T232" s="612">
        <v>7123000</v>
      </c>
    </row>
    <row r="233" spans="18:20" ht="16" x14ac:dyDescent="0.35">
      <c r="R233" s="611">
        <v>45453</v>
      </c>
      <c r="S233" s="610">
        <v>95.53</v>
      </c>
      <c r="T233" s="612">
        <v>10594000</v>
      </c>
    </row>
    <row r="234" spans="18:20" ht="16" x14ac:dyDescent="0.35">
      <c r="R234" s="611">
        <v>45450</v>
      </c>
      <c r="S234" s="610">
        <v>97.23</v>
      </c>
      <c r="T234" s="612">
        <v>5813000</v>
      </c>
    </row>
    <row r="235" spans="18:20" ht="16" x14ac:dyDescent="0.35">
      <c r="R235" s="611">
        <v>45449</v>
      </c>
      <c r="S235" s="610">
        <v>96.2</v>
      </c>
      <c r="T235" s="612">
        <v>8045000</v>
      </c>
    </row>
    <row r="236" spans="18:20" ht="16" x14ac:dyDescent="0.35">
      <c r="R236" s="611">
        <v>45448</v>
      </c>
      <c r="S236" s="610">
        <v>94.88</v>
      </c>
      <c r="T236" s="612">
        <v>11660000</v>
      </c>
    </row>
    <row r="237" spans="18:20" ht="16" x14ac:dyDescent="0.35">
      <c r="R237" s="611">
        <v>45447</v>
      </c>
      <c r="S237" s="610">
        <v>93.2</v>
      </c>
      <c r="T237" s="612">
        <v>6672000</v>
      </c>
    </row>
    <row r="238" spans="18:20" ht="16" x14ac:dyDescent="0.35">
      <c r="R238" s="611">
        <v>45446</v>
      </c>
      <c r="S238" s="610">
        <v>94.7</v>
      </c>
      <c r="T238" s="612">
        <v>6806000</v>
      </c>
    </row>
    <row r="239" spans="18:20" ht="16" x14ac:dyDescent="0.35">
      <c r="R239" s="611">
        <v>45443</v>
      </c>
      <c r="S239" s="610">
        <v>94.87</v>
      </c>
      <c r="T239" s="612">
        <v>15598000</v>
      </c>
    </row>
    <row r="240" spans="18:20" ht="16" x14ac:dyDescent="0.35">
      <c r="R240" s="611">
        <v>45442</v>
      </c>
      <c r="S240" s="610">
        <v>95.2</v>
      </c>
      <c r="T240" s="612">
        <v>10577000</v>
      </c>
    </row>
    <row r="241" spans="18:20" ht="16" x14ac:dyDescent="0.35">
      <c r="R241" s="611">
        <v>45441</v>
      </c>
      <c r="S241" s="610">
        <v>95.75</v>
      </c>
      <c r="T241" s="612">
        <v>8802000</v>
      </c>
    </row>
    <row r="242" spans="18:20" ht="16" x14ac:dyDescent="0.35">
      <c r="R242" s="611">
        <v>45440</v>
      </c>
      <c r="S242" s="610">
        <v>97.5</v>
      </c>
      <c r="T242" s="612">
        <v>9942000</v>
      </c>
    </row>
    <row r="243" spans="18:20" ht="16" x14ac:dyDescent="0.35">
      <c r="R243" s="611">
        <v>45436</v>
      </c>
      <c r="S243" s="610">
        <v>96.41</v>
      </c>
      <c r="T243" s="612">
        <v>7196000</v>
      </c>
    </row>
    <row r="244" spans="18:20" ht="16" x14ac:dyDescent="0.35">
      <c r="R244" s="611">
        <v>45435</v>
      </c>
      <c r="S244" s="610">
        <v>99.12</v>
      </c>
      <c r="T244" s="612">
        <v>10576000</v>
      </c>
    </row>
    <row r="245" spans="18:20" ht="16" x14ac:dyDescent="0.35">
      <c r="R245" s="611">
        <v>45434</v>
      </c>
      <c r="S245" s="610">
        <v>97.12</v>
      </c>
      <c r="T245" s="612">
        <v>8938000</v>
      </c>
    </row>
    <row r="246" spans="18:20" ht="16" x14ac:dyDescent="0.35">
      <c r="R246" s="611">
        <v>45433</v>
      </c>
      <c r="S246" s="610">
        <v>97.17</v>
      </c>
      <c r="T246" s="612">
        <v>14234000</v>
      </c>
    </row>
    <row r="247" spans="18:20" ht="16" x14ac:dyDescent="0.35">
      <c r="R247" s="611">
        <v>45432</v>
      </c>
      <c r="S247" s="610">
        <v>91.44</v>
      </c>
      <c r="T247" s="612">
        <v>6650000</v>
      </c>
    </row>
    <row r="248" spans="18:20" ht="16" x14ac:dyDescent="0.35">
      <c r="R248" s="611">
        <v>45429</v>
      </c>
      <c r="S248" s="610">
        <v>95.24</v>
      </c>
      <c r="T248" s="612">
        <v>9106000</v>
      </c>
    </row>
    <row r="249" spans="18:20" ht="16" x14ac:dyDescent="0.35">
      <c r="R249" s="611">
        <v>45428</v>
      </c>
      <c r="S249" s="610">
        <v>95</v>
      </c>
      <c r="T249" s="612">
        <v>8124000</v>
      </c>
    </row>
    <row r="250" spans="18:20" ht="16" x14ac:dyDescent="0.35">
      <c r="R250" s="611">
        <v>45427</v>
      </c>
      <c r="S250" s="610">
        <v>92.44</v>
      </c>
      <c r="T250" s="612">
        <v>7133000</v>
      </c>
    </row>
    <row r="251" spans="18:20" ht="16" x14ac:dyDescent="0.35">
      <c r="R251" s="611">
        <v>45426</v>
      </c>
      <c r="S251" s="610">
        <v>89.9</v>
      </c>
      <c r="T251" s="612">
        <v>5751000</v>
      </c>
    </row>
    <row r="252" spans="18:20" ht="16" x14ac:dyDescent="0.35">
      <c r="R252" s="611">
        <v>45425</v>
      </c>
      <c r="S252" s="610">
        <v>92.07</v>
      </c>
      <c r="T252" s="612">
        <v>7394000</v>
      </c>
    </row>
    <row r="253" spans="18:20" ht="16" x14ac:dyDescent="0.35">
      <c r="R253" s="611">
        <v>45422</v>
      </c>
      <c r="S253" s="610">
        <v>91.83</v>
      </c>
      <c r="T253" s="612">
        <v>5100000</v>
      </c>
    </row>
    <row r="254" spans="18:20" ht="16" x14ac:dyDescent="0.35">
      <c r="R254" s="611">
        <v>45421</v>
      </c>
      <c r="S254" s="610">
        <v>91.7</v>
      </c>
      <c r="T254" s="612">
        <v>5767000</v>
      </c>
    </row>
    <row r="255" spans="18:20" ht="16" x14ac:dyDescent="0.35">
      <c r="R255" s="611">
        <v>45420</v>
      </c>
      <c r="S255" s="610">
        <v>90.32</v>
      </c>
      <c r="T255" s="612">
        <v>5539000</v>
      </c>
    </row>
    <row r="256" spans="18:20" ht="16" x14ac:dyDescent="0.35">
      <c r="R256" s="611">
        <v>45419</v>
      </c>
      <c r="S256" s="610">
        <v>92.76</v>
      </c>
      <c r="T256" s="612">
        <v>6746000</v>
      </c>
    </row>
    <row r="257" spans="18:20" ht="16" x14ac:dyDescent="0.35">
      <c r="R257" s="611">
        <v>45418</v>
      </c>
      <c r="S257" s="610">
        <v>91.53</v>
      </c>
      <c r="T257" s="612">
        <v>7545000</v>
      </c>
    </row>
    <row r="258" spans="18:20" ht="16" x14ac:dyDescent="0.35">
      <c r="R258" s="611">
        <v>45415</v>
      </c>
      <c r="S258" s="610">
        <v>89.84</v>
      </c>
      <c r="T258" s="612">
        <v>8752000</v>
      </c>
    </row>
    <row r="259" spans="18:20" ht="16" x14ac:dyDescent="0.35">
      <c r="R259" s="611">
        <v>45414</v>
      </c>
      <c r="S259" s="610">
        <v>88.1</v>
      </c>
      <c r="T259" s="612">
        <v>7245000</v>
      </c>
    </row>
    <row r="260" spans="18:20" ht="16" x14ac:dyDescent="0.35">
      <c r="R260" s="611">
        <v>45413</v>
      </c>
      <c r="S260" s="610">
        <v>88.31</v>
      </c>
      <c r="T260" s="612">
        <v>11878000</v>
      </c>
    </row>
    <row r="261" spans="18:20" ht="16" x14ac:dyDescent="0.35">
      <c r="R261" s="611">
        <v>45412</v>
      </c>
      <c r="S261" s="610">
        <v>92.39</v>
      </c>
      <c r="T261" s="612">
        <v>9737000</v>
      </c>
    </row>
    <row r="262" spans="18:20" ht="16" x14ac:dyDescent="0.35">
      <c r="R262" s="611">
        <v>45411</v>
      </c>
      <c r="S262" s="610">
        <v>92.15</v>
      </c>
      <c r="T262" s="612">
        <v>9025000</v>
      </c>
    </row>
    <row r="263" spans="18:20" ht="16" x14ac:dyDescent="0.35">
      <c r="R263" s="611">
        <v>45408</v>
      </c>
      <c r="S263" s="610">
        <v>89.84</v>
      </c>
      <c r="T263" s="612">
        <v>13971000</v>
      </c>
    </row>
    <row r="264" spans="18:20" ht="16" x14ac:dyDescent="0.35">
      <c r="R264" s="611">
        <v>45407</v>
      </c>
      <c r="S264" s="610">
        <v>90.93</v>
      </c>
      <c r="T264" s="612">
        <v>13093000</v>
      </c>
    </row>
    <row r="265" spans="18:20" ht="16" x14ac:dyDescent="0.35">
      <c r="R265" s="611">
        <v>45406</v>
      </c>
      <c r="S265" s="610">
        <v>90.73</v>
      </c>
      <c r="T265" s="612">
        <v>19491000</v>
      </c>
    </row>
    <row r="266" spans="18:20" ht="16" x14ac:dyDescent="0.35">
      <c r="R266" s="611">
        <v>45405</v>
      </c>
      <c r="S266" s="610">
        <v>87.8</v>
      </c>
      <c r="T266" s="612">
        <v>9823000</v>
      </c>
    </row>
    <row r="267" spans="18:20" ht="16" x14ac:dyDescent="0.35">
      <c r="R267" s="611">
        <v>45404</v>
      </c>
      <c r="S267" s="610">
        <v>87.64</v>
      </c>
      <c r="T267" s="612">
        <v>18563000</v>
      </c>
    </row>
    <row r="268" spans="18:20" ht="16" x14ac:dyDescent="0.35">
      <c r="R268" s="611">
        <v>45401</v>
      </c>
      <c r="S268" s="610">
        <v>89.49</v>
      </c>
      <c r="T268" s="612">
        <v>13545000</v>
      </c>
    </row>
    <row r="269" spans="18:20" ht="16" x14ac:dyDescent="0.35">
      <c r="R269" s="611">
        <v>45400</v>
      </c>
      <c r="S269" s="610">
        <v>90.92</v>
      </c>
      <c r="T269" s="612">
        <v>23074000</v>
      </c>
    </row>
    <row r="270" spans="18:20" ht="16" x14ac:dyDescent="0.35">
      <c r="R270" s="611">
        <v>45399</v>
      </c>
      <c r="S270" s="610">
        <v>95</v>
      </c>
      <c r="T270" s="612">
        <v>16686000</v>
      </c>
    </row>
    <row r="271" spans="18:20" ht="16" x14ac:dyDescent="0.35">
      <c r="R271" s="611">
        <v>45398</v>
      </c>
      <c r="S271" s="610">
        <v>94.88</v>
      </c>
      <c r="T271" s="612">
        <v>5448000</v>
      </c>
    </row>
    <row r="272" spans="18:20" ht="16" x14ac:dyDescent="0.35">
      <c r="R272" s="611">
        <v>45397</v>
      </c>
      <c r="S272" s="610">
        <v>97.59</v>
      </c>
      <c r="T272" s="612">
        <v>7691000</v>
      </c>
    </row>
    <row r="273" spans="18:20" ht="16" x14ac:dyDescent="0.35">
      <c r="R273" s="611">
        <v>45394</v>
      </c>
      <c r="S273" s="610">
        <v>96.3</v>
      </c>
      <c r="T273" s="612">
        <v>9893000</v>
      </c>
    </row>
    <row r="274" spans="18:20" ht="16" x14ac:dyDescent="0.35">
      <c r="R274" s="611">
        <v>45393</v>
      </c>
      <c r="S274" s="610">
        <v>96.4</v>
      </c>
      <c r="T274" s="612">
        <v>7055000</v>
      </c>
    </row>
    <row r="275" spans="18:20" ht="16" x14ac:dyDescent="0.35">
      <c r="R275" s="611">
        <v>45392</v>
      </c>
      <c r="S275" s="610">
        <v>95.9</v>
      </c>
      <c r="T275" s="612">
        <v>5976000</v>
      </c>
    </row>
    <row r="276" spans="18:20" ht="16" x14ac:dyDescent="0.35">
      <c r="R276" s="611">
        <v>45391</v>
      </c>
      <c r="S276" s="610">
        <v>98.03</v>
      </c>
      <c r="T276" s="612">
        <v>5207000</v>
      </c>
    </row>
    <row r="277" spans="18:20" ht="16" x14ac:dyDescent="0.35">
      <c r="R277" s="611">
        <v>45390</v>
      </c>
      <c r="S277" s="610">
        <v>97.41</v>
      </c>
      <c r="T277" s="612">
        <v>5609000</v>
      </c>
    </row>
    <row r="278" spans="18:20" ht="16" x14ac:dyDescent="0.35">
      <c r="R278" s="611">
        <v>45387</v>
      </c>
      <c r="S278" s="610">
        <v>96.59</v>
      </c>
      <c r="T278" s="612">
        <v>8048000</v>
      </c>
    </row>
    <row r="279" spans="18:20" ht="16" x14ac:dyDescent="0.35">
      <c r="R279" s="611">
        <v>45386</v>
      </c>
      <c r="S279" s="610">
        <v>99.26</v>
      </c>
      <c r="T279" s="612">
        <v>9919000</v>
      </c>
    </row>
    <row r="280" spans="18:20" ht="16" x14ac:dyDescent="0.35">
      <c r="R280" s="611">
        <v>45385</v>
      </c>
      <c r="S280" s="610">
        <v>96.18</v>
      </c>
      <c r="T280" s="612">
        <v>7302000</v>
      </c>
    </row>
    <row r="281" spans="18:20" ht="16" x14ac:dyDescent="0.35">
      <c r="R281" s="611">
        <v>45384</v>
      </c>
      <c r="S281" s="610">
        <v>96.7</v>
      </c>
      <c r="T281" s="612">
        <v>9071000</v>
      </c>
    </row>
    <row r="282" spans="18:20" ht="16" x14ac:dyDescent="0.35">
      <c r="R282" s="611">
        <v>45383</v>
      </c>
      <c r="S282" s="610">
        <v>97.2</v>
      </c>
      <c r="T282" s="612">
        <v>6514000</v>
      </c>
    </row>
    <row r="283" spans="18:20" ht="16" x14ac:dyDescent="0.35">
      <c r="R283" s="611">
        <v>45379</v>
      </c>
      <c r="S283" s="610">
        <v>96.6</v>
      </c>
      <c r="T283" s="612">
        <v>6639000</v>
      </c>
    </row>
    <row r="284" spans="18:20" ht="16" x14ac:dyDescent="0.35">
      <c r="R284" s="611">
        <v>45378</v>
      </c>
      <c r="S284" s="610">
        <v>97.28</v>
      </c>
      <c r="T284" s="612">
        <v>5896000</v>
      </c>
    </row>
    <row r="285" spans="18:20" ht="16" x14ac:dyDescent="0.35">
      <c r="R285" s="611">
        <v>45377</v>
      </c>
      <c r="S285" s="610">
        <v>98.05</v>
      </c>
      <c r="T285" s="612">
        <v>8589000</v>
      </c>
    </row>
    <row r="286" spans="18:20" ht="16" x14ac:dyDescent="0.35">
      <c r="R286" s="611">
        <v>45376</v>
      </c>
      <c r="S286" s="610">
        <v>96.23</v>
      </c>
      <c r="T286" s="612">
        <v>7405000</v>
      </c>
    </row>
    <row r="287" spans="18:20" ht="16" x14ac:dyDescent="0.35">
      <c r="R287" s="611">
        <v>45373</v>
      </c>
      <c r="S287" s="610">
        <v>98.47</v>
      </c>
      <c r="T287" s="612">
        <v>6901000</v>
      </c>
    </row>
    <row r="288" spans="18:20" ht="16" x14ac:dyDescent="0.35">
      <c r="R288" s="611">
        <v>45372</v>
      </c>
      <c r="S288" s="610">
        <v>98.31</v>
      </c>
      <c r="T288" s="612">
        <v>14078000</v>
      </c>
    </row>
    <row r="289" spans="18:20" ht="16" x14ac:dyDescent="0.35">
      <c r="R289" s="611">
        <v>45371</v>
      </c>
      <c r="S289" s="610">
        <v>92.6</v>
      </c>
      <c r="T289" s="612">
        <v>8493000</v>
      </c>
    </row>
    <row r="290" spans="18:20" ht="16" x14ac:dyDescent="0.35">
      <c r="R290" s="611">
        <v>45370</v>
      </c>
      <c r="S290" s="610">
        <v>91.4</v>
      </c>
      <c r="T290" s="612">
        <v>7029000</v>
      </c>
    </row>
    <row r="291" spans="18:20" ht="16" x14ac:dyDescent="0.35">
      <c r="R291" s="611">
        <v>45369</v>
      </c>
      <c r="S291" s="610">
        <v>92.24</v>
      </c>
      <c r="T291" s="612">
        <v>7510000</v>
      </c>
    </row>
    <row r="292" spans="18:20" ht="16" x14ac:dyDescent="0.35">
      <c r="R292" s="611">
        <v>45366</v>
      </c>
      <c r="S292" s="610">
        <v>90.89</v>
      </c>
      <c r="T292" s="612">
        <v>19745000</v>
      </c>
    </row>
    <row r="293" spans="18:20" ht="16" x14ac:dyDescent="0.35">
      <c r="R293" s="611">
        <v>45365</v>
      </c>
      <c r="S293" s="610">
        <v>93.39</v>
      </c>
      <c r="T293" s="612">
        <v>9964000</v>
      </c>
    </row>
    <row r="294" spans="18:20" ht="16" x14ac:dyDescent="0.35">
      <c r="R294" s="611">
        <v>45364</v>
      </c>
      <c r="S294" s="610">
        <v>93.7</v>
      </c>
      <c r="T294" s="612">
        <v>10080000</v>
      </c>
    </row>
    <row r="295" spans="18:20" ht="16" x14ac:dyDescent="0.35">
      <c r="R295" s="611">
        <v>45363</v>
      </c>
      <c r="S295" s="610">
        <v>93.35</v>
      </c>
      <c r="T295" s="612">
        <v>13512000</v>
      </c>
    </row>
    <row r="296" spans="18:20" ht="16" x14ac:dyDescent="0.35">
      <c r="R296" s="611">
        <v>45362</v>
      </c>
      <c r="S296" s="610">
        <v>94.31</v>
      </c>
      <c r="T296" s="612">
        <v>13267000</v>
      </c>
    </row>
    <row r="297" spans="18:20" ht="16" x14ac:dyDescent="0.35">
      <c r="R297" s="611">
        <v>45359</v>
      </c>
      <c r="S297" s="610">
        <v>99.27</v>
      </c>
      <c r="T297" s="612">
        <v>13313000</v>
      </c>
    </row>
    <row r="298" spans="18:20" ht="16" x14ac:dyDescent="0.35">
      <c r="R298" s="611">
        <v>45358</v>
      </c>
      <c r="S298" s="610">
        <v>98.9</v>
      </c>
      <c r="T298" s="612">
        <v>10974000</v>
      </c>
    </row>
    <row r="299" spans="18:20" ht="16" x14ac:dyDescent="0.35">
      <c r="R299" s="611">
        <v>45357</v>
      </c>
      <c r="S299" s="610">
        <v>97.67</v>
      </c>
      <c r="T299" s="612">
        <v>14329000</v>
      </c>
    </row>
    <row r="300" spans="18:20" ht="16" x14ac:dyDescent="0.35">
      <c r="R300" s="611">
        <v>45356</v>
      </c>
      <c r="S300" s="610">
        <v>97</v>
      </c>
      <c r="T300" s="612">
        <v>13083000</v>
      </c>
    </row>
    <row r="301" spans="18:20" ht="16" x14ac:dyDescent="0.35">
      <c r="R301" s="611">
        <v>45355</v>
      </c>
      <c r="S301" s="610">
        <v>99.12</v>
      </c>
      <c r="T301" s="612">
        <v>9016000</v>
      </c>
    </row>
    <row r="302" spans="18:20" ht="16" x14ac:dyDescent="0.35">
      <c r="R302" s="611">
        <v>45352</v>
      </c>
      <c r="S302" s="610">
        <v>94.5</v>
      </c>
      <c r="T302" s="612">
        <v>11111000</v>
      </c>
    </row>
    <row r="303" spans="18:20" ht="16" x14ac:dyDescent="0.35">
      <c r="R303" s="611">
        <v>45351</v>
      </c>
      <c r="S303" s="610">
        <v>93.65</v>
      </c>
      <c r="T303" s="612">
        <v>13084000</v>
      </c>
    </row>
    <row r="304" spans="18:20" ht="16" x14ac:dyDescent="0.35">
      <c r="R304" s="611">
        <v>45350</v>
      </c>
      <c r="S304" s="610">
        <v>91.72</v>
      </c>
      <c r="T304" s="612">
        <v>6150000</v>
      </c>
    </row>
    <row r="305" spans="18:20" ht="16" x14ac:dyDescent="0.35">
      <c r="R305" s="611">
        <v>45349</v>
      </c>
      <c r="S305" s="610">
        <v>94.04</v>
      </c>
      <c r="T305" s="612">
        <v>6303000</v>
      </c>
    </row>
    <row r="306" spans="18:20" ht="16" x14ac:dyDescent="0.35">
      <c r="R306" s="611">
        <v>45348</v>
      </c>
      <c r="S306" s="610">
        <v>93.66</v>
      </c>
      <c r="T306" s="612">
        <v>6091000</v>
      </c>
    </row>
    <row r="307" spans="18:20" ht="16" x14ac:dyDescent="0.35">
      <c r="R307" s="611">
        <v>45345</v>
      </c>
      <c r="S307" s="610">
        <v>94.71</v>
      </c>
      <c r="T307" s="612">
        <v>6868000</v>
      </c>
    </row>
    <row r="308" spans="18:20" ht="16" x14ac:dyDescent="0.35">
      <c r="R308" s="611">
        <v>45344</v>
      </c>
      <c r="S308" s="610">
        <v>93</v>
      </c>
      <c r="T308" s="612">
        <v>12639000</v>
      </c>
    </row>
    <row r="309" spans="18:20" ht="16" x14ac:dyDescent="0.35">
      <c r="R309" s="611">
        <v>45343</v>
      </c>
      <c r="S309" s="610">
        <v>89.5</v>
      </c>
      <c r="T309" s="612">
        <v>7140000</v>
      </c>
    </row>
    <row r="310" spans="18:20" ht="16" x14ac:dyDescent="0.35">
      <c r="R310" s="611">
        <v>45342</v>
      </c>
      <c r="S310" s="610">
        <v>91.89</v>
      </c>
      <c r="T310" s="612">
        <v>10890000</v>
      </c>
    </row>
    <row r="311" spans="18:20" ht="16" x14ac:dyDescent="0.35">
      <c r="R311" s="611">
        <v>45338</v>
      </c>
      <c r="S311" s="610">
        <v>94.04</v>
      </c>
      <c r="T311" s="612">
        <v>13280000</v>
      </c>
    </row>
    <row r="312" spans="18:20" ht="16" x14ac:dyDescent="0.35">
      <c r="R312" s="611">
        <v>45337</v>
      </c>
      <c r="S312" s="610">
        <v>91.78</v>
      </c>
      <c r="T312" s="612">
        <v>8529000</v>
      </c>
    </row>
    <row r="313" spans="18:20" ht="16" x14ac:dyDescent="0.35">
      <c r="R313" s="611">
        <v>45336</v>
      </c>
      <c r="S313" s="610">
        <v>90.86</v>
      </c>
      <c r="T313" s="612">
        <v>11849000</v>
      </c>
    </row>
    <row r="314" spans="18:20" ht="16" x14ac:dyDescent="0.35">
      <c r="R314" s="611">
        <v>45335</v>
      </c>
      <c r="S314" s="610">
        <v>87.53</v>
      </c>
      <c r="T314" s="612">
        <v>12595000</v>
      </c>
    </row>
    <row r="315" spans="18:20" ht="16" x14ac:dyDescent="0.35">
      <c r="R315" s="611">
        <v>45334</v>
      </c>
      <c r="S315" s="610">
        <v>90.55</v>
      </c>
      <c r="T315" s="612">
        <v>12542000</v>
      </c>
    </row>
    <row r="316" spans="18:20" ht="16" x14ac:dyDescent="0.35">
      <c r="R316" s="611">
        <v>45331</v>
      </c>
      <c r="S316" s="610">
        <v>88</v>
      </c>
      <c r="T316" s="612">
        <v>18363000</v>
      </c>
    </row>
    <row r="317" spans="18:20" ht="16" x14ac:dyDescent="0.35">
      <c r="R317" s="611">
        <v>45330</v>
      </c>
      <c r="S317" s="610">
        <v>85.2</v>
      </c>
      <c r="T317" s="612">
        <v>8627000</v>
      </c>
    </row>
    <row r="318" spans="18:20" ht="16" x14ac:dyDescent="0.35">
      <c r="R318" s="611">
        <v>45329</v>
      </c>
      <c r="S318" s="610">
        <v>83.77</v>
      </c>
      <c r="T318" s="612">
        <v>8570000</v>
      </c>
    </row>
    <row r="319" spans="18:20" ht="16" x14ac:dyDescent="0.35">
      <c r="R319" s="611">
        <v>45328</v>
      </c>
      <c r="S319" s="610">
        <v>85.29</v>
      </c>
      <c r="T319" s="612">
        <v>10546000</v>
      </c>
    </row>
    <row r="320" spans="18:20" ht="16" x14ac:dyDescent="0.35">
      <c r="R320" s="611">
        <v>45327</v>
      </c>
      <c r="S320" s="610">
        <v>83.88</v>
      </c>
      <c r="T320" s="612">
        <v>8651000</v>
      </c>
    </row>
    <row r="321" spans="18:20" ht="16" x14ac:dyDescent="0.35">
      <c r="R321" s="611">
        <v>45324</v>
      </c>
      <c r="S321" s="610">
        <v>82.73</v>
      </c>
      <c r="T321" s="612">
        <v>7629000</v>
      </c>
    </row>
    <row r="322" spans="18:20" ht="16" x14ac:dyDescent="0.35">
      <c r="R322" s="611">
        <v>45323</v>
      </c>
      <c r="S322" s="610">
        <v>83.18</v>
      </c>
      <c r="T322" s="612">
        <v>7633000</v>
      </c>
    </row>
    <row r="323" spans="18:20" ht="16" x14ac:dyDescent="0.35">
      <c r="R323" s="611">
        <v>45322</v>
      </c>
      <c r="S323" s="610">
        <v>82.2</v>
      </c>
      <c r="T323" s="612">
        <v>9969000</v>
      </c>
    </row>
    <row r="324" spans="18:20" ht="16" x14ac:dyDescent="0.35">
      <c r="R324" s="611">
        <v>45321</v>
      </c>
      <c r="S324" s="610">
        <v>84.11</v>
      </c>
      <c r="T324" s="612">
        <v>10696000</v>
      </c>
    </row>
    <row r="325" spans="18:20" ht="16" x14ac:dyDescent="0.35">
      <c r="R325" s="611">
        <v>45320</v>
      </c>
      <c r="S325" s="610">
        <v>83.57</v>
      </c>
      <c r="T325" s="612">
        <v>9904000</v>
      </c>
    </row>
    <row r="326" spans="18:20" ht="16" x14ac:dyDescent="0.35">
      <c r="R326" s="611">
        <v>45317</v>
      </c>
      <c r="S326" s="610">
        <v>85.3</v>
      </c>
      <c r="T326" s="612">
        <v>16751000</v>
      </c>
    </row>
    <row r="327" spans="18:20" ht="16" x14ac:dyDescent="0.35">
      <c r="R327" s="611">
        <v>45316</v>
      </c>
      <c r="S327" s="610">
        <v>87.7</v>
      </c>
      <c r="T327" s="612">
        <v>31073000</v>
      </c>
    </row>
    <row r="328" spans="18:20" ht="16" x14ac:dyDescent="0.35">
      <c r="R328" s="611">
        <v>45315</v>
      </c>
      <c r="S328" s="610">
        <v>85</v>
      </c>
      <c r="T328" s="612">
        <v>19276000</v>
      </c>
    </row>
    <row r="329" spans="18:20" ht="16" x14ac:dyDescent="0.35">
      <c r="R329" s="611">
        <v>45314</v>
      </c>
      <c r="S329" s="610">
        <v>82.96</v>
      </c>
      <c r="T329" s="612">
        <v>8243000</v>
      </c>
    </row>
    <row r="330" spans="18:20" ht="16" x14ac:dyDescent="0.35">
      <c r="R330" s="611">
        <v>45313</v>
      </c>
      <c r="S330" s="610">
        <v>82.91</v>
      </c>
      <c r="T330" s="612">
        <v>13652000</v>
      </c>
    </row>
    <row r="331" spans="18:20" ht="16" x14ac:dyDescent="0.35">
      <c r="R331" s="611">
        <v>45310</v>
      </c>
      <c r="S331" s="610">
        <v>79.87</v>
      </c>
      <c r="T331" s="612">
        <v>18628000</v>
      </c>
    </row>
    <row r="332" spans="18:20" ht="16" x14ac:dyDescent="0.35">
      <c r="R332" s="611">
        <v>45309</v>
      </c>
      <c r="S332" s="610">
        <v>77.59</v>
      </c>
      <c r="T332" s="612">
        <v>14863000</v>
      </c>
    </row>
    <row r="333" spans="18:20" ht="16" x14ac:dyDescent="0.35">
      <c r="R333" s="611">
        <v>45308</v>
      </c>
      <c r="S333" s="610">
        <v>75.28</v>
      </c>
      <c r="T333" s="612">
        <v>9631000</v>
      </c>
    </row>
    <row r="334" spans="18:20" ht="16" x14ac:dyDescent="0.35">
      <c r="R334" s="611">
        <v>45307</v>
      </c>
      <c r="S334" s="610">
        <v>75.430000000000007</v>
      </c>
      <c r="T334" s="612">
        <v>6847000</v>
      </c>
    </row>
    <row r="335" spans="18:20" ht="16" x14ac:dyDescent="0.35">
      <c r="R335" s="611">
        <v>45303</v>
      </c>
      <c r="S335" s="610">
        <v>76.069999999999993</v>
      </c>
      <c r="T335" s="612">
        <v>4972000</v>
      </c>
    </row>
    <row r="336" spans="18:20" ht="16" x14ac:dyDescent="0.35">
      <c r="R336" s="611">
        <v>45302</v>
      </c>
      <c r="S336" s="610">
        <v>74.959999999999994</v>
      </c>
      <c r="T336" s="612">
        <v>7742000</v>
      </c>
    </row>
    <row r="337" spans="18:20" ht="16" x14ac:dyDescent="0.35">
      <c r="R337" s="611">
        <v>45301</v>
      </c>
      <c r="S337" s="610">
        <v>75.38</v>
      </c>
      <c r="T337" s="612">
        <v>8376000</v>
      </c>
    </row>
    <row r="338" spans="18:20" ht="16" x14ac:dyDescent="0.35">
      <c r="R338" s="611">
        <v>45300</v>
      </c>
      <c r="S338" s="610">
        <v>74.63</v>
      </c>
      <c r="T338" s="612">
        <v>5904000</v>
      </c>
    </row>
    <row r="339" spans="18:20" ht="16" x14ac:dyDescent="0.35">
      <c r="R339" s="611">
        <v>45299</v>
      </c>
      <c r="S339" s="610">
        <v>73.63</v>
      </c>
      <c r="T339" s="612">
        <v>10889000</v>
      </c>
    </row>
    <row r="340" spans="18:20" ht="16" x14ac:dyDescent="0.35">
      <c r="R340" s="611">
        <v>45296</v>
      </c>
      <c r="S340" s="610">
        <v>73.459999999999994</v>
      </c>
      <c r="T340" s="612">
        <v>8219000</v>
      </c>
    </row>
    <row r="341" spans="18:20" ht="16" x14ac:dyDescent="0.35">
      <c r="R341" s="611">
        <v>45295</v>
      </c>
      <c r="S341" s="610">
        <v>72.58</v>
      </c>
      <c r="T341" s="612">
        <v>10330000</v>
      </c>
    </row>
    <row r="342" spans="18:20" ht="16" x14ac:dyDescent="0.35">
      <c r="R342" s="611">
        <v>45294</v>
      </c>
      <c r="S342" s="610">
        <v>73.2</v>
      </c>
      <c r="T342" s="612">
        <v>9224000</v>
      </c>
    </row>
    <row r="343" spans="18:20" ht="16" x14ac:dyDescent="0.35">
      <c r="R343" s="611">
        <v>45293</v>
      </c>
      <c r="S343" s="610">
        <v>76.88</v>
      </c>
      <c r="T343" s="612">
        <v>11136000</v>
      </c>
    </row>
    <row r="344" spans="18:20" ht="16" x14ac:dyDescent="0.35">
      <c r="R344" s="611">
        <v>45289</v>
      </c>
      <c r="S344" s="610">
        <v>78.75</v>
      </c>
      <c r="T344" s="612">
        <v>5191000</v>
      </c>
    </row>
    <row r="345" spans="18:20" ht="16" x14ac:dyDescent="0.35">
      <c r="R345" s="611">
        <v>45288</v>
      </c>
      <c r="S345" s="610">
        <v>79.78</v>
      </c>
      <c r="T345" s="612">
        <v>6007000</v>
      </c>
    </row>
    <row r="346" spans="18:20" ht="16" x14ac:dyDescent="0.35">
      <c r="R346" s="611">
        <v>45287</v>
      </c>
      <c r="S346" s="610">
        <v>79.900000000000006</v>
      </c>
      <c r="T346" s="612">
        <v>7623000</v>
      </c>
    </row>
    <row r="347" spans="18:20" ht="16" x14ac:dyDescent="0.35">
      <c r="R347" s="611">
        <v>45286</v>
      </c>
      <c r="S347" s="610">
        <v>78.3</v>
      </c>
      <c r="T347" s="612">
        <v>6941000</v>
      </c>
    </row>
    <row r="348" spans="18:20" ht="16" x14ac:dyDescent="0.35">
      <c r="R348" s="611">
        <v>45282</v>
      </c>
      <c r="S348" s="610">
        <v>77.69</v>
      </c>
      <c r="T348" s="612">
        <v>5251000</v>
      </c>
    </row>
    <row r="349" spans="18:20" ht="16" x14ac:dyDescent="0.35">
      <c r="R349" s="611">
        <v>45281</v>
      </c>
      <c r="S349" s="610">
        <v>77.849999999999994</v>
      </c>
      <c r="T349" s="612">
        <v>9349000</v>
      </c>
    </row>
    <row r="350" spans="18:20" ht="16" x14ac:dyDescent="0.35">
      <c r="R350" s="611">
        <v>45280</v>
      </c>
      <c r="S350" s="610">
        <v>77.209999999999994</v>
      </c>
      <c r="T350" s="612">
        <v>11409000</v>
      </c>
    </row>
    <row r="351" spans="18:20" ht="16" x14ac:dyDescent="0.35">
      <c r="R351" s="611">
        <v>45279</v>
      </c>
      <c r="S351" s="610">
        <v>77.22</v>
      </c>
      <c r="T351" s="612">
        <v>8906000</v>
      </c>
    </row>
    <row r="352" spans="18:20" ht="16" x14ac:dyDescent="0.35">
      <c r="R352" s="611">
        <v>45278</v>
      </c>
      <c r="S352" s="610">
        <v>77.56</v>
      </c>
      <c r="T352" s="612">
        <v>8841000</v>
      </c>
    </row>
    <row r="353" spans="18:20" ht="16" x14ac:dyDescent="0.35">
      <c r="R353" s="611">
        <v>45275</v>
      </c>
      <c r="S353" s="610">
        <v>76.930000000000007</v>
      </c>
      <c r="T353" s="612">
        <v>17817000</v>
      </c>
    </row>
    <row r="354" spans="18:20" ht="16" x14ac:dyDescent="0.35">
      <c r="R354" s="611">
        <v>45274</v>
      </c>
      <c r="S354" s="610">
        <v>74.040000000000006</v>
      </c>
      <c r="T354" s="612">
        <v>17234000</v>
      </c>
    </row>
    <row r="355" spans="18:20" ht="16" x14ac:dyDescent="0.35">
      <c r="R355" s="611">
        <v>45273</v>
      </c>
      <c r="S355" s="610">
        <v>73.290000000000006</v>
      </c>
      <c r="T355" s="612">
        <v>8889000</v>
      </c>
    </row>
    <row r="356" spans="18:20" ht="16" x14ac:dyDescent="0.35">
      <c r="R356" s="611">
        <v>45272</v>
      </c>
      <c r="S356" s="610">
        <v>73.3</v>
      </c>
      <c r="T356" s="612">
        <v>12019000</v>
      </c>
    </row>
    <row r="357" spans="18:20" ht="16" x14ac:dyDescent="0.35">
      <c r="R357" s="611">
        <v>45271</v>
      </c>
      <c r="S357" s="610">
        <v>71.02</v>
      </c>
      <c r="T357" s="612">
        <v>15849000</v>
      </c>
    </row>
  </sheetData>
  <dataValidations disablePrompts="1" count="1">
    <dataValidation type="list" allowBlank="1" showInputMessage="1" showErrorMessage="1" sqref="R20" xr:uid="{F157569A-151F-4AFD-9804-843C8BDCCC3B}">
      <formula1>"1,2,3,4,5,6,7,8"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304DD-D7C1-4B08-A3A4-0A8C46A6A1BF}">
  <dimension ref="B2:AE195"/>
  <sheetViews>
    <sheetView showGridLines="0" topLeftCell="A20" zoomScale="49" workbookViewId="0">
      <selection activeCell="N5" sqref="N5"/>
    </sheetView>
  </sheetViews>
  <sheetFormatPr defaultColWidth="8.7265625" defaultRowHeight="16" x14ac:dyDescent="0.4"/>
  <cols>
    <col min="1" max="1" width="8.7265625" style="5"/>
    <col min="2" max="2" width="3.453125" style="5" customWidth="1"/>
    <col min="3" max="3" width="40.7265625" style="5" customWidth="1"/>
    <col min="4" max="4" width="20.1796875" style="5" customWidth="1"/>
    <col min="5" max="5" width="9" style="5" customWidth="1"/>
    <col min="6" max="6" width="20.1796875" style="5" customWidth="1"/>
    <col min="7" max="8" width="11.54296875" style="5" bestFit="1" customWidth="1"/>
    <col min="9" max="14" width="12.54296875" style="5" bestFit="1" customWidth="1"/>
    <col min="15" max="15" width="11.81640625" style="5" bestFit="1" customWidth="1"/>
    <col min="16" max="16" width="12.54296875" style="5" bestFit="1" customWidth="1"/>
    <col min="17" max="18" width="13.1796875" style="5" bestFit="1" customWidth="1"/>
    <col min="19" max="19" width="12.54296875" style="5" bestFit="1" customWidth="1"/>
    <col min="20" max="23" width="13.1796875" style="5" bestFit="1" customWidth="1"/>
    <col min="24" max="16384" width="8.7265625" style="5"/>
  </cols>
  <sheetData>
    <row r="2" spans="2:24" x14ac:dyDescent="0.4">
      <c r="B2" s="152"/>
      <c r="C2" s="152"/>
      <c r="D2" s="152"/>
      <c r="E2" s="152"/>
      <c r="F2" s="152"/>
      <c r="G2" s="152"/>
      <c r="H2" s="154"/>
      <c r="I2" s="154"/>
      <c r="J2" s="155" t="s">
        <v>11</v>
      </c>
      <c r="K2" s="154"/>
      <c r="L2" s="154"/>
      <c r="M2" s="154"/>
      <c r="N2" s="156"/>
      <c r="O2" s="154"/>
      <c r="P2" s="154"/>
      <c r="Q2" s="154"/>
      <c r="R2" s="155" t="s">
        <v>122</v>
      </c>
      <c r="S2" s="154"/>
      <c r="T2" s="154"/>
      <c r="U2" s="154"/>
      <c r="V2" s="154"/>
      <c r="W2" s="154"/>
    </row>
    <row r="3" spans="2:24" x14ac:dyDescent="0.4">
      <c r="B3" s="151" t="s">
        <v>40</v>
      </c>
      <c r="C3" s="152"/>
      <c r="D3" s="152"/>
      <c r="E3" s="153" t="s">
        <v>9</v>
      </c>
      <c r="F3" s="157"/>
      <c r="G3" s="157"/>
      <c r="H3" s="2">
        <v>43646</v>
      </c>
      <c r="I3" s="2">
        <f>EOMONTH(H3,12)</f>
        <v>44012</v>
      </c>
      <c r="J3" s="2">
        <f t="shared" ref="J3:L3" si="0">EOMONTH(I3,12)</f>
        <v>44377</v>
      </c>
      <c r="K3" s="2">
        <f t="shared" si="0"/>
        <v>44742</v>
      </c>
      <c r="L3" s="2">
        <f t="shared" si="0"/>
        <v>45107</v>
      </c>
      <c r="M3" s="2">
        <f t="shared" ref="M3" si="1">EOMONTH(L3,12)</f>
        <v>45473</v>
      </c>
      <c r="N3" s="83">
        <f t="shared" ref="N3" si="2">EOMONTH(M3,12)</f>
        <v>45838</v>
      </c>
      <c r="O3" s="2">
        <f t="shared" ref="O3" si="3">EOMONTH(N3,12)</f>
        <v>46203</v>
      </c>
      <c r="P3" s="2">
        <f t="shared" ref="P3" si="4">EOMONTH(O3,12)</f>
        <v>46568</v>
      </c>
      <c r="Q3" s="2">
        <f t="shared" ref="Q3" si="5">EOMONTH(P3,12)</f>
        <v>46934</v>
      </c>
      <c r="R3" s="2">
        <f t="shared" ref="R3" si="6">EOMONTH(Q3,12)</f>
        <v>47299</v>
      </c>
      <c r="S3" s="2">
        <f t="shared" ref="S3" si="7">EOMONTH(R3,12)</f>
        <v>47664</v>
      </c>
      <c r="T3" s="2">
        <f t="shared" ref="T3" si="8">EOMONTH(S3,12)</f>
        <v>48029</v>
      </c>
      <c r="U3" s="2">
        <f t="shared" ref="U3" si="9">EOMONTH(T3,12)</f>
        <v>48395</v>
      </c>
      <c r="V3" s="2">
        <f t="shared" ref="V3" si="10">EOMONTH(U3,12)</f>
        <v>48760</v>
      </c>
      <c r="W3" s="2">
        <f t="shared" ref="W3" si="11">EOMONTH(V3,12)</f>
        <v>49125</v>
      </c>
      <c r="X3" s="82"/>
    </row>
    <row r="5" spans="2:24" x14ac:dyDescent="0.4">
      <c r="C5" s="5" t="s">
        <v>18</v>
      </c>
      <c r="E5" s="12" t="s">
        <v>19</v>
      </c>
      <c r="G5" s="13" t="s">
        <v>38</v>
      </c>
      <c r="H5" s="24"/>
      <c r="J5" s="14" t="s">
        <v>20</v>
      </c>
      <c r="K5" s="15"/>
      <c r="L5" s="16"/>
      <c r="M5" s="16"/>
      <c r="N5" s="17">
        <v>45473</v>
      </c>
    </row>
    <row r="6" spans="2:24" x14ac:dyDescent="0.4">
      <c r="C6" s="5" t="s">
        <v>21</v>
      </c>
      <c r="E6" s="12" t="s">
        <v>19</v>
      </c>
      <c r="G6" s="18" t="s">
        <v>40</v>
      </c>
      <c r="J6" s="14" t="s">
        <v>22</v>
      </c>
      <c r="K6" s="15"/>
      <c r="L6" s="16"/>
      <c r="M6" s="16"/>
      <c r="N6" s="17">
        <f>EOMONTH(N5,12)</f>
        <v>45838</v>
      </c>
    </row>
    <row r="7" spans="2:24" x14ac:dyDescent="0.4">
      <c r="C7" s="5" t="s">
        <v>23</v>
      </c>
      <c r="E7" s="12" t="s">
        <v>24</v>
      </c>
      <c r="G7" s="20">
        <f>78.25</f>
        <v>78.25</v>
      </c>
      <c r="J7" s="14" t="s">
        <v>25</v>
      </c>
      <c r="K7" s="15"/>
      <c r="L7" s="16"/>
      <c r="M7" s="16"/>
      <c r="N7" s="17">
        <v>45564</v>
      </c>
    </row>
    <row r="8" spans="2:24" x14ac:dyDescent="0.4">
      <c r="C8" s="19" t="s">
        <v>26</v>
      </c>
      <c r="E8" s="12" t="s">
        <v>27</v>
      </c>
      <c r="G8" s="26">
        <f>PubCompsData!H57</f>
        <v>1295.23</v>
      </c>
      <c r="J8" s="14" t="s">
        <v>28</v>
      </c>
      <c r="K8" s="15"/>
      <c r="L8" s="16"/>
      <c r="M8" s="16"/>
      <c r="N8" s="17">
        <v>45626</v>
      </c>
    </row>
    <row r="9" spans="2:24" x14ac:dyDescent="0.4">
      <c r="C9" s="19"/>
      <c r="E9" s="19"/>
      <c r="G9" s="19"/>
    </row>
    <row r="10" spans="2:24" x14ac:dyDescent="0.4">
      <c r="C10" s="19" t="s">
        <v>29</v>
      </c>
      <c r="E10" s="12" t="s">
        <v>30</v>
      </c>
      <c r="G10" s="21">
        <f>-M99/M97</f>
        <v>0.12211534183351214</v>
      </c>
    </row>
    <row r="11" spans="2:24" x14ac:dyDescent="0.4">
      <c r="C11" s="19" t="s">
        <v>31</v>
      </c>
      <c r="E11" s="12" t="s">
        <v>30</v>
      </c>
      <c r="G11" s="22"/>
      <c r="J11" s="14" t="s">
        <v>32</v>
      </c>
      <c r="K11" s="15"/>
      <c r="L11" s="16"/>
      <c r="M11" s="16"/>
      <c r="N11" s="17">
        <f>N7</f>
        <v>45564</v>
      </c>
    </row>
    <row r="12" spans="2:24" x14ac:dyDescent="0.4">
      <c r="C12" s="19"/>
      <c r="E12" s="19"/>
      <c r="G12" s="19"/>
      <c r="J12" s="14" t="s">
        <v>33</v>
      </c>
      <c r="K12" s="15"/>
      <c r="L12" s="16"/>
      <c r="M12" s="16"/>
      <c r="N12" s="17">
        <f>EOMONTH(N5,12)</f>
        <v>45838</v>
      </c>
    </row>
    <row r="13" spans="2:24" x14ac:dyDescent="0.4">
      <c r="C13" s="19" t="s">
        <v>34</v>
      </c>
      <c r="E13" s="12" t="s">
        <v>35</v>
      </c>
      <c r="G13" s="23">
        <v>1000000</v>
      </c>
      <c r="J13" s="14" t="s">
        <v>36</v>
      </c>
      <c r="K13" s="15"/>
      <c r="L13" s="16"/>
      <c r="M13" s="16"/>
      <c r="N13" s="17">
        <f t="shared" ref="N13:N14" si="12">EOMONTH(N12,12)</f>
        <v>46203</v>
      </c>
    </row>
    <row r="14" spans="2:24" x14ac:dyDescent="0.4">
      <c r="G14" s="27"/>
      <c r="J14" s="14" t="s">
        <v>37</v>
      </c>
      <c r="K14" s="15"/>
      <c r="L14" s="15"/>
      <c r="M14" s="15"/>
      <c r="N14" s="17">
        <f t="shared" si="12"/>
        <v>46568</v>
      </c>
    </row>
    <row r="15" spans="2:24" x14ac:dyDescent="0.4">
      <c r="G15" s="27"/>
      <c r="J15" s="14"/>
      <c r="K15" s="15"/>
      <c r="L15" s="15"/>
      <c r="M15" s="15"/>
      <c r="N15" s="28"/>
    </row>
    <row r="16" spans="2:24" x14ac:dyDescent="0.4">
      <c r="G16" s="27"/>
      <c r="J16" s="14"/>
      <c r="K16" s="15"/>
      <c r="L16" s="15"/>
      <c r="M16" s="15"/>
      <c r="N16" s="28"/>
    </row>
    <row r="17" spans="2:24" x14ac:dyDescent="0.4">
      <c r="B17" s="152"/>
      <c r="C17" s="152"/>
      <c r="D17" s="152"/>
      <c r="E17" s="152"/>
      <c r="F17" s="152"/>
      <c r="G17" s="152"/>
      <c r="H17" s="154"/>
      <c r="I17" s="154"/>
      <c r="J17" s="155" t="s">
        <v>11</v>
      </c>
      <c r="K17" s="154"/>
      <c r="L17" s="154"/>
      <c r="M17" s="154"/>
      <c r="N17" s="156"/>
      <c r="O17" s="154"/>
      <c r="P17" s="154"/>
      <c r="Q17" s="154"/>
      <c r="R17" s="155" t="s">
        <v>122</v>
      </c>
      <c r="S17" s="154"/>
      <c r="T17" s="154"/>
      <c r="U17" s="154"/>
      <c r="V17" s="154"/>
      <c r="W17" s="154"/>
    </row>
    <row r="18" spans="2:24" x14ac:dyDescent="0.4">
      <c r="B18" s="151" t="s">
        <v>41</v>
      </c>
      <c r="C18" s="152"/>
      <c r="D18" s="152"/>
      <c r="E18" s="153" t="s">
        <v>9</v>
      </c>
      <c r="F18" s="157"/>
      <c r="G18" s="157"/>
      <c r="H18" s="2">
        <v>43646</v>
      </c>
      <c r="I18" s="2">
        <f>EOMONTH(H18,12)</f>
        <v>44012</v>
      </c>
      <c r="J18" s="2">
        <f t="shared" ref="J18:M18" si="13">EOMONTH(I18,12)</f>
        <v>44377</v>
      </c>
      <c r="K18" s="2">
        <f t="shared" si="13"/>
        <v>44742</v>
      </c>
      <c r="L18" s="2">
        <f t="shared" si="13"/>
        <v>45107</v>
      </c>
      <c r="M18" s="2">
        <f t="shared" si="13"/>
        <v>45473</v>
      </c>
      <c r="N18" s="81">
        <v>45838</v>
      </c>
      <c r="O18" s="2">
        <v>46203</v>
      </c>
      <c r="P18" s="2">
        <v>46568</v>
      </c>
      <c r="Q18" s="2">
        <v>46934</v>
      </c>
      <c r="R18" s="2">
        <v>47299</v>
      </c>
      <c r="S18" s="2">
        <v>47664</v>
      </c>
      <c r="T18" s="2">
        <v>48029</v>
      </c>
      <c r="U18" s="2">
        <v>48395</v>
      </c>
      <c r="V18" s="2">
        <v>48760</v>
      </c>
      <c r="W18" s="2">
        <v>49125</v>
      </c>
      <c r="X18" s="82"/>
    </row>
    <row r="19" spans="2:24" x14ac:dyDescent="0.4">
      <c r="G19" s="27"/>
      <c r="J19" s="14"/>
      <c r="K19" s="15"/>
      <c r="L19" s="15"/>
      <c r="M19" s="15"/>
      <c r="N19" s="28"/>
    </row>
    <row r="20" spans="2:24" x14ac:dyDescent="0.4">
      <c r="C20" s="35" t="s">
        <v>42</v>
      </c>
      <c r="E20" s="158" t="s">
        <v>12</v>
      </c>
      <c r="H20" s="36">
        <f>SUM(H22,H28,H34)</f>
        <v>6451.1039999999994</v>
      </c>
      <c r="I20" s="36">
        <f t="shared" ref="I20:W20" si="14">SUM(I22,I28,I34)</f>
        <v>6625.13</v>
      </c>
      <c r="J20" s="36">
        <f t="shared" si="14"/>
        <v>9764.8450000000012</v>
      </c>
      <c r="K20" s="36">
        <f t="shared" si="14"/>
        <v>11322.271000000001</v>
      </c>
      <c r="L20" s="36">
        <f t="shared" si="14"/>
        <v>10695.897000000001</v>
      </c>
      <c r="M20" s="36">
        <f t="shared" si="14"/>
        <v>8921.643</v>
      </c>
      <c r="N20" s="36">
        <f t="shared" si="14"/>
        <v>10821.952959000002</v>
      </c>
      <c r="O20" s="36">
        <f t="shared" si="14"/>
        <v>12727.169821650001</v>
      </c>
      <c r="P20" s="36">
        <f t="shared" si="14"/>
        <v>14608.788938565001</v>
      </c>
      <c r="Q20" s="36">
        <f t="shared" si="14"/>
        <v>16581.291494474553</v>
      </c>
      <c r="R20" s="36">
        <f t="shared" si="14"/>
        <v>18443.437158319772</v>
      </c>
      <c r="S20" s="36">
        <f t="shared" si="14"/>
        <v>19869.779983808759</v>
      </c>
      <c r="T20" s="36">
        <f t="shared" si="14"/>
        <v>21085.104208731322</v>
      </c>
      <c r="U20" s="36">
        <f t="shared" si="14"/>
        <v>22376.723110701256</v>
      </c>
      <c r="V20" s="36">
        <f t="shared" si="14"/>
        <v>23749.538416177023</v>
      </c>
      <c r="W20" s="36">
        <f t="shared" si="14"/>
        <v>25208.773027422427</v>
      </c>
    </row>
    <row r="21" spans="2:24" x14ac:dyDescent="0.4">
      <c r="C21" s="33"/>
      <c r="H21" s="25"/>
      <c r="I21" s="25"/>
      <c r="J21" s="25"/>
      <c r="K21" s="25"/>
      <c r="L21" s="25"/>
      <c r="M21" s="25"/>
      <c r="N21" s="37"/>
      <c r="O21" s="37"/>
      <c r="P21" s="37"/>
      <c r="Q21" s="37"/>
      <c r="R21" s="37"/>
      <c r="S21" s="37"/>
    </row>
    <row r="22" spans="2:24" x14ac:dyDescent="0.4">
      <c r="C22" s="9" t="s">
        <v>45</v>
      </c>
      <c r="E22" s="47" t="s">
        <v>12</v>
      </c>
      <c r="H22" s="37">
        <v>4515.7727999999997</v>
      </c>
      <c r="I22" s="37">
        <v>3842.5753999999997</v>
      </c>
      <c r="J22" s="37">
        <v>5956.5554499999998</v>
      </c>
      <c r="K22" s="37">
        <v>6793.3625999999995</v>
      </c>
      <c r="L22" s="37">
        <v>4492.2767400000002</v>
      </c>
      <c r="M22" s="37">
        <v>3747.09006</v>
      </c>
      <c r="N22" s="37">
        <f>M22*(1+N23)</f>
        <v>4871.2170780000006</v>
      </c>
      <c r="O22" s="37">
        <f t="shared" ref="O22:W22" si="15">N22*(1+O23)</f>
        <v>6089.021347500001</v>
      </c>
      <c r="P22" s="37">
        <f t="shared" si="15"/>
        <v>7306.8256170000013</v>
      </c>
      <c r="Q22" s="37">
        <f t="shared" si="15"/>
        <v>8768.1907404000012</v>
      </c>
      <c r="R22" s="37">
        <f t="shared" si="15"/>
        <v>10083.419351460001</v>
      </c>
      <c r="S22" s="37">
        <f t="shared" si="15"/>
        <v>11091.761286606003</v>
      </c>
      <c r="T22" s="37">
        <f t="shared" si="15"/>
        <v>11868.184576668424</v>
      </c>
      <c r="U22" s="37">
        <f t="shared" si="15"/>
        <v>12698.957497035213</v>
      </c>
      <c r="V22" s="37">
        <f t="shared" si="15"/>
        <v>13587.884521827678</v>
      </c>
      <c r="W22" s="37">
        <f t="shared" si="15"/>
        <v>14539.036438355617</v>
      </c>
    </row>
    <row r="23" spans="2:24" x14ac:dyDescent="0.4">
      <c r="C23" s="38" t="s">
        <v>161</v>
      </c>
      <c r="E23" s="160" t="s">
        <v>30</v>
      </c>
      <c r="H23" s="34"/>
      <c r="I23" s="34"/>
      <c r="J23" s="34"/>
      <c r="K23" s="34"/>
      <c r="L23" s="34"/>
      <c r="M23" s="34"/>
      <c r="N23" s="136">
        <f>INDEX($N$24:$W$26,MATCH(Scenario,$C$24:$C$26,0),1)</f>
        <v>0.3</v>
      </c>
      <c r="O23" s="136">
        <f>INDEX($N$24:$W$26,MATCH(Scenario,$C$24:$C$26,0),2)</f>
        <v>0.25</v>
      </c>
      <c r="P23" s="136">
        <f>INDEX($N$24:$W$26,MATCH(Scenario,$C$24:$C$26,0),3)</f>
        <v>0.2</v>
      </c>
      <c r="Q23" s="136">
        <f>INDEX($N$24:$W$26,MATCH(Scenario,$C$24:$C$26,0),4)</f>
        <v>0.2</v>
      </c>
      <c r="R23" s="136">
        <f>INDEX($N$24:$W$26,MATCH(Scenario,$C$24:$C$26,0),5)</f>
        <v>0.15000000000000002</v>
      </c>
      <c r="S23" s="136">
        <f>INDEX($N$24:$W$26,MATCH(Scenario,$C$24:$C$26,0),6)</f>
        <v>0.1</v>
      </c>
      <c r="T23" s="136">
        <f>INDEX($N$24:$W$26,MATCH(Scenario,$C$24:$C$26,0),7)</f>
        <v>7.0000000000000007E-2</v>
      </c>
      <c r="U23" s="136">
        <f>INDEX($N$24:$W$26,MATCH(Scenario,$C$24:$C$26,0),8)</f>
        <v>7.0000000000000007E-2</v>
      </c>
      <c r="V23" s="136">
        <f>INDEX($N$24:$W$26,MATCH(Scenario,$C$24:$C$26,0),9)</f>
        <v>7.0000000000000007E-2</v>
      </c>
      <c r="W23" s="136">
        <f>INDEX($N$24:$W$26,MATCH(Scenario,$C$24:$C$26,0),10)</f>
        <v>7.0000000000000007E-2</v>
      </c>
    </row>
    <row r="24" spans="2:24" x14ac:dyDescent="0.4">
      <c r="C24" s="135" t="s">
        <v>132</v>
      </c>
      <c r="E24" s="160" t="s">
        <v>30</v>
      </c>
      <c r="H24" s="34"/>
      <c r="N24" s="138">
        <v>0.3</v>
      </c>
      <c r="O24" s="138">
        <f>O25+5%</f>
        <v>0.25</v>
      </c>
      <c r="P24" s="138">
        <f t="shared" ref="P24:R24" si="16">P25+5%</f>
        <v>0.2</v>
      </c>
      <c r="Q24" s="138">
        <f t="shared" si="16"/>
        <v>0.2</v>
      </c>
      <c r="R24" s="138">
        <f t="shared" si="16"/>
        <v>0.15000000000000002</v>
      </c>
      <c r="S24" s="138">
        <v>0.1</v>
      </c>
      <c r="T24" s="138">
        <v>7.0000000000000007E-2</v>
      </c>
      <c r="U24" s="138">
        <v>7.0000000000000007E-2</v>
      </c>
      <c r="V24" s="138">
        <v>7.0000000000000007E-2</v>
      </c>
      <c r="W24" s="138">
        <v>7.0000000000000007E-2</v>
      </c>
    </row>
    <row r="25" spans="2:24" x14ac:dyDescent="0.4">
      <c r="C25" s="135" t="s">
        <v>133</v>
      </c>
      <c r="E25" s="160" t="s">
        <v>30</v>
      </c>
      <c r="H25" s="34"/>
      <c r="I25" s="34">
        <f>I22/H22-1</f>
        <v>-0.14907689775712363</v>
      </c>
      <c r="J25" s="34">
        <f>J22/I22-1</f>
        <v>0.55014666725863082</v>
      </c>
      <c r="K25" s="34">
        <f>K22/J22-1</f>
        <v>0.14048507682405598</v>
      </c>
      <c r="L25" s="34">
        <f>L22/K22-1</f>
        <v>-0.33872560549027653</v>
      </c>
      <c r="M25" s="34">
        <f>M22/L22-1</f>
        <v>-0.16588173951188956</v>
      </c>
      <c r="N25" s="138">
        <v>0.25</v>
      </c>
      <c r="O25" s="138">
        <v>0.2</v>
      </c>
      <c r="P25" s="138">
        <v>0.15</v>
      </c>
      <c r="Q25" s="138">
        <v>0.15</v>
      </c>
      <c r="R25" s="138">
        <v>0.1</v>
      </c>
      <c r="S25" s="138">
        <v>0.1</v>
      </c>
      <c r="T25" s="138">
        <v>7.0000000000000007E-2</v>
      </c>
      <c r="U25" s="138">
        <v>7.0000000000000007E-2</v>
      </c>
      <c r="V25" s="138">
        <v>7.0000000000000007E-2</v>
      </c>
      <c r="W25" s="138">
        <v>7.0000000000000007E-2</v>
      </c>
    </row>
    <row r="26" spans="2:24" x14ac:dyDescent="0.4">
      <c r="C26" s="135" t="s">
        <v>124</v>
      </c>
      <c r="E26" s="160" t="s">
        <v>30</v>
      </c>
      <c r="H26" s="34"/>
      <c r="I26" s="34"/>
      <c r="J26" s="34"/>
      <c r="K26" s="34"/>
      <c r="L26" s="34"/>
      <c r="M26" s="34"/>
      <c r="N26" s="138">
        <v>0.1</v>
      </c>
      <c r="O26" s="138">
        <v>0.1</v>
      </c>
      <c r="P26" s="138">
        <v>0.1</v>
      </c>
      <c r="Q26" s="138">
        <v>7.0000000000000007E-2</v>
      </c>
      <c r="R26" s="138">
        <v>7.0000000000000007E-2</v>
      </c>
      <c r="S26" s="138">
        <v>0.05</v>
      </c>
      <c r="T26" s="138">
        <v>0.05</v>
      </c>
      <c r="U26" s="138">
        <v>0.05</v>
      </c>
      <c r="V26" s="138">
        <v>0.05</v>
      </c>
      <c r="W26" s="138">
        <v>0.05</v>
      </c>
    </row>
    <row r="27" spans="2:24" x14ac:dyDescent="0.4">
      <c r="C27" s="9"/>
      <c r="H27" s="34"/>
      <c r="I27" s="34"/>
      <c r="J27" s="34"/>
      <c r="K27" s="34"/>
      <c r="L27" s="34"/>
      <c r="M27" s="34"/>
      <c r="N27" s="37"/>
      <c r="O27" s="37"/>
      <c r="P27" s="37"/>
      <c r="Q27" s="37"/>
      <c r="R27" s="37"/>
      <c r="S27" s="37"/>
    </row>
    <row r="28" spans="2:24" x14ac:dyDescent="0.4">
      <c r="C28" s="9" t="s">
        <v>46</v>
      </c>
      <c r="E28" s="47" t="s">
        <v>12</v>
      </c>
      <c r="H28" s="37">
        <v>1290.2208000000001</v>
      </c>
      <c r="I28" s="37">
        <v>2053.7903000000001</v>
      </c>
      <c r="J28" s="37">
        <v>3124.7503999999999</v>
      </c>
      <c r="K28" s="37">
        <v>2943.7904600000002</v>
      </c>
      <c r="L28" s="37">
        <v>4064.4408599999997</v>
      </c>
      <c r="M28" s="37">
        <v>3568.6572000000001</v>
      </c>
      <c r="N28" s="37">
        <f>M28*(1+N29)</f>
        <v>4103.9557800000002</v>
      </c>
      <c r="O28" s="37">
        <f t="shared" ref="O28:W28" si="17">N28*(1+O29)</f>
        <v>4514.3513580000008</v>
      </c>
      <c r="P28" s="37">
        <f t="shared" si="17"/>
        <v>4965.7864938000012</v>
      </c>
      <c r="Q28" s="37">
        <f t="shared" si="17"/>
        <v>5313.3915483660012</v>
      </c>
      <c r="R28" s="37">
        <f t="shared" si="17"/>
        <v>5685.3289567516213</v>
      </c>
      <c r="S28" s="37">
        <f t="shared" si="17"/>
        <v>5969.5954045892022</v>
      </c>
      <c r="T28" s="37">
        <f t="shared" si="17"/>
        <v>6268.0751748186622</v>
      </c>
      <c r="U28" s="37">
        <f t="shared" si="17"/>
        <v>6581.4789335595951</v>
      </c>
      <c r="V28" s="37">
        <f t="shared" si="17"/>
        <v>6910.5528802375748</v>
      </c>
      <c r="W28" s="37">
        <f t="shared" si="17"/>
        <v>7256.0805242494534</v>
      </c>
    </row>
    <row r="29" spans="2:24" x14ac:dyDescent="0.4">
      <c r="C29" s="38" t="s">
        <v>161</v>
      </c>
      <c r="E29" s="160" t="s">
        <v>30</v>
      </c>
      <c r="H29" s="34"/>
      <c r="I29" s="34"/>
      <c r="J29" s="34"/>
      <c r="K29" s="34"/>
      <c r="L29" s="34"/>
      <c r="M29" s="34"/>
      <c r="N29" s="136">
        <f>INDEX($N$30:$W$32,MATCH(Scenario,Model!$C$30:$C$32,0),1)</f>
        <v>0.15</v>
      </c>
      <c r="O29" s="136">
        <f>INDEX($N$30:$W$32,MATCH(Scenario,Model!$C$30:$C$32,0),2)</f>
        <v>0.1</v>
      </c>
      <c r="P29" s="136">
        <f>INDEX($N$30:$W$32,MATCH(Scenario,Model!$C$30:$C$32,0),3)</f>
        <v>0.1</v>
      </c>
      <c r="Q29" s="136">
        <f>INDEX($N$30:$W$32,MATCH(Scenario,Model!$C$30:$C$32,0),4)</f>
        <v>7.0000000000000007E-2</v>
      </c>
      <c r="R29" s="136">
        <f>INDEX($N$30:$W$32,MATCH(Scenario,Model!$C$30:$C$32,0),5)</f>
        <v>7.0000000000000007E-2</v>
      </c>
      <c r="S29" s="136">
        <f>INDEX($N$30:$W$32,MATCH(Scenario,Model!$C$30:$C$32,0),6)</f>
        <v>0.05</v>
      </c>
      <c r="T29" s="136">
        <f>INDEX($N$30:$W$32,MATCH(Scenario,Model!$C$30:$C$32,0),7)</f>
        <v>0.05</v>
      </c>
      <c r="U29" s="136">
        <f>INDEX($N$30:$W$32,MATCH(Scenario,Model!$C$30:$C$32,0),8)</f>
        <v>0.05</v>
      </c>
      <c r="V29" s="136">
        <f>INDEX($N$30:$W$32,MATCH(Scenario,Model!$C$30:$C$32,0),9)</f>
        <v>0.05</v>
      </c>
      <c r="W29" s="136">
        <f>INDEX($N$30:$W$32,MATCH(Scenario,Model!$C$30:$C$32,0),10)</f>
        <v>0.05</v>
      </c>
    </row>
    <row r="30" spans="2:24" x14ac:dyDescent="0.4">
      <c r="C30" s="135" t="s">
        <v>132</v>
      </c>
      <c r="E30" s="160" t="s">
        <v>30</v>
      </c>
      <c r="H30" s="34"/>
      <c r="I30" s="34"/>
      <c r="J30" s="34"/>
      <c r="K30" s="34"/>
      <c r="L30" s="34"/>
      <c r="M30" s="34"/>
      <c r="N30" s="138">
        <v>0.15</v>
      </c>
      <c r="O30" s="138">
        <v>0.1</v>
      </c>
      <c r="P30" s="138">
        <v>0.1</v>
      </c>
      <c r="Q30" s="138">
        <v>7.0000000000000007E-2</v>
      </c>
      <c r="R30" s="138">
        <v>7.0000000000000007E-2</v>
      </c>
      <c r="S30" s="138">
        <v>0.05</v>
      </c>
      <c r="T30" s="138">
        <v>0.05</v>
      </c>
      <c r="U30" s="138">
        <v>0.05</v>
      </c>
      <c r="V30" s="138">
        <v>0.05</v>
      </c>
      <c r="W30" s="138">
        <v>0.05</v>
      </c>
    </row>
    <row r="31" spans="2:24" x14ac:dyDescent="0.4">
      <c r="C31" s="135" t="s">
        <v>133</v>
      </c>
      <c r="E31" s="160" t="s">
        <v>30</v>
      </c>
      <c r="H31" s="34"/>
      <c r="I31" s="34">
        <f>I28/H28-1</f>
        <v>0.59181304471296703</v>
      </c>
      <c r="J31" s="34">
        <f t="shared" ref="J31:M31" si="18">J28/I28-1</f>
        <v>0.52145542804443079</v>
      </c>
      <c r="K31" s="34">
        <f t="shared" si="18"/>
        <v>-5.7911806331795268E-2</v>
      </c>
      <c r="L31" s="34">
        <f t="shared" si="18"/>
        <v>0.38068280172359814</v>
      </c>
      <c r="M31" s="34">
        <f t="shared" si="18"/>
        <v>-0.1219807784335678</v>
      </c>
      <c r="N31" s="138">
        <v>0.1</v>
      </c>
      <c r="O31" s="138">
        <v>7.0000000000000007E-2</v>
      </c>
      <c r="P31" s="138">
        <v>0.05</v>
      </c>
      <c r="Q31" s="138">
        <v>0.05</v>
      </c>
      <c r="R31" s="138">
        <v>0.05</v>
      </c>
      <c r="S31" s="138">
        <v>0.05</v>
      </c>
      <c r="T31" s="138">
        <v>0.05</v>
      </c>
      <c r="U31" s="138">
        <v>0.05</v>
      </c>
      <c r="V31" s="138">
        <v>0.05</v>
      </c>
      <c r="W31" s="138">
        <v>0.05</v>
      </c>
    </row>
    <row r="32" spans="2:24" x14ac:dyDescent="0.4">
      <c r="C32" s="135" t="s">
        <v>124</v>
      </c>
      <c r="E32" s="160" t="s">
        <v>30</v>
      </c>
      <c r="H32" s="34"/>
      <c r="I32" s="34"/>
      <c r="J32" s="34"/>
      <c r="K32" s="34"/>
      <c r="L32" s="34"/>
      <c r="M32" s="34"/>
      <c r="N32" s="138">
        <v>0.05</v>
      </c>
      <c r="O32" s="138">
        <v>0.05</v>
      </c>
      <c r="P32" s="138">
        <v>0.05</v>
      </c>
      <c r="Q32" s="138">
        <v>0.05</v>
      </c>
      <c r="R32" s="138">
        <v>0.03</v>
      </c>
      <c r="S32" s="138">
        <v>0.03</v>
      </c>
      <c r="T32" s="138">
        <v>0.03</v>
      </c>
      <c r="U32" s="138">
        <v>0.03</v>
      </c>
      <c r="V32" s="138">
        <v>0.03</v>
      </c>
      <c r="W32" s="138">
        <v>0.03</v>
      </c>
    </row>
    <row r="33" spans="3:23" x14ac:dyDescent="0.4">
      <c r="C33" s="9"/>
      <c r="H33" s="34"/>
      <c r="I33" s="34"/>
      <c r="J33" s="34"/>
      <c r="K33" s="34"/>
      <c r="L33" s="34"/>
      <c r="M33" s="34"/>
      <c r="N33" s="37"/>
      <c r="O33" s="37"/>
      <c r="P33" s="37"/>
      <c r="Q33" s="37"/>
      <c r="R33" s="37"/>
      <c r="S33" s="37"/>
    </row>
    <row r="34" spans="3:23" x14ac:dyDescent="0.4">
      <c r="C34" s="9" t="s">
        <v>47</v>
      </c>
      <c r="E34" s="47" t="s">
        <v>12</v>
      </c>
      <c r="H34" s="37">
        <v>645.11040000000003</v>
      </c>
      <c r="I34" s="37">
        <v>728.76430000000005</v>
      </c>
      <c r="J34" s="37">
        <v>683.53915000000006</v>
      </c>
      <c r="K34" s="37">
        <v>1585.1179400000001</v>
      </c>
      <c r="L34" s="37">
        <v>2139.1794</v>
      </c>
      <c r="M34" s="37">
        <v>1605.8957399999999</v>
      </c>
      <c r="N34" s="37">
        <f>M34*(1+N35)</f>
        <v>1846.7801009999998</v>
      </c>
      <c r="O34" s="37">
        <f t="shared" ref="O34:W34" si="19">N34*(1+O35)</f>
        <v>2123.7971161499995</v>
      </c>
      <c r="P34" s="37">
        <f t="shared" si="19"/>
        <v>2336.1768277649999</v>
      </c>
      <c r="Q34" s="37">
        <f t="shared" si="19"/>
        <v>2499.7092057085501</v>
      </c>
      <c r="R34" s="37">
        <f t="shared" si="19"/>
        <v>2674.6888501081489</v>
      </c>
      <c r="S34" s="37">
        <f t="shared" si="19"/>
        <v>2808.4232926135564</v>
      </c>
      <c r="T34" s="37">
        <f t="shared" si="19"/>
        <v>2948.8444572442345</v>
      </c>
      <c r="U34" s="37">
        <f t="shared" si="19"/>
        <v>3096.2866801064465</v>
      </c>
      <c r="V34" s="37">
        <f t="shared" si="19"/>
        <v>3251.101014111769</v>
      </c>
      <c r="W34" s="37">
        <f t="shared" si="19"/>
        <v>3413.6560648173577</v>
      </c>
    </row>
    <row r="35" spans="3:23" x14ac:dyDescent="0.4">
      <c r="C35" s="38" t="s">
        <v>161</v>
      </c>
      <c r="E35" s="160" t="s">
        <v>30</v>
      </c>
      <c r="H35" s="34"/>
      <c r="I35" s="34"/>
      <c r="J35" s="34"/>
      <c r="K35" s="34"/>
      <c r="L35" s="34"/>
      <c r="M35" s="34"/>
      <c r="N35" s="136">
        <f>INDEX($N$36:$W$38,MATCH(Scenario,Model!$C$36:$C$38,0),1)</f>
        <v>0.15</v>
      </c>
      <c r="O35" s="136">
        <f>INDEX($N$36:$W$38,MATCH(Scenario,Model!$C$36:$C$38,0),2)</f>
        <v>0.15</v>
      </c>
      <c r="P35" s="136">
        <f>INDEX($N$36:$W$38,MATCH(Scenario,Model!$C$36:$C$38,0),3)</f>
        <v>0.1</v>
      </c>
      <c r="Q35" s="136">
        <f>INDEX($N$36:$W$38,MATCH(Scenario,Model!$C$36:$C$38,0),4)</f>
        <v>7.0000000000000007E-2</v>
      </c>
      <c r="R35" s="136">
        <f>INDEX($N$36:$W$38,MATCH(Scenario,Model!$C$36:$C$38,0),5)</f>
        <v>7.0000000000000007E-2</v>
      </c>
      <c r="S35" s="136">
        <f>INDEX($N$36:$W$38,MATCH(Scenario,Model!$C$36:$C$38,0),6)</f>
        <v>0.05</v>
      </c>
      <c r="T35" s="136">
        <f>INDEX($N$36:$W$38,MATCH(Scenario,Model!$C$36:$C$38,0),7)</f>
        <v>0.05</v>
      </c>
      <c r="U35" s="136">
        <f>INDEX($N$36:$W$38,MATCH(Scenario,Model!$C$36:$C$38,0),8)</f>
        <v>0.05</v>
      </c>
      <c r="V35" s="136">
        <f>INDEX($N$36:$W$38,MATCH(Scenario,Model!$C$36:$C$38,0),9)</f>
        <v>0.05</v>
      </c>
      <c r="W35" s="136">
        <f>INDEX($N$36:$W$38,MATCH(Scenario,Model!$C$36:$C$38,0),10)</f>
        <v>0.05</v>
      </c>
    </row>
    <row r="36" spans="3:23" x14ac:dyDescent="0.4">
      <c r="C36" s="135" t="s">
        <v>132</v>
      </c>
      <c r="E36" s="160" t="s">
        <v>30</v>
      </c>
      <c r="H36" s="25"/>
      <c r="I36" s="25"/>
      <c r="J36" s="25"/>
      <c r="K36" s="25"/>
      <c r="L36" s="25"/>
      <c r="M36" s="25"/>
      <c r="N36" s="138">
        <v>0.15</v>
      </c>
      <c r="O36" s="138">
        <v>0.15</v>
      </c>
      <c r="P36" s="138">
        <v>0.1</v>
      </c>
      <c r="Q36" s="138">
        <v>7.0000000000000007E-2</v>
      </c>
      <c r="R36" s="138">
        <v>7.0000000000000007E-2</v>
      </c>
      <c r="S36" s="138">
        <v>0.05</v>
      </c>
      <c r="T36" s="138">
        <v>0.05</v>
      </c>
      <c r="U36" s="138">
        <v>0.05</v>
      </c>
      <c r="V36" s="138">
        <v>0.05</v>
      </c>
      <c r="W36" s="138">
        <v>0.05</v>
      </c>
    </row>
    <row r="37" spans="3:23" x14ac:dyDescent="0.4">
      <c r="C37" s="135" t="s">
        <v>133</v>
      </c>
      <c r="E37" s="160" t="s">
        <v>30</v>
      </c>
      <c r="H37" s="25"/>
      <c r="I37" s="137">
        <f>I34/H34-1</f>
        <v>0.12967377366726685</v>
      </c>
      <c r="J37" s="137">
        <f t="shared" ref="J37:M37" si="20">J34/I34-1</f>
        <v>-6.20573071430639E-2</v>
      </c>
      <c r="K37" s="137">
        <f t="shared" si="20"/>
        <v>1.3189863228755807</v>
      </c>
      <c r="L37" s="137">
        <f t="shared" si="20"/>
        <v>0.34953958063208845</v>
      </c>
      <c r="M37" s="137">
        <f t="shared" si="20"/>
        <v>-0.24929356556070059</v>
      </c>
      <c r="N37" s="138">
        <v>0.1</v>
      </c>
      <c r="O37" s="138">
        <v>0.1</v>
      </c>
      <c r="P37" s="138">
        <v>7.0000000000000007E-2</v>
      </c>
      <c r="Q37" s="138">
        <v>7.0000000000000007E-2</v>
      </c>
      <c r="R37" s="138">
        <v>0.05</v>
      </c>
      <c r="S37" s="138">
        <v>0.05</v>
      </c>
      <c r="T37" s="138">
        <v>0.05</v>
      </c>
      <c r="U37" s="138">
        <v>0.05</v>
      </c>
      <c r="V37" s="138">
        <v>0.05</v>
      </c>
      <c r="W37" s="138">
        <v>0.05</v>
      </c>
    </row>
    <row r="38" spans="3:23" x14ac:dyDescent="0.4">
      <c r="C38" s="135" t="s">
        <v>124</v>
      </c>
      <c r="E38" s="160" t="s">
        <v>30</v>
      </c>
      <c r="H38" s="25"/>
      <c r="I38" s="25"/>
      <c r="J38" s="25"/>
      <c r="K38" s="25"/>
      <c r="L38" s="25"/>
      <c r="M38" s="25"/>
      <c r="N38" s="138">
        <v>0.05</v>
      </c>
      <c r="O38" s="138">
        <v>0.05</v>
      </c>
      <c r="P38" s="138">
        <v>0.05</v>
      </c>
      <c r="Q38" s="138">
        <v>0.05</v>
      </c>
      <c r="R38" s="138">
        <v>0.03</v>
      </c>
      <c r="S38" s="138">
        <v>0.03</v>
      </c>
      <c r="T38" s="138">
        <v>0.03</v>
      </c>
      <c r="U38" s="138">
        <v>0.03</v>
      </c>
      <c r="V38" s="138">
        <v>0.03</v>
      </c>
      <c r="W38" s="138">
        <v>0.03</v>
      </c>
    </row>
    <row r="39" spans="3:23" x14ac:dyDescent="0.4">
      <c r="C39" s="33"/>
      <c r="H39" s="137"/>
      <c r="I39" s="137"/>
      <c r="J39" s="137"/>
      <c r="K39" s="137"/>
      <c r="L39" s="137"/>
      <c r="M39" s="137"/>
      <c r="N39" s="136"/>
    </row>
    <row r="40" spans="3:23" x14ac:dyDescent="0.4">
      <c r="C40" s="33" t="s">
        <v>43</v>
      </c>
      <c r="E40" s="47" t="s">
        <v>12</v>
      </c>
      <c r="H40" s="37">
        <v>3202.4549999999999</v>
      </c>
      <c r="I40" s="37">
        <v>3419.6060000000002</v>
      </c>
      <c r="J40" s="37">
        <v>4861.3050000000003</v>
      </c>
      <c r="K40" s="37">
        <v>5904.768</v>
      </c>
      <c r="L40" s="37">
        <v>6732.6189999999997</v>
      </c>
      <c r="M40" s="37">
        <v>5983.7430000000004</v>
      </c>
      <c r="N40" s="37">
        <f>M40*(1+N41)</f>
        <v>7180.4916000000003</v>
      </c>
      <c r="O40" s="37">
        <f t="shared" ref="O40:W40" si="21">N40*(1+O41)</f>
        <v>8257.5653399999992</v>
      </c>
      <c r="P40" s="37">
        <f t="shared" si="21"/>
        <v>9083.3218739999993</v>
      </c>
      <c r="Q40" s="37">
        <f t="shared" si="21"/>
        <v>9719.1544051799992</v>
      </c>
      <c r="R40" s="37">
        <f t="shared" si="21"/>
        <v>10205.112125439</v>
      </c>
      <c r="S40" s="37">
        <f t="shared" si="21"/>
        <v>10715.36773171095</v>
      </c>
      <c r="T40" s="37">
        <f t="shared" si="21"/>
        <v>11251.136118296499</v>
      </c>
      <c r="U40" s="37">
        <f t="shared" si="21"/>
        <v>11813.692924211326</v>
      </c>
      <c r="V40" s="37">
        <f t="shared" si="21"/>
        <v>12404.377570421892</v>
      </c>
      <c r="W40" s="37">
        <f t="shared" si="21"/>
        <v>13024.596448942986</v>
      </c>
    </row>
    <row r="41" spans="3:23" x14ac:dyDescent="0.4">
      <c r="C41" s="38" t="s">
        <v>161</v>
      </c>
      <c r="E41" s="160" t="s">
        <v>30</v>
      </c>
      <c r="H41" s="25"/>
      <c r="I41" s="25"/>
      <c r="J41" s="25"/>
      <c r="K41" s="25"/>
      <c r="L41" s="25"/>
      <c r="M41" s="25"/>
      <c r="N41" s="139">
        <f>INDEX($N$42:$W$44,MATCH(Scenario,Model!$C$42:$C$44,0),1)</f>
        <v>0.2</v>
      </c>
      <c r="O41" s="139">
        <f>INDEX($N$42:$W$44,MATCH(Scenario,Model!$C$42:$C$44,0),2)</f>
        <v>0.15</v>
      </c>
      <c r="P41" s="139">
        <f>INDEX($N$42:$W$44,MATCH(Scenario,Model!$C$42:$C$44,0),3)</f>
        <v>0.1</v>
      </c>
      <c r="Q41" s="139">
        <f>INDEX($N$42:$W$44,MATCH(Scenario,Model!$C$42:$C$44,0),4)</f>
        <v>7.0000000000000007E-2</v>
      </c>
      <c r="R41" s="139">
        <f>INDEX($N$42:$W$44,MATCH(Scenario,Model!$C$42:$C$44,0),5)</f>
        <v>0.05</v>
      </c>
      <c r="S41" s="139">
        <f>INDEX($N$42:$W$44,MATCH(Scenario,Model!$C$42:$C$44,0),6)</f>
        <v>0.05</v>
      </c>
      <c r="T41" s="139">
        <f>INDEX($N$42:$W$44,MATCH(Scenario,Model!$C$42:$C$44,0),7)</f>
        <v>0.05</v>
      </c>
      <c r="U41" s="139">
        <f>INDEX($N$42:$W$44,MATCH(Scenario,Model!$C$42:$C$44,0),8)</f>
        <v>0.05</v>
      </c>
      <c r="V41" s="139">
        <f>INDEX($N$42:$W$44,MATCH(Scenario,Model!$C$42:$C$44,0),9)</f>
        <v>0.05</v>
      </c>
      <c r="W41" s="139">
        <f>INDEX($N$42:$W$44,MATCH(Scenario,Model!$C$42:$C$44,0),10)</f>
        <v>0.05</v>
      </c>
    </row>
    <row r="42" spans="3:23" x14ac:dyDescent="0.4">
      <c r="C42" s="135" t="s">
        <v>132</v>
      </c>
      <c r="E42" s="160" t="s">
        <v>30</v>
      </c>
      <c r="H42" s="25"/>
      <c r="I42" s="25"/>
      <c r="J42" s="25"/>
      <c r="K42" s="25"/>
      <c r="L42" s="25"/>
      <c r="M42" s="25"/>
      <c r="N42" s="138">
        <v>0.2</v>
      </c>
      <c r="O42" s="138">
        <v>0.15</v>
      </c>
      <c r="P42" s="138">
        <v>0.1</v>
      </c>
      <c r="Q42" s="138">
        <v>7.0000000000000007E-2</v>
      </c>
      <c r="R42" s="138">
        <v>0.05</v>
      </c>
      <c r="S42" s="138">
        <v>0.05</v>
      </c>
      <c r="T42" s="138">
        <v>0.05</v>
      </c>
      <c r="U42" s="138">
        <v>0.05</v>
      </c>
      <c r="V42" s="138">
        <v>0.05</v>
      </c>
      <c r="W42" s="138">
        <v>0.05</v>
      </c>
    </row>
    <row r="43" spans="3:23" x14ac:dyDescent="0.4">
      <c r="C43" s="135" t="s">
        <v>133</v>
      </c>
      <c r="E43" s="160" t="s">
        <v>30</v>
      </c>
      <c r="H43" s="25"/>
      <c r="I43" s="137">
        <f>I40/H40-1</f>
        <v>6.7807666306005876E-2</v>
      </c>
      <c r="J43" s="137">
        <f t="shared" ref="J43:M43" si="22">J40/I40-1</f>
        <v>0.42159798526496917</v>
      </c>
      <c r="K43" s="137">
        <f t="shared" si="22"/>
        <v>0.2146466843779602</v>
      </c>
      <c r="L43" s="137">
        <f t="shared" si="22"/>
        <v>0.14020042785762277</v>
      </c>
      <c r="M43" s="137">
        <f t="shared" si="22"/>
        <v>-0.11123100831934785</v>
      </c>
      <c r="N43" s="138">
        <f>AVERAGE(I43:M43)</f>
        <v>0.14660435109744202</v>
      </c>
      <c r="O43" s="138">
        <v>0.1</v>
      </c>
      <c r="P43" s="138">
        <v>7.0000000000000007E-2</v>
      </c>
      <c r="Q43" s="138">
        <v>0.05</v>
      </c>
      <c r="R43" s="138">
        <v>0.05</v>
      </c>
      <c r="S43" s="138">
        <v>0.05</v>
      </c>
      <c r="T43" s="138">
        <v>0.05</v>
      </c>
      <c r="U43" s="138">
        <v>0.05</v>
      </c>
      <c r="V43" s="138">
        <v>0.05</v>
      </c>
      <c r="W43" s="138">
        <v>0.05</v>
      </c>
    </row>
    <row r="44" spans="3:23" x14ac:dyDescent="0.4">
      <c r="C44" s="135" t="s">
        <v>124</v>
      </c>
      <c r="E44" s="160" t="s">
        <v>30</v>
      </c>
      <c r="H44" s="25"/>
      <c r="I44" s="25"/>
      <c r="J44" s="25"/>
      <c r="K44" s="25"/>
      <c r="L44" s="25"/>
      <c r="M44" s="25"/>
      <c r="N44" s="138">
        <v>0.05</v>
      </c>
      <c r="O44" s="138">
        <v>0.05</v>
      </c>
      <c r="P44" s="138">
        <v>0.05</v>
      </c>
      <c r="Q44" s="138">
        <v>0.05</v>
      </c>
      <c r="R44" s="138">
        <v>0.05</v>
      </c>
      <c r="S44" s="138">
        <v>0.05</v>
      </c>
      <c r="T44" s="138">
        <v>0.05</v>
      </c>
      <c r="U44" s="138">
        <v>0.05</v>
      </c>
      <c r="V44" s="138">
        <v>0.05</v>
      </c>
      <c r="W44" s="138">
        <v>0.05</v>
      </c>
    </row>
    <row r="45" spans="3:23" x14ac:dyDescent="0.4">
      <c r="C45" s="135"/>
      <c r="H45" s="25"/>
      <c r="I45" s="25"/>
      <c r="J45" s="25"/>
      <c r="K45" s="25"/>
      <c r="L45" s="25"/>
      <c r="M45" s="25"/>
      <c r="N45" s="28"/>
    </row>
    <row r="46" spans="3:23" x14ac:dyDescent="0.4">
      <c r="C46" s="31" t="s">
        <v>44</v>
      </c>
      <c r="H46" s="36">
        <f t="shared" ref="H46:M46" si="23">SUM(H20,H40)</f>
        <v>9653.5589999999993</v>
      </c>
      <c r="I46" s="36">
        <f t="shared" si="23"/>
        <v>10044.736000000001</v>
      </c>
      <c r="J46" s="36">
        <f t="shared" si="23"/>
        <v>14626.150000000001</v>
      </c>
      <c r="K46" s="36">
        <f t="shared" si="23"/>
        <v>17227.039000000001</v>
      </c>
      <c r="L46" s="36">
        <f t="shared" si="23"/>
        <v>17428.516</v>
      </c>
      <c r="M46" s="36">
        <f t="shared" si="23"/>
        <v>14905.386</v>
      </c>
      <c r="N46" s="36">
        <f t="shared" ref="N46:W46" si="24">SUM(N20,N40)</f>
        <v>18002.444559000003</v>
      </c>
      <c r="O46" s="36">
        <f t="shared" si="24"/>
        <v>20984.735161650002</v>
      </c>
      <c r="P46" s="36">
        <f t="shared" si="24"/>
        <v>23692.110812564999</v>
      </c>
      <c r="Q46" s="36">
        <f t="shared" si="24"/>
        <v>26300.445899654551</v>
      </c>
      <c r="R46" s="36">
        <f t="shared" si="24"/>
        <v>28648.549283758774</v>
      </c>
      <c r="S46" s="36">
        <f t="shared" si="24"/>
        <v>30585.14771551971</v>
      </c>
      <c r="T46" s="36">
        <f t="shared" si="24"/>
        <v>32336.240327027823</v>
      </c>
      <c r="U46" s="36">
        <f t="shared" si="24"/>
        <v>34190.416034912581</v>
      </c>
      <c r="V46" s="36">
        <f t="shared" si="24"/>
        <v>36153.915986598913</v>
      </c>
      <c r="W46" s="36">
        <f t="shared" si="24"/>
        <v>38233.369476365413</v>
      </c>
    </row>
    <row r="47" spans="3:23" x14ac:dyDescent="0.4">
      <c r="G47" s="27"/>
      <c r="J47" s="14"/>
      <c r="K47" s="15"/>
      <c r="L47" s="15"/>
      <c r="M47" s="15"/>
      <c r="N47" s="28"/>
    </row>
    <row r="48" spans="3:23" x14ac:dyDescent="0.4">
      <c r="C48" s="4" t="s">
        <v>162</v>
      </c>
      <c r="E48" s="160" t="s">
        <v>30</v>
      </c>
      <c r="H48" s="34">
        <f t="shared" ref="H48:M48" si="25">-H83/H46</f>
        <v>0.54851272986470589</v>
      </c>
      <c r="I48" s="34">
        <f t="shared" si="25"/>
        <v>0.54118326255662663</v>
      </c>
      <c r="J48" s="34">
        <f t="shared" si="25"/>
        <v>0.53471651801738662</v>
      </c>
      <c r="K48" s="34">
        <f t="shared" si="25"/>
        <v>0.54305513559236729</v>
      </c>
      <c r="L48" s="34">
        <f t="shared" si="25"/>
        <v>0.54929662399254187</v>
      </c>
      <c r="M48" s="34">
        <f t="shared" si="25"/>
        <v>0.5239193402975274</v>
      </c>
      <c r="N48" s="138">
        <f>AVERAGE(H48:M48)</f>
        <v>0.54011393505352601</v>
      </c>
      <c r="O48" s="138">
        <v>0.54011393505352601</v>
      </c>
      <c r="P48" s="138">
        <v>0.54011393505352601</v>
      </c>
      <c r="Q48" s="138">
        <v>0.54011393505352601</v>
      </c>
      <c r="R48" s="138">
        <v>0.54011393505352601</v>
      </c>
      <c r="S48" s="138">
        <v>0.54011393505352601</v>
      </c>
      <c r="T48" s="138">
        <v>0.54011393505352601</v>
      </c>
      <c r="U48" s="138">
        <v>0.54011393505352601</v>
      </c>
      <c r="V48" s="138">
        <v>0.54011393505352601</v>
      </c>
      <c r="W48" s="138">
        <v>0.54011393505352601</v>
      </c>
    </row>
    <row r="49" spans="2:23" x14ac:dyDescent="0.4">
      <c r="C49" s="4"/>
      <c r="H49" s="34"/>
      <c r="I49" s="34"/>
      <c r="J49" s="34"/>
      <c r="K49" s="34"/>
      <c r="L49" s="34"/>
      <c r="M49" s="34"/>
      <c r="N49" s="28"/>
    </row>
    <row r="50" spans="2:23" x14ac:dyDescent="0.4">
      <c r="C50" s="33" t="s">
        <v>164</v>
      </c>
      <c r="E50" s="160" t="s">
        <v>30</v>
      </c>
      <c r="H50" s="34">
        <f>H89/H80</f>
        <v>0.1234073360923158</v>
      </c>
      <c r="I50" s="34">
        <f t="shared" ref="I50:M50" si="26">I89/I80</f>
        <v>0.12468341626897909</v>
      </c>
      <c r="J50" s="34">
        <f t="shared" si="26"/>
        <v>0.10210533872550191</v>
      </c>
      <c r="K50" s="34">
        <f t="shared" si="26"/>
        <v>9.3123838635298842E-2</v>
      </c>
      <c r="L50" s="34">
        <f t="shared" si="26"/>
        <v>9.9099774186167083E-2</v>
      </c>
      <c r="M50" s="34">
        <f t="shared" si="26"/>
        <v>0.12763466843461818</v>
      </c>
      <c r="N50" s="142">
        <v>0.15</v>
      </c>
      <c r="O50" s="142">
        <v>0.15</v>
      </c>
      <c r="P50" s="159">
        <f>AVERAGE(H50:M50)</f>
        <v>0.11167572872381348</v>
      </c>
      <c r="Q50" s="159">
        <f t="shared" ref="Q50:W50" si="27">AVERAGE(I50:N50)</f>
        <v>0.11610783937509418</v>
      </c>
      <c r="R50" s="159">
        <f t="shared" si="27"/>
        <v>0.120327269996931</v>
      </c>
      <c r="S50" s="159">
        <f t="shared" si="27"/>
        <v>0.1219223349966496</v>
      </c>
      <c r="T50" s="159">
        <f t="shared" si="27"/>
        <v>0.1257530017866155</v>
      </c>
      <c r="U50" s="159">
        <f t="shared" si="27"/>
        <v>0.12929091775507615</v>
      </c>
      <c r="V50" s="159">
        <f t="shared" si="27"/>
        <v>0.12833886218208138</v>
      </c>
      <c r="W50" s="159">
        <f t="shared" si="27"/>
        <v>0.12429769581318396</v>
      </c>
    </row>
    <row r="51" spans="2:23" x14ac:dyDescent="0.4">
      <c r="C51" s="33" t="s">
        <v>163</v>
      </c>
      <c r="E51" s="160" t="s">
        <v>30</v>
      </c>
      <c r="G51" s="27"/>
      <c r="H51" s="34">
        <f>H90/H80</f>
        <v>7.2761455127585598E-2</v>
      </c>
      <c r="I51" s="34">
        <f t="shared" ref="I51:M51" si="28">I90/I80</f>
        <v>6.7943945963338415E-2</v>
      </c>
      <c r="J51" s="34">
        <f t="shared" si="28"/>
        <v>5.673912820530351E-2</v>
      </c>
      <c r="K51" s="34">
        <f t="shared" si="28"/>
        <v>5.1415510233650714E-2</v>
      </c>
      <c r="L51" s="34">
        <f t="shared" si="28"/>
        <v>4.7781061795508006E-2</v>
      </c>
      <c r="M51" s="34">
        <f t="shared" si="28"/>
        <v>5.8250554531093658E-2</v>
      </c>
      <c r="N51" s="142">
        <v>0.06</v>
      </c>
      <c r="O51" s="159">
        <v>7.0000000000000007E-2</v>
      </c>
      <c r="P51" s="159">
        <v>0.06</v>
      </c>
      <c r="Q51" s="159">
        <f>AVERAGE(H51:M51)</f>
        <v>5.9148609309413319E-2</v>
      </c>
      <c r="R51" s="159">
        <v>5.9148609309413319E-2</v>
      </c>
      <c r="S51" s="159">
        <v>5.9148609309413319E-2</v>
      </c>
      <c r="T51" s="159">
        <v>5.9148609309413319E-2</v>
      </c>
      <c r="U51" s="159">
        <v>5.9148609309413319E-2</v>
      </c>
      <c r="V51" s="159">
        <v>5.9148609309413319E-2</v>
      </c>
      <c r="W51" s="159">
        <v>5.9148609309413319E-2</v>
      </c>
    </row>
    <row r="52" spans="2:23" x14ac:dyDescent="0.4">
      <c r="G52" s="27"/>
      <c r="J52" s="14"/>
      <c r="K52" s="15"/>
      <c r="L52" s="15"/>
      <c r="M52" s="15"/>
      <c r="N52" s="28"/>
    </row>
    <row r="53" spans="2:23" x14ac:dyDescent="0.4">
      <c r="C53" s="9" t="s">
        <v>165</v>
      </c>
      <c r="E53" s="160" t="s">
        <v>30</v>
      </c>
      <c r="G53" s="27"/>
      <c r="H53" s="141">
        <f>-H96/H94</f>
        <v>7.3683467411467078E-3</v>
      </c>
      <c r="I53" s="141">
        <f t="shared" ref="I53:M53" si="29">-I96/I94</f>
        <v>3.6960104001717391E-2</v>
      </c>
      <c r="J53" s="141">
        <f t="shared" si="29"/>
        <v>2.4814464361293989E-2</v>
      </c>
      <c r="K53" s="141">
        <f t="shared" si="29"/>
        <v>3.5063961610027235E-2</v>
      </c>
      <c r="L53" s="141">
        <f t="shared" si="29"/>
        <v>1.268633354332291E-2</v>
      </c>
      <c r="M53" s="141">
        <f t="shared" si="29"/>
        <v>-2.2586999312603231E-2</v>
      </c>
      <c r="N53" s="143">
        <f>AVERAGE(H53:M53)</f>
        <v>1.5717701824150835E-2</v>
      </c>
      <c r="O53" s="143">
        <f t="shared" ref="O53:W53" si="30">AVERAGE(I53:N53)</f>
        <v>1.7109261004651519E-2</v>
      </c>
      <c r="P53" s="143">
        <f t="shared" si="30"/>
        <v>1.3800787171807209E-2</v>
      </c>
      <c r="Q53" s="143">
        <f t="shared" si="30"/>
        <v>1.1965174306892748E-2</v>
      </c>
      <c r="R53" s="143">
        <f t="shared" si="30"/>
        <v>8.1153764230369983E-3</v>
      </c>
      <c r="S53" s="143">
        <f t="shared" si="30"/>
        <v>7.3535502363226797E-3</v>
      </c>
      <c r="T53" s="143">
        <f t="shared" si="30"/>
        <v>1.2343641827810331E-2</v>
      </c>
      <c r="U53" s="143">
        <f t="shared" si="30"/>
        <v>1.1781298495086913E-2</v>
      </c>
      <c r="V53" s="143">
        <f t="shared" si="30"/>
        <v>1.0893304743492814E-2</v>
      </c>
      <c r="W53" s="143">
        <f t="shared" si="30"/>
        <v>1.0408724338773748E-2</v>
      </c>
    </row>
    <row r="54" spans="2:23" x14ac:dyDescent="0.4">
      <c r="G54" s="27"/>
      <c r="J54" s="14"/>
      <c r="K54" s="15"/>
      <c r="L54" s="15"/>
      <c r="M54" s="15"/>
      <c r="N54" s="28"/>
    </row>
    <row r="55" spans="2:23" x14ac:dyDescent="0.4">
      <c r="B55" s="150" t="s">
        <v>166</v>
      </c>
      <c r="C55" s="144"/>
      <c r="D55" s="144"/>
      <c r="E55" s="144"/>
      <c r="F55" s="144"/>
      <c r="G55" s="145"/>
      <c r="H55" s="144"/>
      <c r="I55" s="144"/>
      <c r="J55" s="146"/>
      <c r="K55" s="147"/>
      <c r="L55" s="147"/>
      <c r="M55" s="147"/>
      <c r="N55" s="148"/>
      <c r="O55" s="144"/>
      <c r="P55" s="144"/>
      <c r="Q55" s="144"/>
      <c r="R55" s="144"/>
      <c r="S55" s="144"/>
      <c r="T55" s="144"/>
      <c r="U55" s="144"/>
      <c r="V55" s="144"/>
      <c r="W55" s="144"/>
    </row>
    <row r="56" spans="2:23" x14ac:dyDescent="0.4">
      <c r="C56" s="42" t="s">
        <v>170</v>
      </c>
      <c r="D56" s="149"/>
      <c r="E56" s="43"/>
      <c r="F56" s="43"/>
      <c r="G56" s="43"/>
      <c r="H56" s="43"/>
      <c r="I56" s="43"/>
      <c r="J56" s="43"/>
      <c r="K56" s="165"/>
      <c r="L56" s="165"/>
      <c r="M56" s="165"/>
      <c r="N56" s="165"/>
      <c r="O56" s="165"/>
      <c r="P56" s="165"/>
      <c r="Q56" s="165"/>
      <c r="R56" s="165"/>
      <c r="S56" s="165"/>
      <c r="T56" s="165"/>
      <c r="U56" s="165"/>
      <c r="V56" s="165"/>
      <c r="W56" s="165"/>
    </row>
    <row r="57" spans="2:23" x14ac:dyDescent="0.4">
      <c r="G57" s="27"/>
      <c r="J57" s="14"/>
      <c r="K57" s="15"/>
      <c r="L57" s="15"/>
      <c r="M57" s="15"/>
      <c r="N57" s="28"/>
    </row>
    <row r="58" spans="2:23" x14ac:dyDescent="0.4">
      <c r="C58" s="33" t="s">
        <v>167</v>
      </c>
      <c r="E58" s="160" t="s">
        <v>168</v>
      </c>
      <c r="G58" s="27"/>
      <c r="H58" s="128">
        <f t="shared" ref="H58:M58" si="31">H$115*(H$110-EOMONTH(H$110,-12))/H$80</f>
        <v>55.033126124779479</v>
      </c>
      <c r="I58" s="128">
        <f t="shared" si="31"/>
        <v>76.411986736137223</v>
      </c>
      <c r="J58" s="128">
        <f t="shared" si="31"/>
        <v>75.52547662918812</v>
      </c>
      <c r="K58" s="128">
        <f t="shared" si="31"/>
        <v>91.399547536869221</v>
      </c>
      <c r="L58" s="128">
        <f t="shared" si="31"/>
        <v>59.129087066276909</v>
      </c>
      <c r="M58" s="128">
        <f t="shared" si="31"/>
        <v>61.859887425927781</v>
      </c>
      <c r="N58" s="179">
        <v>70</v>
      </c>
      <c r="O58" s="179">
        <v>80</v>
      </c>
      <c r="P58" s="180">
        <f>O58-5</f>
        <v>75</v>
      </c>
      <c r="Q58" s="180">
        <f t="shared" ref="Q58:S58" si="32">P58-5</f>
        <v>70</v>
      </c>
      <c r="R58" s="180">
        <f t="shared" si="32"/>
        <v>65</v>
      </c>
      <c r="S58" s="180">
        <f t="shared" si="32"/>
        <v>60</v>
      </c>
      <c r="T58" s="180">
        <v>60</v>
      </c>
      <c r="U58" s="180">
        <v>60</v>
      </c>
      <c r="V58" s="180">
        <v>60</v>
      </c>
      <c r="W58" s="180">
        <v>60</v>
      </c>
    </row>
    <row r="59" spans="2:23" x14ac:dyDescent="0.4">
      <c r="C59" s="33" t="s">
        <v>169</v>
      </c>
      <c r="E59" s="160" t="s">
        <v>168</v>
      </c>
      <c r="G59" s="27"/>
      <c r="H59" s="128">
        <f t="shared" ref="H59:M59" si="33">H116*(H110-EOMONTH(H110,-12))/H80</f>
        <v>58.232523362627205</v>
      </c>
      <c r="I59" s="128">
        <f t="shared" si="33"/>
        <v>69.231165856424695</v>
      </c>
      <c r="J59" s="128">
        <f t="shared" si="33"/>
        <v>67.112145711619249</v>
      </c>
      <c r="K59" s="128">
        <f t="shared" si="33"/>
        <v>84.036340197523202</v>
      </c>
      <c r="L59" s="128">
        <f t="shared" si="33"/>
        <v>100.86397201000933</v>
      </c>
      <c r="M59" s="128">
        <f t="shared" si="33"/>
        <v>103.57062769122516</v>
      </c>
      <c r="N59" s="179">
        <v>105</v>
      </c>
      <c r="O59" s="179">
        <v>100</v>
      </c>
      <c r="P59" s="180">
        <f>O59-5</f>
        <v>95</v>
      </c>
      <c r="Q59" s="180">
        <f t="shared" ref="Q59:S59" si="34">P59-5</f>
        <v>90</v>
      </c>
      <c r="R59" s="180">
        <f t="shared" si="34"/>
        <v>85</v>
      </c>
      <c r="S59" s="180">
        <f t="shared" si="34"/>
        <v>80</v>
      </c>
      <c r="T59" s="180">
        <v>80</v>
      </c>
      <c r="U59" s="180">
        <v>80</v>
      </c>
      <c r="V59" s="180">
        <v>80</v>
      </c>
      <c r="W59" s="180">
        <v>80</v>
      </c>
    </row>
    <row r="60" spans="2:23" x14ac:dyDescent="0.4">
      <c r="C60" s="33" t="s">
        <v>176</v>
      </c>
      <c r="E60" s="160" t="s">
        <v>30</v>
      </c>
      <c r="G60" s="27"/>
      <c r="H60" s="141">
        <f t="shared" ref="H60:M60" si="35">H117/-H92</f>
        <v>7.0519140298469646E-2</v>
      </c>
      <c r="I60" s="141">
        <f t="shared" si="35"/>
        <v>7.5539138897229866E-2</v>
      </c>
      <c r="J60" s="141">
        <f t="shared" si="35"/>
        <v>8.9325321108104344E-2</v>
      </c>
      <c r="K60" s="141">
        <f t="shared" si="35"/>
        <v>0.13951529828492942</v>
      </c>
      <c r="L60" s="141">
        <f t="shared" si="35"/>
        <v>9.676545359166662E-2</v>
      </c>
      <c r="M60" s="141">
        <f t="shared" si="35"/>
        <v>0.10692113459247771</v>
      </c>
      <c r="N60" s="143">
        <f>AVERAGE(H60:M60)</f>
        <v>9.6430914462146258E-2</v>
      </c>
      <c r="O60" s="143">
        <v>9.6430914462146258E-2</v>
      </c>
      <c r="P60" s="143">
        <v>9.6430914462146258E-2</v>
      </c>
      <c r="Q60" s="159">
        <v>9.6430914462146258E-2</v>
      </c>
      <c r="R60" s="159">
        <v>9.6430914462146258E-2</v>
      </c>
      <c r="S60" s="159">
        <v>9.6430914462146258E-2</v>
      </c>
      <c r="T60" s="159">
        <v>9.6430914462146258E-2</v>
      </c>
      <c r="U60" s="159">
        <v>9.6430914462146258E-2</v>
      </c>
      <c r="V60" s="159">
        <v>9.6430914462146258E-2</v>
      </c>
      <c r="W60" s="159">
        <v>9.6430914462146258E-2</v>
      </c>
    </row>
    <row r="61" spans="2:23" x14ac:dyDescent="0.4">
      <c r="C61" s="33" t="s">
        <v>178</v>
      </c>
      <c r="E61" s="160" t="s">
        <v>30</v>
      </c>
      <c r="G61" s="27"/>
      <c r="H61" s="141">
        <f t="shared" ref="H61:M61" si="36">H123/H80</f>
        <v>4.4037955328185184E-2</v>
      </c>
      <c r="I61" s="141">
        <f t="shared" si="36"/>
        <v>7.2389558073004609E-2</v>
      </c>
      <c r="J61" s="141">
        <f t="shared" si="36"/>
        <v>7.2561815652102554E-2</v>
      </c>
      <c r="K61" s="141">
        <f t="shared" si="36"/>
        <v>8.0937472771728219E-2</v>
      </c>
      <c r="L61" s="141">
        <f t="shared" si="36"/>
        <v>0.10933897068459529</v>
      </c>
      <c r="M61" s="141">
        <f t="shared" si="36"/>
        <v>0.13028290578989365</v>
      </c>
      <c r="N61" s="143">
        <v>0.15</v>
      </c>
      <c r="O61" s="143">
        <v>0.14000000000000001</v>
      </c>
      <c r="P61" s="143">
        <v>0.13</v>
      </c>
      <c r="Q61" s="143">
        <v>0.12</v>
      </c>
      <c r="R61" s="143">
        <v>0.11</v>
      </c>
      <c r="S61" s="143">
        <v>0.1</v>
      </c>
      <c r="T61" s="143">
        <v>0.1</v>
      </c>
      <c r="U61" s="143">
        <v>0.1</v>
      </c>
      <c r="V61" s="143">
        <v>0.1</v>
      </c>
      <c r="W61" s="143">
        <v>0.1</v>
      </c>
    </row>
    <row r="62" spans="2:23" x14ac:dyDescent="0.4">
      <c r="C62" s="33"/>
      <c r="E62" s="160"/>
      <c r="G62" s="27"/>
      <c r="J62" s="14"/>
      <c r="K62" s="15"/>
      <c r="L62" s="15"/>
      <c r="M62" s="15"/>
      <c r="N62" s="28"/>
    </row>
    <row r="63" spans="2:23" x14ac:dyDescent="0.4">
      <c r="C63" s="42" t="s">
        <v>171</v>
      </c>
      <c r="D63" s="149"/>
      <c r="E63" s="43"/>
      <c r="F63" s="43"/>
      <c r="G63" s="43"/>
      <c r="H63" s="43"/>
      <c r="I63" s="43"/>
      <c r="J63" s="43"/>
      <c r="K63" s="165"/>
      <c r="L63" s="165"/>
      <c r="M63" s="165"/>
      <c r="N63" s="165"/>
      <c r="O63" s="165"/>
      <c r="P63" s="165"/>
      <c r="Q63" s="165"/>
      <c r="R63" s="165"/>
      <c r="S63" s="165"/>
      <c r="T63" s="165"/>
      <c r="U63" s="165"/>
      <c r="V63" s="165"/>
      <c r="W63" s="165"/>
    </row>
    <row r="64" spans="2:23" x14ac:dyDescent="0.4">
      <c r="G64" s="27"/>
      <c r="J64" s="14"/>
      <c r="K64" s="15"/>
      <c r="L64" s="15"/>
      <c r="M64" s="15"/>
      <c r="N64" s="28"/>
    </row>
    <row r="65" spans="2:24" x14ac:dyDescent="0.4">
      <c r="C65" s="33" t="s">
        <v>172</v>
      </c>
      <c r="E65" s="160" t="s">
        <v>168</v>
      </c>
      <c r="G65" s="27"/>
      <c r="H65" s="128">
        <f t="shared" ref="H65:M65" si="37">H128*(H110-EOMONTH(H110,-12))/H80</f>
        <v>14.237729836218952</v>
      </c>
      <c r="I65" s="128">
        <f t="shared" si="37"/>
        <v>21.58480242785873</v>
      </c>
      <c r="J65" s="128">
        <f t="shared" si="37"/>
        <v>20.70566416999689</v>
      </c>
      <c r="K65" s="128">
        <f t="shared" si="37"/>
        <v>21.425093424354586</v>
      </c>
      <c r="L65" s="128">
        <f t="shared" si="37"/>
        <v>9.8577658591242088</v>
      </c>
      <c r="M65" s="128">
        <f t="shared" si="37"/>
        <v>15.075862912909468</v>
      </c>
      <c r="N65" s="179">
        <v>17</v>
      </c>
      <c r="O65" s="179">
        <v>19</v>
      </c>
      <c r="P65" s="24">
        <v>19</v>
      </c>
      <c r="Q65" s="24">
        <f>P65-1</f>
        <v>18</v>
      </c>
      <c r="R65" s="24">
        <f t="shared" ref="R65:S65" si="38">Q65-1</f>
        <v>17</v>
      </c>
      <c r="S65" s="24">
        <f t="shared" si="38"/>
        <v>16</v>
      </c>
      <c r="T65" s="24">
        <v>16</v>
      </c>
      <c r="U65" s="24">
        <v>16</v>
      </c>
      <c r="V65" s="24">
        <v>16</v>
      </c>
      <c r="W65" s="24">
        <v>16</v>
      </c>
    </row>
    <row r="66" spans="2:24" x14ac:dyDescent="0.4">
      <c r="C66" s="33" t="s">
        <v>177</v>
      </c>
      <c r="E66" s="160" t="s">
        <v>30</v>
      </c>
      <c r="G66" s="27"/>
      <c r="H66" s="141">
        <f t="shared" ref="H66:M66" si="39">H129/-H92</f>
        <v>0.49988250682384527</v>
      </c>
      <c r="I66" s="141">
        <f t="shared" si="39"/>
        <v>0.65773989335833383</v>
      </c>
      <c r="J66" s="141">
        <f t="shared" si="39"/>
        <v>0.7401091472713397</v>
      </c>
      <c r="K66" s="141">
        <f t="shared" si="39"/>
        <v>0.79288509770139171</v>
      </c>
      <c r="L66" s="141">
        <f t="shared" si="39"/>
        <v>0.77270821443737947</v>
      </c>
      <c r="M66" s="141">
        <f t="shared" si="39"/>
        <v>0.64609387717928146</v>
      </c>
      <c r="N66" s="143">
        <f>AVERAGE(H66:M66)</f>
        <v>0.68490312279526189</v>
      </c>
      <c r="O66" s="159">
        <v>0.7</v>
      </c>
      <c r="P66" s="159">
        <f>O66-2%</f>
        <v>0.67999999999999994</v>
      </c>
      <c r="Q66" s="159">
        <f t="shared" ref="Q66:T66" si="40">P66-2%</f>
        <v>0.65999999999999992</v>
      </c>
      <c r="R66" s="159">
        <f t="shared" si="40"/>
        <v>0.6399999999999999</v>
      </c>
      <c r="S66" s="159">
        <f t="shared" si="40"/>
        <v>0.61999999999999988</v>
      </c>
      <c r="T66" s="159">
        <f t="shared" si="40"/>
        <v>0.59999999999999987</v>
      </c>
      <c r="U66" s="24">
        <v>0.59999999999999987</v>
      </c>
      <c r="V66" s="24">
        <v>0.59999999999999987</v>
      </c>
      <c r="W66" s="24">
        <v>0.59999999999999987</v>
      </c>
    </row>
    <row r="67" spans="2:24" x14ac:dyDescent="0.4">
      <c r="C67" s="33" t="s">
        <v>173</v>
      </c>
      <c r="E67" s="160" t="s">
        <v>30</v>
      </c>
      <c r="G67" s="27"/>
      <c r="H67" s="141">
        <f t="shared" ref="H67:M67" si="41">H130/H80</f>
        <v>3.9500147044214472E-2</v>
      </c>
      <c r="I67" s="141">
        <f t="shared" si="41"/>
        <v>4.5548534077948885E-2</v>
      </c>
      <c r="J67" s="141">
        <f t="shared" si="41"/>
        <v>6.6136679850815144E-2</v>
      </c>
      <c r="K67" s="141">
        <f t="shared" si="41"/>
        <v>9.1245976746206922E-2</v>
      </c>
      <c r="L67" s="141">
        <f t="shared" si="41"/>
        <v>9.726708802975538E-2</v>
      </c>
      <c r="M67" s="141">
        <f t="shared" si="41"/>
        <v>9.5118704071132404E-2</v>
      </c>
      <c r="N67" s="143">
        <v>0.1</v>
      </c>
      <c r="O67" s="143">
        <f>N67-1%</f>
        <v>9.0000000000000011E-2</v>
      </c>
      <c r="P67" s="143">
        <f t="shared" ref="P67:Q67" si="42">O67-1%</f>
        <v>8.0000000000000016E-2</v>
      </c>
      <c r="Q67" s="143">
        <f t="shared" si="42"/>
        <v>7.0000000000000021E-2</v>
      </c>
      <c r="R67" s="143">
        <v>7.0000000000000021E-2</v>
      </c>
      <c r="S67" s="143">
        <v>7.0000000000000021E-2</v>
      </c>
      <c r="T67" s="143">
        <v>7.0000000000000021E-2</v>
      </c>
      <c r="U67" s="143">
        <v>7.0000000000000021E-2</v>
      </c>
      <c r="V67" s="143">
        <v>7.0000000000000021E-2</v>
      </c>
      <c r="W67" s="143">
        <v>7.0000000000000021E-2</v>
      </c>
    </row>
    <row r="68" spans="2:24" x14ac:dyDescent="0.4">
      <c r="G68" s="27"/>
      <c r="J68" s="14"/>
      <c r="K68" s="15"/>
      <c r="L68" s="15"/>
      <c r="M68" s="15"/>
      <c r="N68" s="28"/>
    </row>
    <row r="69" spans="2:24" x14ac:dyDescent="0.4">
      <c r="C69" s="33" t="s">
        <v>174</v>
      </c>
      <c r="E69" s="160" t="s">
        <v>30</v>
      </c>
      <c r="G69" s="27"/>
      <c r="H69" s="141">
        <f t="shared" ref="H69:M69" si="43">H135/H80</f>
        <v>9.2482989952203123E-2</v>
      </c>
      <c r="I69" s="141">
        <f t="shared" si="43"/>
        <v>9.0565745082797577E-2</v>
      </c>
      <c r="J69" s="141">
        <f t="shared" si="43"/>
        <v>6.4817945939293659E-2</v>
      </c>
      <c r="K69" s="141">
        <f t="shared" si="43"/>
        <v>5.4049741223665883E-2</v>
      </c>
      <c r="L69" s="141">
        <f t="shared" si="43"/>
        <v>5.0611538010465147E-2</v>
      </c>
      <c r="M69" s="141">
        <f t="shared" si="43"/>
        <v>5.4564437311452378E-2</v>
      </c>
      <c r="N69" s="143">
        <v>5.4564437311452378E-2</v>
      </c>
      <c r="O69" s="143">
        <v>5.4564437311452378E-2</v>
      </c>
      <c r="P69" s="143">
        <v>5.4564437311452378E-2</v>
      </c>
      <c r="Q69" s="143">
        <v>5.4564437311452378E-2</v>
      </c>
      <c r="R69" s="143">
        <v>5.4564437311452378E-2</v>
      </c>
      <c r="S69" s="143">
        <v>5.4564437311452378E-2</v>
      </c>
      <c r="T69" s="143">
        <v>5.4564437311452378E-2</v>
      </c>
      <c r="U69" s="143">
        <v>5.4564437311452378E-2</v>
      </c>
      <c r="V69" s="143">
        <v>5.4564437311452378E-2</v>
      </c>
      <c r="W69" s="143">
        <v>5.4564437311452378E-2</v>
      </c>
    </row>
    <row r="70" spans="2:24" x14ac:dyDescent="0.4">
      <c r="C70" s="33" t="s">
        <v>175</v>
      </c>
      <c r="E70" s="160" t="s">
        <v>30</v>
      </c>
      <c r="G70" s="27"/>
      <c r="H70" s="141">
        <f t="shared" ref="H70:M70" si="44">H136/H80</f>
        <v>2.4888230340747938E-2</v>
      </c>
      <c r="I70" s="141">
        <f t="shared" si="44"/>
        <v>3.4202392178350645E-2</v>
      </c>
      <c r="J70" s="141">
        <f t="shared" si="44"/>
        <v>2.7261240996434465E-2</v>
      </c>
      <c r="K70" s="141">
        <f t="shared" si="44"/>
        <v>2.4550997997972834E-2</v>
      </c>
      <c r="L70" s="141">
        <f t="shared" si="44"/>
        <v>2.876240294928151E-2</v>
      </c>
      <c r="M70" s="141">
        <f t="shared" si="44"/>
        <v>3.8577464548720838E-2</v>
      </c>
      <c r="N70" s="143">
        <f>AVERAGE(H70:M70)</f>
        <v>2.9707121501918038E-2</v>
      </c>
      <c r="O70" s="143">
        <v>2.9707121501918038E-2</v>
      </c>
      <c r="P70" s="143">
        <v>2.9707121501918038E-2</v>
      </c>
      <c r="Q70" s="143">
        <v>2.9707121501918038E-2</v>
      </c>
      <c r="R70" s="143">
        <v>2.9707121501918038E-2</v>
      </c>
      <c r="S70" s="143">
        <v>2.9707121501918038E-2</v>
      </c>
      <c r="T70" s="143">
        <v>2.9707121501918038E-2</v>
      </c>
      <c r="U70" s="143">
        <v>2.9707121501918038E-2</v>
      </c>
      <c r="V70" s="143">
        <v>2.9707121501918038E-2</v>
      </c>
      <c r="W70" s="143">
        <v>2.9707121501918038E-2</v>
      </c>
    </row>
    <row r="71" spans="2:24" x14ac:dyDescent="0.4">
      <c r="G71" s="27"/>
      <c r="J71" s="14"/>
      <c r="K71" s="15"/>
      <c r="L71" s="15"/>
      <c r="M71" s="15"/>
      <c r="N71" s="28"/>
    </row>
    <row r="72" spans="2:24" x14ac:dyDescent="0.4">
      <c r="C72" s="187" t="s">
        <v>188</v>
      </c>
      <c r="D72" s="144"/>
      <c r="E72" s="185"/>
      <c r="F72" s="144"/>
      <c r="G72" s="145"/>
      <c r="H72" s="186"/>
      <c r="I72" s="186"/>
      <c r="J72" s="186"/>
      <c r="K72" s="186"/>
      <c r="L72" s="186"/>
      <c r="M72" s="186"/>
      <c r="N72" s="186"/>
      <c r="O72" s="186"/>
      <c r="P72" s="186"/>
      <c r="Q72" s="186"/>
      <c r="R72" s="186"/>
      <c r="S72" s="186"/>
      <c r="T72" s="186"/>
      <c r="U72" s="186"/>
      <c r="V72" s="186"/>
      <c r="W72" s="186"/>
    </row>
    <row r="73" spans="2:24" x14ac:dyDescent="0.4">
      <c r="C73" s="188"/>
      <c r="E73" s="160"/>
      <c r="G73" s="27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</row>
    <row r="74" spans="2:24" x14ac:dyDescent="0.4">
      <c r="C74" s="33" t="s">
        <v>187</v>
      </c>
      <c r="E74" s="160" t="s">
        <v>30</v>
      </c>
      <c r="G74" s="27"/>
      <c r="H74" s="141">
        <f t="shared" ref="H74:M74" si="45">-H185/H80</f>
        <v>0.39162872470142879</v>
      </c>
      <c r="I74" s="141">
        <f t="shared" si="45"/>
        <v>0.13635490270724884</v>
      </c>
      <c r="J74" s="141">
        <f t="shared" si="45"/>
        <v>0.18444388988216309</v>
      </c>
      <c r="K74" s="141">
        <f t="shared" si="45"/>
        <v>0.22439509192496748</v>
      </c>
      <c r="L74" s="141">
        <f t="shared" si="45"/>
        <v>0.11573056478245193</v>
      </c>
      <c r="M74" s="141">
        <f t="shared" si="45"/>
        <v>0.19072347405159448</v>
      </c>
      <c r="N74" s="143">
        <f>AVERAGE(H74:M74)</f>
        <v>0.20721277467497579</v>
      </c>
      <c r="O74" s="143">
        <v>0.2</v>
      </c>
      <c r="P74" s="143">
        <v>0.15</v>
      </c>
      <c r="Q74" s="143">
        <v>0.15</v>
      </c>
      <c r="R74" s="143">
        <v>0.1</v>
      </c>
      <c r="S74" s="143">
        <v>0.1</v>
      </c>
      <c r="T74" s="143">
        <v>0.1</v>
      </c>
      <c r="U74" s="143">
        <v>0.1</v>
      </c>
      <c r="V74" s="143">
        <v>0.1</v>
      </c>
      <c r="W74" s="143">
        <v>0.1</v>
      </c>
    </row>
    <row r="75" spans="2:24" x14ac:dyDescent="0.4">
      <c r="C75" s="9" t="s">
        <v>189</v>
      </c>
      <c r="E75" s="160" t="s">
        <v>30</v>
      </c>
      <c r="G75" s="27"/>
      <c r="H75" s="141">
        <f t="shared" ref="H75:M75" si="46">-H186/H80</f>
        <v>7.0269213665136346E-2</v>
      </c>
      <c r="I75" s="141">
        <f t="shared" si="46"/>
        <v>6.5391265634059462E-2</v>
      </c>
      <c r="J75" s="141">
        <f t="shared" si="46"/>
        <v>4.9704946277728583E-2</v>
      </c>
      <c r="K75" s="141">
        <f t="shared" si="46"/>
        <v>4.7326182984783395E-2</v>
      </c>
      <c r="L75" s="141">
        <f t="shared" si="46"/>
        <v>5.2093190263588711E-2</v>
      </c>
      <c r="M75" s="141">
        <f t="shared" si="46"/>
        <v>6.8358846929559555E-2</v>
      </c>
      <c r="N75" s="143">
        <v>0.06</v>
      </c>
      <c r="O75" s="143">
        <v>0.06</v>
      </c>
      <c r="P75" s="143">
        <v>0.06</v>
      </c>
      <c r="Q75" s="143">
        <v>0.06</v>
      </c>
      <c r="R75" s="143">
        <v>0.06</v>
      </c>
      <c r="S75" s="143">
        <v>0.06</v>
      </c>
      <c r="T75" s="143">
        <v>0.06</v>
      </c>
      <c r="U75" s="143">
        <v>0.06</v>
      </c>
      <c r="V75" s="143">
        <v>0.06</v>
      </c>
      <c r="W75" s="143">
        <v>0.06</v>
      </c>
    </row>
    <row r="76" spans="2:24" x14ac:dyDescent="0.4">
      <c r="G76" s="27"/>
      <c r="J76" s="14"/>
      <c r="K76" s="15"/>
      <c r="L76" s="15"/>
      <c r="M76" s="15"/>
      <c r="N76" s="28"/>
    </row>
    <row r="77" spans="2:24" x14ac:dyDescent="0.4">
      <c r="B77" s="152"/>
      <c r="C77" s="152"/>
      <c r="D77" s="152"/>
      <c r="E77" s="152"/>
      <c r="F77" s="152"/>
      <c r="G77" s="152"/>
      <c r="H77" s="154"/>
      <c r="I77" s="154"/>
      <c r="J77" s="155" t="s">
        <v>11</v>
      </c>
      <c r="K77" s="154"/>
      <c r="L77" s="154"/>
      <c r="M77" s="154"/>
      <c r="N77" s="156"/>
      <c r="O77" s="154"/>
      <c r="P77" s="154"/>
      <c r="Q77" s="154"/>
      <c r="R77" s="155" t="s">
        <v>122</v>
      </c>
      <c r="S77" s="154"/>
      <c r="T77" s="154"/>
      <c r="U77" s="154"/>
      <c r="V77" s="154"/>
      <c r="W77" s="154"/>
    </row>
    <row r="78" spans="2:24" x14ac:dyDescent="0.4">
      <c r="B78" s="151" t="s">
        <v>8</v>
      </c>
      <c r="C78" s="152"/>
      <c r="D78" s="152"/>
      <c r="E78" s="153" t="s">
        <v>9</v>
      </c>
      <c r="F78" s="157"/>
      <c r="G78" s="152"/>
      <c r="H78" s="2">
        <f t="shared" ref="H78:M78" si="47">H3</f>
        <v>43646</v>
      </c>
      <c r="I78" s="2">
        <f t="shared" si="47"/>
        <v>44012</v>
      </c>
      <c r="J78" s="2">
        <f t="shared" si="47"/>
        <v>44377</v>
      </c>
      <c r="K78" s="2">
        <f t="shared" si="47"/>
        <v>44742</v>
      </c>
      <c r="L78" s="2">
        <f t="shared" si="47"/>
        <v>45107</v>
      </c>
      <c r="M78" s="2">
        <f t="shared" si="47"/>
        <v>45473</v>
      </c>
      <c r="N78" s="81">
        <v>45838</v>
      </c>
      <c r="O78" s="2">
        <v>46203</v>
      </c>
      <c r="P78" s="2">
        <v>46568</v>
      </c>
      <c r="Q78" s="2">
        <v>46934</v>
      </c>
      <c r="R78" s="2">
        <v>47299</v>
      </c>
      <c r="S78" s="2">
        <v>47664</v>
      </c>
      <c r="T78" s="2">
        <v>48029</v>
      </c>
      <c r="U78" s="2">
        <v>48395</v>
      </c>
      <c r="V78" s="2">
        <v>48760</v>
      </c>
      <c r="W78" s="2">
        <v>49125</v>
      </c>
      <c r="X78" s="82"/>
    </row>
    <row r="79" spans="2:24" x14ac:dyDescent="0.4">
      <c r="E79" s="160"/>
    </row>
    <row r="80" spans="2:24" x14ac:dyDescent="0.4">
      <c r="C80" s="8" t="s">
        <v>0</v>
      </c>
      <c r="E80" s="158" t="s">
        <v>12</v>
      </c>
      <c r="F80" s="161"/>
      <c r="H80" s="7">
        <f t="shared" ref="H80:W80" si="48">H46</f>
        <v>9653.5589999999993</v>
      </c>
      <c r="I80" s="7">
        <f t="shared" si="48"/>
        <v>10044.736000000001</v>
      </c>
      <c r="J80" s="7">
        <f t="shared" si="48"/>
        <v>14626.150000000001</v>
      </c>
      <c r="K80" s="7">
        <f t="shared" si="48"/>
        <v>17227.039000000001</v>
      </c>
      <c r="L80" s="7">
        <f t="shared" si="48"/>
        <v>17428.516</v>
      </c>
      <c r="M80" s="7">
        <f t="shared" si="48"/>
        <v>14905.386</v>
      </c>
      <c r="N80" s="7">
        <f t="shared" si="48"/>
        <v>18002.444559000003</v>
      </c>
      <c r="O80" s="7">
        <f t="shared" si="48"/>
        <v>20984.735161650002</v>
      </c>
      <c r="P80" s="7">
        <f t="shared" si="48"/>
        <v>23692.110812564999</v>
      </c>
      <c r="Q80" s="7">
        <f t="shared" si="48"/>
        <v>26300.445899654551</v>
      </c>
      <c r="R80" s="7">
        <f t="shared" si="48"/>
        <v>28648.549283758774</v>
      </c>
      <c r="S80" s="7">
        <f t="shared" si="48"/>
        <v>30585.14771551971</v>
      </c>
      <c r="T80" s="7">
        <f t="shared" si="48"/>
        <v>32336.240327027823</v>
      </c>
      <c r="U80" s="7">
        <f t="shared" si="48"/>
        <v>34190.416034912581</v>
      </c>
      <c r="V80" s="7">
        <f t="shared" si="48"/>
        <v>36153.915986598913</v>
      </c>
      <c r="W80" s="7">
        <f t="shared" si="48"/>
        <v>38233.369476365413</v>
      </c>
    </row>
    <row r="81" spans="3:23" x14ac:dyDescent="0.4">
      <c r="C81" s="597" t="s">
        <v>418</v>
      </c>
      <c r="E81" s="598" t="s">
        <v>30</v>
      </c>
      <c r="F81" s="161"/>
      <c r="H81" s="7"/>
      <c r="I81" s="600">
        <f>I80/H80-1</f>
        <v>4.0521532007004035E-2</v>
      </c>
      <c r="J81" s="600">
        <f t="shared" ref="J81:W81" si="49">J80/I80-1</f>
        <v>0.45610098662622889</v>
      </c>
      <c r="K81" s="600">
        <f t="shared" si="49"/>
        <v>0.17782458131497347</v>
      </c>
      <c r="L81" s="600">
        <f t="shared" si="49"/>
        <v>1.169539350320159E-2</v>
      </c>
      <c r="M81" s="600">
        <f t="shared" si="49"/>
        <v>-0.14477021451510841</v>
      </c>
      <c r="N81" s="600">
        <f t="shared" si="49"/>
        <v>0.20778117111492467</v>
      </c>
      <c r="O81" s="600">
        <f t="shared" si="49"/>
        <v>0.16566031312447826</v>
      </c>
      <c r="P81" s="600">
        <f t="shared" si="49"/>
        <v>0.12901643170902521</v>
      </c>
      <c r="Q81" s="600">
        <f t="shared" si="49"/>
        <v>0.11009298022134151</v>
      </c>
      <c r="R81" s="600">
        <f t="shared" si="49"/>
        <v>8.9279983809516406E-2</v>
      </c>
      <c r="S81" s="600">
        <f t="shared" si="49"/>
        <v>6.7598481604749905E-2</v>
      </c>
      <c r="T81" s="600">
        <f t="shared" si="49"/>
        <v>5.7253037578744781E-2</v>
      </c>
      <c r="U81" s="600">
        <f t="shared" si="49"/>
        <v>5.73404851378152E-2</v>
      </c>
      <c r="V81" s="600">
        <f t="shared" si="49"/>
        <v>5.7428372608316902E-2</v>
      </c>
      <c r="W81" s="600">
        <f t="shared" si="49"/>
        <v>5.7516687557090274E-2</v>
      </c>
    </row>
    <row r="82" spans="3:23" x14ac:dyDescent="0.4">
      <c r="C82" s="597"/>
      <c r="E82" s="158"/>
      <c r="F82" s="161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</row>
    <row r="83" spans="3:23" x14ac:dyDescent="0.4">
      <c r="C83" s="9" t="s">
        <v>1</v>
      </c>
      <c r="E83" s="47" t="s">
        <v>12</v>
      </c>
      <c r="F83" s="162"/>
      <c r="G83" s="5" t="s">
        <v>13</v>
      </c>
      <c r="H83" s="6">
        <v>-5295.1</v>
      </c>
      <c r="I83" s="6">
        <v>-5436.0429999999997</v>
      </c>
      <c r="J83" s="6">
        <v>-7820.8440000000001</v>
      </c>
      <c r="K83" s="6">
        <v>-9355.232</v>
      </c>
      <c r="L83" s="6">
        <v>-9573.4249999999993</v>
      </c>
      <c r="M83" s="6">
        <v>-7809.22</v>
      </c>
      <c r="N83" s="6">
        <f t="shared" ref="N83:W83" si="50">-N80*N48</f>
        <v>-9723.37117134443</v>
      </c>
      <c r="O83" s="6">
        <f t="shared" si="50"/>
        <v>-11334.147884214874</v>
      </c>
      <c r="P83" s="6">
        <f t="shared" si="50"/>
        <v>-12796.439200698673</v>
      </c>
      <c r="Q83" s="6">
        <f t="shared" si="50"/>
        <v>-14205.237328524792</v>
      </c>
      <c r="R83" s="6">
        <f t="shared" si="50"/>
        <v>-15473.480687225825</v>
      </c>
      <c r="S83" s="6">
        <f t="shared" si="50"/>
        <v>-16519.464486822711</v>
      </c>
      <c r="T83" s="6">
        <f t="shared" si="50"/>
        <v>-17465.254007867516</v>
      </c>
      <c r="U83" s="6">
        <f t="shared" si="50"/>
        <v>-18466.720145733809</v>
      </c>
      <c r="V83" s="6">
        <f t="shared" si="50"/>
        <v>-19527.233831116522</v>
      </c>
      <c r="W83" s="6">
        <f t="shared" si="50"/>
        <v>-20650.375638235091</v>
      </c>
    </row>
    <row r="84" spans="3:23" x14ac:dyDescent="0.4">
      <c r="C84" s="33" t="s">
        <v>14</v>
      </c>
      <c r="E84" s="47" t="s">
        <v>12</v>
      </c>
      <c r="F84" s="162"/>
      <c r="H84" s="25">
        <v>0</v>
      </c>
      <c r="I84" s="25">
        <v>0</v>
      </c>
      <c r="J84" s="25">
        <v>0</v>
      </c>
      <c r="K84" s="25">
        <v>0</v>
      </c>
      <c r="L84" s="25">
        <v>-78.165999999999997</v>
      </c>
      <c r="M84" s="25">
        <v>-43.375</v>
      </c>
      <c r="N84" s="79">
        <v>0</v>
      </c>
      <c r="O84" s="79">
        <v>0</v>
      </c>
      <c r="P84" s="79">
        <v>0</v>
      </c>
      <c r="Q84" s="79">
        <v>0</v>
      </c>
      <c r="R84" s="79">
        <v>0</v>
      </c>
      <c r="S84" s="79">
        <v>0</v>
      </c>
      <c r="T84" s="79">
        <v>0</v>
      </c>
      <c r="U84" s="79">
        <v>0</v>
      </c>
      <c r="V84" s="79">
        <v>0</v>
      </c>
      <c r="W84" s="79">
        <v>0</v>
      </c>
    </row>
    <row r="85" spans="3:23" x14ac:dyDescent="0.4">
      <c r="C85" s="11" t="s">
        <v>15</v>
      </c>
      <c r="E85" s="47" t="s">
        <v>12</v>
      </c>
      <c r="F85" s="162"/>
      <c r="H85" s="10">
        <f>SUM(H83:H84)</f>
        <v>-5295.1</v>
      </c>
      <c r="I85" s="10">
        <f t="shared" ref="I85:W85" si="51">SUM(I83:I84)</f>
        <v>-5436.0429999999997</v>
      </c>
      <c r="J85" s="10">
        <f t="shared" si="51"/>
        <v>-7820.8440000000001</v>
      </c>
      <c r="K85" s="10">
        <f t="shared" si="51"/>
        <v>-9355.232</v>
      </c>
      <c r="L85" s="10">
        <f t="shared" si="51"/>
        <v>-9651.5909999999985</v>
      </c>
      <c r="M85" s="10">
        <f t="shared" si="51"/>
        <v>-7852.5950000000003</v>
      </c>
      <c r="N85" s="10">
        <f t="shared" si="51"/>
        <v>-9723.37117134443</v>
      </c>
      <c r="O85" s="10">
        <f t="shared" si="51"/>
        <v>-11334.147884214874</v>
      </c>
      <c r="P85" s="10">
        <f t="shared" si="51"/>
        <v>-12796.439200698673</v>
      </c>
      <c r="Q85" s="10">
        <f t="shared" si="51"/>
        <v>-14205.237328524792</v>
      </c>
      <c r="R85" s="10">
        <f t="shared" si="51"/>
        <v>-15473.480687225825</v>
      </c>
      <c r="S85" s="10">
        <f t="shared" si="51"/>
        <v>-16519.464486822711</v>
      </c>
      <c r="T85" s="10">
        <f t="shared" si="51"/>
        <v>-17465.254007867516</v>
      </c>
      <c r="U85" s="10">
        <f t="shared" si="51"/>
        <v>-18466.720145733809</v>
      </c>
      <c r="V85" s="10">
        <f t="shared" si="51"/>
        <v>-19527.233831116522</v>
      </c>
      <c r="W85" s="10">
        <f t="shared" si="51"/>
        <v>-20650.375638235091</v>
      </c>
    </row>
    <row r="86" spans="3:23" x14ac:dyDescent="0.4">
      <c r="C86" s="8" t="s">
        <v>416</v>
      </c>
      <c r="E86" s="158" t="s">
        <v>12</v>
      </c>
      <c r="F86" s="161"/>
      <c r="H86" s="7">
        <f>SUM(H80,H85)</f>
        <v>4358.4589999999989</v>
      </c>
      <c r="I86" s="7">
        <f t="shared" ref="I86:W86" si="52">SUM(I80,I85)</f>
        <v>4608.6930000000011</v>
      </c>
      <c r="J86" s="7">
        <f t="shared" si="52"/>
        <v>6805.3060000000014</v>
      </c>
      <c r="K86" s="7">
        <f t="shared" si="52"/>
        <v>7871.8070000000007</v>
      </c>
      <c r="L86" s="7">
        <f t="shared" si="52"/>
        <v>7776.9250000000011</v>
      </c>
      <c r="M86" s="7">
        <f t="shared" si="52"/>
        <v>7052.7910000000002</v>
      </c>
      <c r="N86" s="7">
        <f t="shared" si="52"/>
        <v>8279.0733876555732</v>
      </c>
      <c r="O86" s="7">
        <f t="shared" si="52"/>
        <v>9650.5872774351283</v>
      </c>
      <c r="P86" s="7">
        <f t="shared" si="52"/>
        <v>10895.671611866326</v>
      </c>
      <c r="Q86" s="7">
        <f t="shared" si="52"/>
        <v>12095.208571129759</v>
      </c>
      <c r="R86" s="7">
        <f t="shared" si="52"/>
        <v>13175.068596532949</v>
      </c>
      <c r="S86" s="7">
        <f t="shared" si="52"/>
        <v>14065.683228696998</v>
      </c>
      <c r="T86" s="7">
        <f t="shared" si="52"/>
        <v>14870.986319160307</v>
      </c>
      <c r="U86" s="7">
        <f t="shared" si="52"/>
        <v>15723.695889178773</v>
      </c>
      <c r="V86" s="7">
        <f t="shared" si="52"/>
        <v>16626.682155482391</v>
      </c>
      <c r="W86" s="7">
        <f t="shared" si="52"/>
        <v>17582.993838130322</v>
      </c>
    </row>
    <row r="87" spans="3:23" x14ac:dyDescent="0.4">
      <c r="C87" s="576" t="s">
        <v>417</v>
      </c>
      <c r="E87" s="598" t="s">
        <v>30</v>
      </c>
      <c r="H87" s="599">
        <f>H86/H80</f>
        <v>0.45148727013529405</v>
      </c>
      <c r="I87" s="599">
        <f t="shared" ref="I87:W87" si="53">I86/I80</f>
        <v>0.45881673744337342</v>
      </c>
      <c r="J87" s="599">
        <f t="shared" si="53"/>
        <v>0.46528348198261338</v>
      </c>
      <c r="K87" s="599">
        <f t="shared" si="53"/>
        <v>0.45694486440763271</v>
      </c>
      <c r="L87" s="599">
        <f t="shared" si="53"/>
        <v>0.4462184273176214</v>
      </c>
      <c r="M87" s="599">
        <f t="shared" si="53"/>
        <v>0.47317063778153751</v>
      </c>
      <c r="N87" s="599">
        <f t="shared" si="53"/>
        <v>0.45988606494647399</v>
      </c>
      <c r="O87" s="599">
        <f t="shared" si="53"/>
        <v>0.45988606494647394</v>
      </c>
      <c r="P87" s="599">
        <f t="shared" si="53"/>
        <v>0.45988606494647399</v>
      </c>
      <c r="Q87" s="599">
        <f t="shared" si="53"/>
        <v>0.45988606494647399</v>
      </c>
      <c r="R87" s="599">
        <f t="shared" si="53"/>
        <v>0.45988606494647399</v>
      </c>
      <c r="S87" s="599">
        <f t="shared" si="53"/>
        <v>0.45988606494647399</v>
      </c>
      <c r="T87" s="599">
        <f t="shared" si="53"/>
        <v>0.45988606494647394</v>
      </c>
      <c r="U87" s="599">
        <f t="shared" si="53"/>
        <v>0.45988606494647399</v>
      </c>
      <c r="V87" s="599">
        <f t="shared" si="53"/>
        <v>0.45988606494647394</v>
      </c>
      <c r="W87" s="599">
        <f t="shared" si="53"/>
        <v>0.45988606494647405</v>
      </c>
    </row>
    <row r="88" spans="3:23" x14ac:dyDescent="0.4">
      <c r="C88" s="576"/>
      <c r="E88" s="160"/>
      <c r="H88" s="6"/>
      <c r="I88" s="6"/>
      <c r="J88" s="6"/>
      <c r="K88" s="6"/>
      <c r="L88" s="6"/>
      <c r="M88" s="6"/>
    </row>
    <row r="89" spans="3:23" x14ac:dyDescent="0.4">
      <c r="C89" s="33" t="s">
        <v>2</v>
      </c>
      <c r="E89" s="47" t="s">
        <v>12</v>
      </c>
      <c r="F89" s="162"/>
      <c r="H89" s="6">
        <v>1191.32</v>
      </c>
      <c r="I89" s="6">
        <v>1252.412</v>
      </c>
      <c r="J89" s="6">
        <v>1493.4079999999999</v>
      </c>
      <c r="K89" s="6">
        <v>1604.248</v>
      </c>
      <c r="L89" s="6">
        <v>1727.162</v>
      </c>
      <c r="M89" s="6">
        <v>1902.444</v>
      </c>
      <c r="N89" s="6">
        <f t="shared" ref="N89:W89" si="54">N80*N50</f>
        <v>2700.3666838500003</v>
      </c>
      <c r="O89" s="6">
        <f t="shared" si="54"/>
        <v>3147.7102742475004</v>
      </c>
      <c r="P89" s="6">
        <f t="shared" si="54"/>
        <v>2645.8337399985371</v>
      </c>
      <c r="Q89" s="6">
        <f t="shared" si="54"/>
        <v>3053.6879480104449</v>
      </c>
      <c r="R89" s="6">
        <f t="shared" si="54"/>
        <v>3447.201724687226</v>
      </c>
      <c r="S89" s="6">
        <f t="shared" si="54"/>
        <v>3729.0126256936064</v>
      </c>
      <c r="T89" s="6">
        <f t="shared" si="54"/>
        <v>4066.3792876171578</v>
      </c>
      <c r="U89" s="6">
        <f t="shared" si="54"/>
        <v>4420.5102675817188</v>
      </c>
      <c r="V89" s="6">
        <f t="shared" si="54"/>
        <v>4639.9524411466664</v>
      </c>
      <c r="W89" s="6">
        <f t="shared" si="54"/>
        <v>4752.3197290863409</v>
      </c>
    </row>
    <row r="90" spans="3:23" x14ac:dyDescent="0.4">
      <c r="C90" s="33" t="s">
        <v>3</v>
      </c>
      <c r="E90" s="47" t="s">
        <v>12</v>
      </c>
      <c r="F90" s="162"/>
      <c r="H90" s="6">
        <v>702.40700000000004</v>
      </c>
      <c r="I90" s="6">
        <v>682.47900000000004</v>
      </c>
      <c r="J90" s="6">
        <v>829.875</v>
      </c>
      <c r="K90" s="6">
        <v>885.73699999999997</v>
      </c>
      <c r="L90" s="6">
        <v>832.75300000000004</v>
      </c>
      <c r="M90" s="6">
        <v>868.24699999999996</v>
      </c>
      <c r="N90" s="6">
        <f t="shared" ref="N90:W90" si="55">N80*N51</f>
        <v>1080.1466735400002</v>
      </c>
      <c r="O90" s="6">
        <f t="shared" si="55"/>
        <v>1468.9314613155002</v>
      </c>
      <c r="P90" s="6">
        <f t="shared" si="55"/>
        <v>1421.5266487539</v>
      </c>
      <c r="Q90" s="6">
        <f t="shared" si="55"/>
        <v>1555.6347991820285</v>
      </c>
      <c r="R90" s="6">
        <f t="shared" si="55"/>
        <v>1694.5218488665205</v>
      </c>
      <c r="S90" s="6">
        <f t="shared" si="55"/>
        <v>1809.0689528959706</v>
      </c>
      <c r="T90" s="6">
        <f t="shared" si="55"/>
        <v>1912.6436456386643</v>
      </c>
      <c r="U90" s="6">
        <f t="shared" si="55"/>
        <v>2022.3155601753447</v>
      </c>
      <c r="V90" s="6">
        <f t="shared" si="55"/>
        <v>2138.4538516966913</v>
      </c>
      <c r="W90" s="6">
        <f t="shared" si="55"/>
        <v>2261.4506337399862</v>
      </c>
    </row>
    <row r="91" spans="3:23" x14ac:dyDescent="0.4">
      <c r="C91" s="3" t="s">
        <v>16</v>
      </c>
      <c r="E91" s="47" t="s">
        <v>12</v>
      </c>
      <c r="F91" s="162"/>
      <c r="H91" s="10">
        <v>0</v>
      </c>
      <c r="I91" s="10">
        <v>0</v>
      </c>
      <c r="J91" s="10">
        <v>0</v>
      </c>
      <c r="K91" s="10">
        <v>0</v>
      </c>
      <c r="L91" s="10">
        <v>42.15</v>
      </c>
      <c r="M91" s="10">
        <v>18.187000000000001</v>
      </c>
      <c r="N91" s="140">
        <v>0</v>
      </c>
      <c r="O91" s="140">
        <v>0</v>
      </c>
      <c r="P91" s="140">
        <v>0</v>
      </c>
      <c r="Q91" s="140">
        <v>0</v>
      </c>
      <c r="R91" s="140">
        <v>0</v>
      </c>
      <c r="S91" s="140">
        <v>0</v>
      </c>
      <c r="T91" s="140">
        <v>0</v>
      </c>
      <c r="U91" s="140">
        <v>0</v>
      </c>
      <c r="V91" s="140">
        <v>0</v>
      </c>
      <c r="W91" s="140">
        <v>0</v>
      </c>
    </row>
    <row r="92" spans="3:23" x14ac:dyDescent="0.4">
      <c r="C92" s="8" t="s">
        <v>4</v>
      </c>
      <c r="E92" s="158" t="s">
        <v>12</v>
      </c>
      <c r="F92" s="161"/>
      <c r="H92" s="7">
        <f>-SUM(H89:H91)</f>
        <v>-1893.7269999999999</v>
      </c>
      <c r="I92" s="7">
        <f t="shared" ref="I92:W92" si="56">-SUM(I89:I91)</f>
        <v>-1934.8910000000001</v>
      </c>
      <c r="J92" s="7">
        <f t="shared" si="56"/>
        <v>-2323.2829999999999</v>
      </c>
      <c r="K92" s="7">
        <f t="shared" si="56"/>
        <v>-2489.9850000000001</v>
      </c>
      <c r="L92" s="7">
        <f t="shared" si="56"/>
        <v>-2602.0650000000001</v>
      </c>
      <c r="M92" s="7">
        <f t="shared" si="56"/>
        <v>-2788.8779999999997</v>
      </c>
      <c r="N92" s="7">
        <f t="shared" si="56"/>
        <v>-3780.5133573900002</v>
      </c>
      <c r="O92" s="7">
        <f t="shared" si="56"/>
        <v>-4616.6417355630001</v>
      </c>
      <c r="P92" s="7">
        <f t="shared" si="56"/>
        <v>-4067.3603887524368</v>
      </c>
      <c r="Q92" s="7">
        <f t="shared" si="56"/>
        <v>-4609.3227471924729</v>
      </c>
      <c r="R92" s="7">
        <f t="shared" si="56"/>
        <v>-5141.723573553747</v>
      </c>
      <c r="S92" s="7">
        <f t="shared" si="56"/>
        <v>-5538.0815785895775</v>
      </c>
      <c r="T92" s="7">
        <f t="shared" si="56"/>
        <v>-5979.022933255822</v>
      </c>
      <c r="U92" s="7">
        <f t="shared" si="56"/>
        <v>-6442.825827757064</v>
      </c>
      <c r="V92" s="7">
        <f t="shared" si="56"/>
        <v>-6778.4062928433577</v>
      </c>
      <c r="W92" s="7">
        <f t="shared" si="56"/>
        <v>-7013.7703628263271</v>
      </c>
    </row>
    <row r="93" spans="3:23" x14ac:dyDescent="0.4">
      <c r="C93" s="8"/>
      <c r="E93" s="160"/>
      <c r="H93" s="7"/>
      <c r="I93" s="7"/>
      <c r="J93" s="7"/>
      <c r="K93" s="7"/>
      <c r="L93" s="7"/>
      <c r="M93" s="7"/>
    </row>
    <row r="94" spans="3:23" x14ac:dyDescent="0.4">
      <c r="C94" s="8" t="s">
        <v>39</v>
      </c>
      <c r="E94" s="158" t="s">
        <v>12</v>
      </c>
      <c r="F94" s="161"/>
      <c r="H94" s="7">
        <f>SUM(H86,H92)</f>
        <v>2464.7319999999991</v>
      </c>
      <c r="I94" s="7">
        <f t="shared" ref="I94:W94" si="57">SUM(I86,I92)</f>
        <v>2673.802000000001</v>
      </c>
      <c r="J94" s="7">
        <f t="shared" si="57"/>
        <v>4482.023000000001</v>
      </c>
      <c r="K94" s="7">
        <f t="shared" si="57"/>
        <v>5381.8220000000001</v>
      </c>
      <c r="L94" s="7">
        <f t="shared" si="57"/>
        <v>5174.8600000000006</v>
      </c>
      <c r="M94" s="7">
        <f t="shared" si="57"/>
        <v>4263.9130000000005</v>
      </c>
      <c r="N94" s="7">
        <f t="shared" si="57"/>
        <v>4498.560030265573</v>
      </c>
      <c r="O94" s="7">
        <f t="shared" si="57"/>
        <v>5033.9455418721282</v>
      </c>
      <c r="P94" s="7">
        <f t="shared" si="57"/>
        <v>6828.3112231138894</v>
      </c>
      <c r="Q94" s="7">
        <f t="shared" si="57"/>
        <v>7485.8858239372857</v>
      </c>
      <c r="R94" s="7">
        <f t="shared" si="57"/>
        <v>8033.3450229792015</v>
      </c>
      <c r="S94" s="7">
        <f t="shared" si="57"/>
        <v>8527.6016501074209</v>
      </c>
      <c r="T94" s="7">
        <f t="shared" si="57"/>
        <v>8891.9633859044843</v>
      </c>
      <c r="U94" s="7">
        <f t="shared" si="57"/>
        <v>9280.8700614217087</v>
      </c>
      <c r="V94" s="7">
        <f t="shared" si="57"/>
        <v>9848.2758626390332</v>
      </c>
      <c r="W94" s="7">
        <f t="shared" si="57"/>
        <v>10569.223475303996</v>
      </c>
    </row>
    <row r="95" spans="3:23" x14ac:dyDescent="0.4">
      <c r="E95" s="160"/>
      <c r="H95" s="6"/>
      <c r="I95" s="6"/>
      <c r="J95" s="6"/>
      <c r="K95" s="6"/>
      <c r="L95" s="6"/>
      <c r="M95" s="6"/>
    </row>
    <row r="96" spans="3:23" x14ac:dyDescent="0.4">
      <c r="C96" s="11" t="s">
        <v>10</v>
      </c>
      <c r="E96" s="47" t="s">
        <v>12</v>
      </c>
      <c r="F96" s="162"/>
      <c r="H96" s="10">
        <v>-18.161000000000001</v>
      </c>
      <c r="I96" s="10">
        <v>-98.823999999999998</v>
      </c>
      <c r="J96" s="10">
        <v>-111.21899999999999</v>
      </c>
      <c r="K96" s="10">
        <v>-188.708</v>
      </c>
      <c r="L96" s="10">
        <v>-65.650000000000006</v>
      </c>
      <c r="M96" s="10">
        <v>96.308999999999997</v>
      </c>
      <c r="N96" s="10">
        <f t="shared" ref="N96:W96" si="58">N94*N53</f>
        <v>70.707025193757232</v>
      </c>
      <c r="O96" s="10">
        <f t="shared" si="58"/>
        <v>86.127088159092168</v>
      </c>
      <c r="P96" s="10">
        <f t="shared" si="58"/>
        <v>94.236069933057365</v>
      </c>
      <c r="Q96" s="10">
        <f t="shared" si="58"/>
        <v>89.569928724907058</v>
      </c>
      <c r="R96" s="10">
        <f t="shared" si="58"/>
        <v>65.19361879760703</v>
      </c>
      <c r="S96" s="10">
        <f t="shared" si="58"/>
        <v>62.708147129413099</v>
      </c>
      <c r="T96" s="10">
        <f t="shared" si="58"/>
        <v>109.75921118160858</v>
      </c>
      <c r="U96" s="10">
        <f t="shared" si="58"/>
        <v>109.34070048772476</v>
      </c>
      <c r="V96" s="10">
        <f t="shared" si="58"/>
        <v>107.28027016971156</v>
      </c>
      <c r="W96" s="10">
        <f t="shared" si="58"/>
        <v>110.01213362933555</v>
      </c>
    </row>
    <row r="97" spans="2:24" x14ac:dyDescent="0.4">
      <c r="C97" s="8" t="s">
        <v>5</v>
      </c>
      <c r="E97" s="158" t="s">
        <v>12</v>
      </c>
      <c r="F97" s="161"/>
      <c r="H97" s="7">
        <f>SUM(H94:H96)</f>
        <v>2446.570999999999</v>
      </c>
      <c r="I97" s="7">
        <f t="shared" ref="I97:W97" si="59">SUM(I94:I96)</f>
        <v>2574.978000000001</v>
      </c>
      <c r="J97" s="7">
        <f t="shared" si="59"/>
        <v>4370.804000000001</v>
      </c>
      <c r="K97" s="7">
        <f t="shared" si="59"/>
        <v>5193.1140000000005</v>
      </c>
      <c r="L97" s="7">
        <f t="shared" si="59"/>
        <v>5109.2100000000009</v>
      </c>
      <c r="M97" s="7">
        <f t="shared" si="59"/>
        <v>4360.2220000000007</v>
      </c>
      <c r="N97" s="7">
        <f t="shared" si="59"/>
        <v>4569.2670554593305</v>
      </c>
      <c r="O97" s="7">
        <f t="shared" si="59"/>
        <v>5120.0726300312199</v>
      </c>
      <c r="P97" s="7">
        <f t="shared" si="59"/>
        <v>6922.5472930469468</v>
      </c>
      <c r="Q97" s="7">
        <f t="shared" si="59"/>
        <v>7575.4557526621929</v>
      </c>
      <c r="R97" s="7">
        <f t="shared" si="59"/>
        <v>8098.5386417768086</v>
      </c>
      <c r="S97" s="7">
        <f t="shared" si="59"/>
        <v>8590.3097972368341</v>
      </c>
      <c r="T97" s="7">
        <f t="shared" si="59"/>
        <v>9001.7225970860927</v>
      </c>
      <c r="U97" s="7">
        <f t="shared" si="59"/>
        <v>9390.2107619094331</v>
      </c>
      <c r="V97" s="7">
        <f t="shared" si="59"/>
        <v>9955.5561328087442</v>
      </c>
      <c r="W97" s="7">
        <f t="shared" si="59"/>
        <v>10679.235608933332</v>
      </c>
    </row>
    <row r="98" spans="2:24" x14ac:dyDescent="0.4">
      <c r="E98" s="160"/>
      <c r="H98" s="6"/>
      <c r="I98" s="6"/>
      <c r="J98" s="6"/>
      <c r="K98" s="6"/>
      <c r="L98" s="6"/>
      <c r="M98" s="6"/>
    </row>
    <row r="99" spans="2:24" x14ac:dyDescent="0.4">
      <c r="C99" s="11" t="s">
        <v>6</v>
      </c>
      <c r="E99" s="47" t="s">
        <v>12</v>
      </c>
      <c r="F99" s="162"/>
      <c r="H99" s="10">
        <v>-255.14099999999999</v>
      </c>
      <c r="I99" s="10">
        <v>-323.22500000000002</v>
      </c>
      <c r="J99" s="10">
        <v>-462.346</v>
      </c>
      <c r="K99" s="10">
        <v>-587.82799999999997</v>
      </c>
      <c r="L99" s="10">
        <v>-598.279</v>
      </c>
      <c r="M99" s="10">
        <v>-532.45000000000005</v>
      </c>
      <c r="N99" s="10">
        <f t="shared" ref="N99:W99" si="60">-N97*Tax_Rate</f>
        <v>-557.97760840602166</v>
      </c>
      <c r="O99" s="10">
        <f t="shared" si="60"/>
        <v>-625.23941942867191</v>
      </c>
      <c r="P99" s="10">
        <f t="shared" si="60"/>
        <v>-845.34922904908206</v>
      </c>
      <c r="Q99" s="10">
        <f t="shared" si="60"/>
        <v>-925.07936878098963</v>
      </c>
      <c r="R99" s="10">
        <f t="shared" si="60"/>
        <v>-988.95581459248206</v>
      </c>
      <c r="S99" s="10">
        <f t="shared" si="60"/>
        <v>-1049.0086173453444</v>
      </c>
      <c r="T99" s="10">
        <f t="shared" si="60"/>
        <v>-1099.2484320336189</v>
      </c>
      <c r="U99" s="10">
        <f t="shared" si="60"/>
        <v>-1146.6887970792948</v>
      </c>
      <c r="V99" s="10">
        <f t="shared" si="60"/>
        <v>-1215.726140300658</v>
      </c>
      <c r="W99" s="10">
        <f t="shared" si="60"/>
        <v>-1304.0985069055089</v>
      </c>
    </row>
    <row r="100" spans="2:24" x14ac:dyDescent="0.4">
      <c r="C100" s="8" t="s">
        <v>7</v>
      </c>
      <c r="E100" s="158" t="s">
        <v>12</v>
      </c>
      <c r="F100" s="161"/>
      <c r="H100" s="7">
        <f>SUM(H97:H99)</f>
        <v>2191.4299999999989</v>
      </c>
      <c r="I100" s="7">
        <f t="shared" ref="I100:W100" si="61">SUM(I97:I99)</f>
        <v>2251.7530000000011</v>
      </c>
      <c r="J100" s="7">
        <f t="shared" si="61"/>
        <v>3908.458000000001</v>
      </c>
      <c r="K100" s="7">
        <f t="shared" si="61"/>
        <v>4605.2860000000001</v>
      </c>
      <c r="L100" s="7">
        <f t="shared" si="61"/>
        <v>4510.9310000000005</v>
      </c>
      <c r="M100" s="7">
        <f t="shared" si="61"/>
        <v>3827.7720000000008</v>
      </c>
      <c r="N100" s="7">
        <f t="shared" si="61"/>
        <v>4011.2894470533088</v>
      </c>
      <c r="O100" s="7">
        <f t="shared" si="61"/>
        <v>4494.8332106025482</v>
      </c>
      <c r="P100" s="7">
        <f t="shared" si="61"/>
        <v>6077.1980639978647</v>
      </c>
      <c r="Q100" s="7">
        <f t="shared" si="61"/>
        <v>6650.3763838812029</v>
      </c>
      <c r="R100" s="7">
        <f t="shared" si="61"/>
        <v>7109.5828271843266</v>
      </c>
      <c r="S100" s="7">
        <f t="shared" si="61"/>
        <v>7541.3011798914895</v>
      </c>
      <c r="T100" s="7">
        <f t="shared" si="61"/>
        <v>7902.4741650524738</v>
      </c>
      <c r="U100" s="7">
        <f t="shared" si="61"/>
        <v>8243.521964830139</v>
      </c>
      <c r="V100" s="7">
        <f t="shared" si="61"/>
        <v>8739.8299925080864</v>
      </c>
      <c r="W100" s="7">
        <f t="shared" si="61"/>
        <v>9375.137102027822</v>
      </c>
    </row>
    <row r="101" spans="2:24" x14ac:dyDescent="0.4">
      <c r="H101" s="6"/>
      <c r="I101" s="6"/>
      <c r="J101" s="6"/>
      <c r="K101" s="6"/>
      <c r="L101" s="6"/>
      <c r="M101" s="6"/>
    </row>
    <row r="102" spans="2:24" x14ac:dyDescent="0.4">
      <c r="C102" s="163" t="s">
        <v>283</v>
      </c>
      <c r="E102" s="158" t="s">
        <v>12</v>
      </c>
      <c r="H102" s="7">
        <f t="shared" ref="H102:W102" si="62">H100+H157</f>
        <v>2494.9209999999989</v>
      </c>
      <c r="I102" s="7">
        <f t="shared" si="62"/>
        <v>2484.2820000000011</v>
      </c>
      <c r="J102" s="7">
        <f t="shared" si="62"/>
        <v>4411.4220000000014</v>
      </c>
      <c r="K102" s="7">
        <f t="shared" si="62"/>
        <v>5252.6180000000004</v>
      </c>
      <c r="L102" s="7">
        <f t="shared" si="62"/>
        <v>5129.0520000000006</v>
      </c>
      <c r="M102" s="7">
        <f t="shared" si="62"/>
        <v>4455.4080000000013</v>
      </c>
      <c r="N102" s="7">
        <f t="shared" si="62"/>
        <v>4525.371998135859</v>
      </c>
      <c r="O102" s="7">
        <f t="shared" si="62"/>
        <v>5199.7613083705237</v>
      </c>
      <c r="P102" s="7">
        <f t="shared" si="62"/>
        <v>6875.5072426543338</v>
      </c>
      <c r="Q102" s="7">
        <f t="shared" si="62"/>
        <v>7529.038405219987</v>
      </c>
      <c r="R102" s="7">
        <f t="shared" si="62"/>
        <v>8051.3999361090573</v>
      </c>
      <c r="S102" s="7">
        <f t="shared" si="62"/>
        <v>8373.8992629638215</v>
      </c>
      <c r="T102" s="7">
        <f t="shared" si="62"/>
        <v>8682.2350429877006</v>
      </c>
      <c r="U102" s="7">
        <f t="shared" si="62"/>
        <v>8993.7926125183239</v>
      </c>
      <c r="V102" s="7">
        <f t="shared" si="62"/>
        <v>9476.6241423077718</v>
      </c>
      <c r="W102" s="7">
        <f t="shared" si="62"/>
        <v>10115.461712877252</v>
      </c>
    </row>
    <row r="103" spans="2:24" x14ac:dyDescent="0.4">
      <c r="H103" s="6"/>
      <c r="I103" s="6"/>
      <c r="J103" s="6"/>
      <c r="K103" s="6"/>
      <c r="L103" s="6"/>
      <c r="M103" s="6"/>
    </row>
    <row r="104" spans="2:24" x14ac:dyDescent="0.4">
      <c r="C104" s="4" t="s">
        <v>17</v>
      </c>
      <c r="H104" s="164">
        <v>1.3699999999999999</v>
      </c>
      <c r="I104" s="164">
        <v>1.51</v>
      </c>
      <c r="J104" s="164">
        <v>2.69</v>
      </c>
      <c r="K104" s="164">
        <v>3.2749999999999999</v>
      </c>
      <c r="L104" s="164">
        <v>3.3210000000000002</v>
      </c>
      <c r="M104" s="164">
        <v>2.9</v>
      </c>
      <c r="N104" s="164">
        <f t="shared" ref="N104:W104" si="63">N102/DilutedShares</f>
        <v>3.4938752176338248</v>
      </c>
      <c r="O104" s="164">
        <f t="shared" si="63"/>
        <v>4.0145466892911097</v>
      </c>
      <c r="P104" s="164">
        <f t="shared" si="63"/>
        <v>5.3083292099892168</v>
      </c>
      <c r="Q104" s="164">
        <f t="shared" si="63"/>
        <v>5.8128968640473015</v>
      </c>
      <c r="R104" s="164">
        <f t="shared" si="63"/>
        <v>6.2161932136447247</v>
      </c>
      <c r="S104" s="164">
        <f t="shared" si="63"/>
        <v>6.4651832207127855</v>
      </c>
      <c r="T104" s="164">
        <f t="shared" si="63"/>
        <v>6.7032380681328414</v>
      </c>
      <c r="U104" s="164">
        <f t="shared" si="63"/>
        <v>6.9437803421155504</v>
      </c>
      <c r="V104" s="164">
        <f t="shared" si="63"/>
        <v>7.3165570148219015</v>
      </c>
      <c r="W104" s="164">
        <f t="shared" si="63"/>
        <v>7.8097802806275727</v>
      </c>
    </row>
    <row r="105" spans="2:24" x14ac:dyDescent="0.4">
      <c r="H105" s="164"/>
      <c r="I105" s="164"/>
      <c r="J105" s="164"/>
      <c r="K105" s="164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  <c r="V105" s="164"/>
      <c r="W105" s="164"/>
    </row>
    <row r="106" spans="2:24" x14ac:dyDescent="0.4">
      <c r="C106" s="177" t="s">
        <v>179</v>
      </c>
      <c r="E106" s="178" t="s">
        <v>180</v>
      </c>
      <c r="H106" s="164"/>
      <c r="I106" s="164"/>
      <c r="J106" s="164"/>
      <c r="K106" s="164"/>
      <c r="L106" s="164"/>
      <c r="M106" s="164"/>
    </row>
    <row r="107" spans="2:24" x14ac:dyDescent="0.4">
      <c r="C107" s="177" t="s">
        <v>107</v>
      </c>
      <c r="E107" s="158" t="s">
        <v>30</v>
      </c>
      <c r="H107" s="141">
        <f t="shared" ref="H107:W107" si="64">H134/(H134+H144)</f>
        <v>0.48996231242969601</v>
      </c>
      <c r="I107" s="141">
        <f t="shared" si="64"/>
        <v>0.52905482445538043</v>
      </c>
      <c r="J107" s="141">
        <f t="shared" si="64"/>
        <v>0.45350811098507815</v>
      </c>
      <c r="K107" s="141">
        <f t="shared" si="64"/>
        <v>0.44361423711534265</v>
      </c>
      <c r="L107" s="141">
        <f t="shared" si="64"/>
        <v>0.37903870701171616</v>
      </c>
      <c r="M107" s="141">
        <f t="shared" si="64"/>
        <v>0.36851380055651256</v>
      </c>
      <c r="N107" s="141">
        <f t="shared" si="64"/>
        <v>0.33666272823900156</v>
      </c>
      <c r="O107" s="141">
        <f t="shared" si="64"/>
        <v>0.28775685570765908</v>
      </c>
      <c r="P107" s="141">
        <f t="shared" si="64"/>
        <v>0.23616539148277527</v>
      </c>
      <c r="Q107" s="141">
        <f t="shared" si="64"/>
        <v>0.19918872922165373</v>
      </c>
      <c r="R107" s="141">
        <f t="shared" si="64"/>
        <v>0.15609997128051908</v>
      </c>
      <c r="S107" s="141">
        <f t="shared" si="64"/>
        <v>0.12468417439475557</v>
      </c>
      <c r="T107" s="141">
        <f t="shared" si="64"/>
        <v>0.10162733736500494</v>
      </c>
      <c r="U107" s="141">
        <f t="shared" si="64"/>
        <v>8.4256696336912518E-2</v>
      </c>
      <c r="V107" s="141">
        <f t="shared" si="64"/>
        <v>7.0604272139834973E-2</v>
      </c>
      <c r="W107" s="141">
        <f t="shared" si="64"/>
        <v>5.9513364426529131E-2</v>
      </c>
    </row>
    <row r="108" spans="2:24" x14ac:dyDescent="0.4">
      <c r="H108" s="164"/>
      <c r="I108" s="164"/>
      <c r="J108" s="164"/>
      <c r="K108" s="164"/>
      <c r="L108" s="164"/>
      <c r="M108" s="164"/>
    </row>
    <row r="109" spans="2:24" x14ac:dyDescent="0.4">
      <c r="B109" s="152"/>
      <c r="C109" s="152"/>
      <c r="D109" s="152"/>
      <c r="E109" s="152"/>
      <c r="F109" s="152"/>
      <c r="G109" s="152"/>
      <c r="H109" s="154"/>
      <c r="I109" s="154"/>
      <c r="J109" s="155" t="s">
        <v>11</v>
      </c>
      <c r="K109" s="154"/>
      <c r="L109" s="154"/>
      <c r="M109" s="154"/>
      <c r="N109" s="156"/>
      <c r="O109" s="154"/>
      <c r="P109" s="154"/>
      <c r="Q109" s="154"/>
      <c r="R109" s="155" t="s">
        <v>122</v>
      </c>
      <c r="S109" s="154"/>
      <c r="T109" s="154"/>
      <c r="U109" s="154"/>
      <c r="V109" s="154"/>
      <c r="W109" s="154"/>
    </row>
    <row r="110" spans="2:24" x14ac:dyDescent="0.4">
      <c r="B110" s="151" t="s">
        <v>48</v>
      </c>
      <c r="C110" s="152"/>
      <c r="D110" s="152"/>
      <c r="E110" s="153" t="s">
        <v>9</v>
      </c>
      <c r="F110" s="157"/>
      <c r="G110" s="152"/>
      <c r="H110" s="2">
        <f t="shared" ref="H110:M110" si="65">H78</f>
        <v>43646</v>
      </c>
      <c r="I110" s="2">
        <f t="shared" si="65"/>
        <v>44012</v>
      </c>
      <c r="J110" s="2">
        <f t="shared" si="65"/>
        <v>44377</v>
      </c>
      <c r="K110" s="2">
        <f t="shared" si="65"/>
        <v>44742</v>
      </c>
      <c r="L110" s="2">
        <f t="shared" si="65"/>
        <v>45107</v>
      </c>
      <c r="M110" s="2">
        <f t="shared" si="65"/>
        <v>45473</v>
      </c>
      <c r="N110" s="81">
        <v>45838</v>
      </c>
      <c r="O110" s="2">
        <v>46203</v>
      </c>
      <c r="P110" s="2">
        <v>46568</v>
      </c>
      <c r="Q110" s="2">
        <v>46934</v>
      </c>
      <c r="R110" s="2">
        <v>47299</v>
      </c>
      <c r="S110" s="2">
        <v>47664</v>
      </c>
      <c r="T110" s="2">
        <v>48029</v>
      </c>
      <c r="U110" s="2">
        <v>48395</v>
      </c>
      <c r="V110" s="2">
        <v>48760</v>
      </c>
      <c r="W110" s="2">
        <v>49125</v>
      </c>
      <c r="X110" s="82"/>
    </row>
    <row r="111" spans="2:24" x14ac:dyDescent="0.4">
      <c r="H111" s="164"/>
      <c r="I111" s="164"/>
      <c r="J111" s="164"/>
      <c r="K111" s="164"/>
      <c r="L111" s="164"/>
      <c r="M111" s="164"/>
    </row>
    <row r="112" spans="2:24" x14ac:dyDescent="0.4">
      <c r="B112" s="42" t="s">
        <v>49</v>
      </c>
      <c r="C112" s="149"/>
      <c r="D112" s="43"/>
      <c r="E112" s="43"/>
      <c r="F112" s="43"/>
      <c r="G112" s="43"/>
      <c r="H112" s="43"/>
      <c r="I112" s="43"/>
      <c r="J112" s="165"/>
      <c r="K112" s="165"/>
      <c r="L112" s="165"/>
      <c r="M112" s="165"/>
      <c r="N112" s="165"/>
      <c r="O112" s="165"/>
      <c r="P112" s="165"/>
      <c r="Q112" s="165"/>
      <c r="R112" s="165"/>
      <c r="S112" s="165"/>
      <c r="T112" s="165"/>
      <c r="U112" s="165"/>
      <c r="V112" s="165"/>
      <c r="W112" s="165"/>
    </row>
    <row r="113" spans="2:25" x14ac:dyDescent="0.4">
      <c r="B113" s="44"/>
      <c r="C113" s="166"/>
      <c r="D113" s="45"/>
      <c r="E113" s="45"/>
      <c r="F113" s="45"/>
      <c r="G113" s="45"/>
      <c r="H113" s="45"/>
      <c r="I113" s="45"/>
      <c r="J113" s="167"/>
      <c r="K113" s="167"/>
      <c r="L113" s="167"/>
      <c r="M113" s="167"/>
    </row>
    <row r="114" spans="2:25" x14ac:dyDescent="0.4">
      <c r="C114" s="31" t="s">
        <v>50</v>
      </c>
      <c r="H114" s="7">
        <v>5431.2029999999995</v>
      </c>
      <c r="I114" s="7">
        <v>6710.2519999999995</v>
      </c>
      <c r="J114" s="7">
        <v>5729.1350000000002</v>
      </c>
      <c r="K114" s="7">
        <v>3657.732</v>
      </c>
      <c r="L114" s="7">
        <v>5337.0559999999996</v>
      </c>
      <c r="M114" s="7">
        <v>5847.8559999999998</v>
      </c>
      <c r="N114" s="7">
        <f>N195</f>
        <v>3275.271340348389</v>
      </c>
      <c r="O114" s="7">
        <f t="shared" ref="O114:W114" si="66">O195</f>
        <v>668.38696141099581</v>
      </c>
      <c r="P114" s="7">
        <f t="shared" si="66"/>
        <v>1384.3694145048325</v>
      </c>
      <c r="Q114" s="7">
        <f t="shared" si="66"/>
        <v>3069.0215113567019</v>
      </c>
      <c r="R114" s="7">
        <f t="shared" si="66"/>
        <v>6659.2034374325749</v>
      </c>
      <c r="S114" s="7">
        <f t="shared" si="66"/>
        <v>10535.338719938383</v>
      </c>
      <c r="T114" s="7">
        <f t="shared" si="66"/>
        <v>13534.655478398945</v>
      </c>
      <c r="U114" s="7">
        <f t="shared" si="66"/>
        <v>16658.940812449226</v>
      </c>
      <c r="V114" s="7">
        <f t="shared" si="66"/>
        <v>19793.73688326386</v>
      </c>
      <c r="W114" s="7">
        <f t="shared" si="66"/>
        <v>23198.756017606171</v>
      </c>
    </row>
    <row r="115" spans="2:25" x14ac:dyDescent="0.4">
      <c r="C115" s="33" t="s">
        <v>63</v>
      </c>
      <c r="H115" s="25">
        <v>1455.5219999999999</v>
      </c>
      <c r="I115" s="25">
        <v>2097.0990000000002</v>
      </c>
      <c r="J115" s="25">
        <v>3026.43</v>
      </c>
      <c r="K115" s="25">
        <v>4313.8180000000002</v>
      </c>
      <c r="L115" s="25">
        <v>2823.3760000000002</v>
      </c>
      <c r="M115" s="25">
        <v>2519.25</v>
      </c>
      <c r="N115" s="25">
        <f t="shared" ref="N115:W115" si="67">N58/(N78-EOMONTH(N78,-12))*N80</f>
        <v>3452.523614054795</v>
      </c>
      <c r="O115" s="25">
        <f t="shared" si="67"/>
        <v>4599.3940080328766</v>
      </c>
      <c r="P115" s="25">
        <f t="shared" si="67"/>
        <v>4868.2419477873282</v>
      </c>
      <c r="Q115" s="25">
        <f t="shared" si="67"/>
        <v>5030.1399261634388</v>
      </c>
      <c r="R115" s="25">
        <f t="shared" si="67"/>
        <v>5101.796447792658</v>
      </c>
      <c r="S115" s="25">
        <f t="shared" si="67"/>
        <v>5027.6955148799516</v>
      </c>
      <c r="T115" s="25">
        <f t="shared" si="67"/>
        <v>5315.5463551278608</v>
      </c>
      <c r="U115" s="25">
        <f t="shared" si="67"/>
        <v>5604.9862352315704</v>
      </c>
      <c r="V115" s="25">
        <f t="shared" si="67"/>
        <v>5943.109477249136</v>
      </c>
      <c r="W115" s="25">
        <f t="shared" si="67"/>
        <v>6284.9374481696568</v>
      </c>
      <c r="X115" s="75"/>
      <c r="Y115" s="75"/>
    </row>
    <row r="116" spans="2:25" x14ac:dyDescent="0.4">
      <c r="C116" s="33" t="s">
        <v>51</v>
      </c>
      <c r="H116" s="25">
        <v>1540.14</v>
      </c>
      <c r="I116" s="25">
        <v>1900.0239999999999</v>
      </c>
      <c r="J116" s="25">
        <v>2689.2939999999999</v>
      </c>
      <c r="K116" s="25">
        <v>3966.2939999999999</v>
      </c>
      <c r="L116" s="25">
        <v>4816.1899999999996</v>
      </c>
      <c r="M116" s="25">
        <v>4217.924</v>
      </c>
      <c r="N116" s="25">
        <f t="shared" ref="N116:W116" si="68">N59/(N78-EOMONTH(N78,-12))*N80</f>
        <v>5178.7854210821924</v>
      </c>
      <c r="O116" s="25">
        <f t="shared" si="68"/>
        <v>5749.2425100410965</v>
      </c>
      <c r="P116" s="25">
        <f t="shared" si="68"/>
        <v>6166.4398005306157</v>
      </c>
      <c r="Q116" s="25">
        <f t="shared" si="68"/>
        <v>6467.3227622101349</v>
      </c>
      <c r="R116" s="25">
        <f t="shared" si="68"/>
        <v>6671.5799701903989</v>
      </c>
      <c r="S116" s="25">
        <f t="shared" si="68"/>
        <v>6703.5940198399358</v>
      </c>
      <c r="T116" s="25">
        <f t="shared" si="68"/>
        <v>7087.3951401704817</v>
      </c>
      <c r="U116" s="25">
        <f t="shared" si="68"/>
        <v>7473.3149803087608</v>
      </c>
      <c r="V116" s="25">
        <f t="shared" si="68"/>
        <v>7924.1459696655147</v>
      </c>
      <c r="W116" s="25">
        <f t="shared" si="68"/>
        <v>8379.9165975595424</v>
      </c>
      <c r="X116" s="75"/>
      <c r="Y116" s="75"/>
    </row>
    <row r="117" spans="2:25" x14ac:dyDescent="0.4">
      <c r="C117" s="3" t="s">
        <v>52</v>
      </c>
      <c r="H117" s="40">
        <v>133.54400000000001</v>
      </c>
      <c r="I117" s="40">
        <v>146.16</v>
      </c>
      <c r="J117" s="40">
        <v>207.52799999999999</v>
      </c>
      <c r="K117" s="40">
        <v>347.39100000000002</v>
      </c>
      <c r="L117" s="40">
        <v>251.79</v>
      </c>
      <c r="M117" s="40">
        <v>298.19</v>
      </c>
      <c r="N117" s="40">
        <f t="shared" ref="N117:W117" si="69">-N92*N60</f>
        <v>364.5583601894765</v>
      </c>
      <c r="O117" s="40">
        <f t="shared" si="69"/>
        <v>445.18698430445011</v>
      </c>
      <c r="P117" s="40">
        <f t="shared" si="69"/>
        <v>392.21928173450817</v>
      </c>
      <c r="Q117" s="40">
        <f t="shared" si="69"/>
        <v>444.48120756294236</v>
      </c>
      <c r="R117" s="40">
        <f t="shared" si="69"/>
        <v>495.82110610936235</v>
      </c>
      <c r="S117" s="40">
        <f t="shared" si="69"/>
        <v>534.04227098935951</v>
      </c>
      <c r="T117" s="40">
        <f t="shared" si="69"/>
        <v>576.56264904400302</v>
      </c>
      <c r="U117" s="40">
        <f t="shared" si="69"/>
        <v>621.28758629094807</v>
      </c>
      <c r="V117" s="40">
        <f t="shared" si="69"/>
        <v>653.6479174148518</v>
      </c>
      <c r="W117" s="40">
        <f t="shared" si="69"/>
        <v>676.34428991484208</v>
      </c>
      <c r="X117" s="75"/>
      <c r="Y117" s="75"/>
    </row>
    <row r="118" spans="2:25" x14ac:dyDescent="0.4">
      <c r="C118" s="31" t="s">
        <v>64</v>
      </c>
      <c r="H118" s="7">
        <f t="shared" ref="H118:M118" si="70">SUM(H114:H117)</f>
        <v>8560.4089999999997</v>
      </c>
      <c r="I118" s="7">
        <f t="shared" si="70"/>
        <v>10853.534999999998</v>
      </c>
      <c r="J118" s="7">
        <f t="shared" si="70"/>
        <v>11652.387000000001</v>
      </c>
      <c r="K118" s="7">
        <f t="shared" si="70"/>
        <v>12285.235000000001</v>
      </c>
      <c r="L118" s="7">
        <f t="shared" si="70"/>
        <v>13228.412</v>
      </c>
      <c r="M118" s="7">
        <f t="shared" si="70"/>
        <v>12883.22</v>
      </c>
      <c r="N118" s="7">
        <f t="shared" ref="N118" si="71">SUM(N114:N117)</f>
        <v>12271.138735674853</v>
      </c>
      <c r="O118" s="7">
        <f t="shared" ref="O118" si="72">SUM(O114:O117)</f>
        <v>11462.210463789419</v>
      </c>
      <c r="P118" s="7">
        <f t="shared" ref="P118" si="73">SUM(P114:P117)</f>
        <v>12811.270444557284</v>
      </c>
      <c r="Q118" s="7">
        <f t="shared" ref="Q118" si="74">SUM(Q114:Q117)</f>
        <v>15010.965407293217</v>
      </c>
      <c r="R118" s="7">
        <f t="shared" ref="R118" si="75">SUM(R114:R117)</f>
        <v>18928.400961524992</v>
      </c>
      <c r="S118" s="7">
        <f t="shared" ref="S118" si="76">SUM(S114:S117)</f>
        <v>22800.670525647631</v>
      </c>
      <c r="T118" s="7">
        <f t="shared" ref="T118" si="77">SUM(T114:T117)</f>
        <v>26514.159622741296</v>
      </c>
      <c r="U118" s="7">
        <f t="shared" ref="U118" si="78">SUM(U114:U117)</f>
        <v>30358.529614280505</v>
      </c>
      <c r="V118" s="7">
        <f t="shared" ref="V118" si="79">SUM(V114:V117)</f>
        <v>34314.640247593365</v>
      </c>
      <c r="W118" s="7">
        <f t="shared" ref="W118" si="80">SUM(W114:W117)</f>
        <v>38539.954353250214</v>
      </c>
      <c r="X118" s="75"/>
      <c r="Y118" s="75"/>
    </row>
    <row r="119" spans="2:25" x14ac:dyDescent="0.4">
      <c r="C119" s="31"/>
      <c r="H119" s="25"/>
      <c r="I119" s="25"/>
      <c r="J119" s="25"/>
      <c r="K119" s="25"/>
      <c r="L119" s="25"/>
      <c r="M119" s="25"/>
      <c r="X119" s="75"/>
      <c r="Y119" s="75"/>
    </row>
    <row r="120" spans="2:25" x14ac:dyDescent="0.4">
      <c r="C120" s="33" t="s">
        <v>53</v>
      </c>
      <c r="H120" s="25">
        <v>1276.027</v>
      </c>
      <c r="I120" s="25">
        <v>1240.0309999999999</v>
      </c>
      <c r="J120" s="25">
        <v>1435.8440000000001</v>
      </c>
      <c r="K120" s="25">
        <v>1749.4369999999999</v>
      </c>
      <c r="L120" s="25">
        <v>2025.126</v>
      </c>
      <c r="M120" s="25">
        <v>2293.0630000000001</v>
      </c>
      <c r="N120" s="75">
        <f>Debt!K38</f>
        <v>2724.1087882649499</v>
      </c>
      <c r="O120" s="75">
        <f>Debt!L38</f>
        <v>3311.8403764546147</v>
      </c>
      <c r="P120" s="75">
        <f>Debt!M38</f>
        <v>3408.3504833236825</v>
      </c>
      <c r="Q120" s="75">
        <f>Debt!N38</f>
        <v>3451.5530114233925</v>
      </c>
      <c r="R120" s="75">
        <f>Debt!O38</f>
        <v>3435.2461457383356</v>
      </c>
      <c r="S120" s="75">
        <f>Debt!P38</f>
        <v>3488.7411152403347</v>
      </c>
      <c r="T120" s="75">
        <f>Debt!Q38</f>
        <v>3605.8336772934808</v>
      </c>
      <c r="U120" s="75">
        <f>Debt!R38</f>
        <v>3821.9869037688554</v>
      </c>
      <c r="V120" s="75">
        <f>Debt!S38</f>
        <v>4101.9536978956739</v>
      </c>
      <c r="W120" s="75">
        <f>Debt!T38</f>
        <v>4413.6946414701924</v>
      </c>
      <c r="X120" s="75"/>
      <c r="Y120" s="75"/>
    </row>
    <row r="121" spans="2:25" x14ac:dyDescent="0.4">
      <c r="C121" s="33" t="s">
        <v>54</v>
      </c>
      <c r="H121" s="25">
        <v>255.17699999999999</v>
      </c>
      <c r="I121" s="25">
        <v>253.911</v>
      </c>
      <c r="J121" s="25">
        <v>252.48699999999999</v>
      </c>
      <c r="K121" s="25">
        <v>251.53399999999999</v>
      </c>
      <c r="L121" s="25">
        <v>0</v>
      </c>
      <c r="M121" s="25">
        <v>0</v>
      </c>
      <c r="N121" s="79">
        <v>0</v>
      </c>
      <c r="O121" s="79">
        <v>0</v>
      </c>
      <c r="P121" s="79">
        <v>0</v>
      </c>
      <c r="Q121" s="79">
        <v>0</v>
      </c>
      <c r="R121" s="79">
        <v>0</v>
      </c>
      <c r="S121" s="79">
        <v>0</v>
      </c>
      <c r="T121" s="79">
        <v>0</v>
      </c>
      <c r="U121" s="79">
        <v>0</v>
      </c>
      <c r="V121" s="79">
        <v>0</v>
      </c>
      <c r="W121" s="79">
        <v>0</v>
      </c>
      <c r="X121" s="75"/>
      <c r="Y121" s="75"/>
    </row>
    <row r="122" spans="2:25" x14ac:dyDescent="0.4">
      <c r="C122" s="33" t="s">
        <v>55</v>
      </c>
      <c r="H122" s="25">
        <v>1484.597</v>
      </c>
      <c r="I122" s="25">
        <v>1484.4359999999999</v>
      </c>
      <c r="J122" s="25">
        <v>1490.134</v>
      </c>
      <c r="K122" s="25">
        <v>1515.1130000000001</v>
      </c>
      <c r="L122" s="25">
        <v>1622.489</v>
      </c>
      <c r="M122" s="25">
        <v>1626.528</v>
      </c>
      <c r="N122" s="80">
        <v>1626.528</v>
      </c>
      <c r="O122" s="80">
        <v>1626.528</v>
      </c>
      <c r="P122" s="80">
        <v>1626.528</v>
      </c>
      <c r="Q122" s="80">
        <v>1626.528</v>
      </c>
      <c r="R122" s="80">
        <v>1626.528</v>
      </c>
      <c r="S122" s="80">
        <v>1626.528</v>
      </c>
      <c r="T122" s="80">
        <v>1626.528</v>
      </c>
      <c r="U122" s="80">
        <v>1626.528</v>
      </c>
      <c r="V122" s="80">
        <v>1626.528</v>
      </c>
      <c r="W122" s="80">
        <v>1626.528</v>
      </c>
      <c r="X122" s="75"/>
      <c r="Y122" s="75"/>
    </row>
    <row r="123" spans="2:25" x14ac:dyDescent="0.4">
      <c r="C123" s="3" t="s">
        <v>121</v>
      </c>
      <c r="H123" s="40">
        <v>425.12299999999999</v>
      </c>
      <c r="I123" s="40">
        <v>727.13400000000001</v>
      </c>
      <c r="J123" s="40">
        <v>1061.3</v>
      </c>
      <c r="K123" s="40">
        <v>1394.3130000000001</v>
      </c>
      <c r="L123" s="40">
        <v>1905.616</v>
      </c>
      <c r="M123" s="40">
        <v>1941.9169999999999</v>
      </c>
      <c r="N123" s="176">
        <f t="shared" ref="N123:W123" si="81">N80*N61</f>
        <v>2700.3666838500003</v>
      </c>
      <c r="O123" s="176">
        <f t="shared" si="81"/>
        <v>2937.8629226310004</v>
      </c>
      <c r="P123" s="176">
        <f t="shared" si="81"/>
        <v>3079.9744056334498</v>
      </c>
      <c r="Q123" s="176">
        <f t="shared" si="81"/>
        <v>3156.0535079585461</v>
      </c>
      <c r="R123" s="176">
        <f t="shared" si="81"/>
        <v>3151.3404212134651</v>
      </c>
      <c r="S123" s="176">
        <f t="shared" si="81"/>
        <v>3058.5147715519711</v>
      </c>
      <c r="T123" s="176">
        <f t="shared" si="81"/>
        <v>3233.6240327027826</v>
      </c>
      <c r="U123" s="176">
        <f t="shared" si="81"/>
        <v>3419.0416034912582</v>
      </c>
      <c r="V123" s="176">
        <f t="shared" si="81"/>
        <v>3615.3915986598913</v>
      </c>
      <c r="W123" s="176">
        <f t="shared" si="81"/>
        <v>3823.3369476365415</v>
      </c>
      <c r="X123" s="75"/>
      <c r="Y123" s="75"/>
    </row>
    <row r="124" spans="2:25" x14ac:dyDescent="0.4">
      <c r="C124" s="31" t="s">
        <v>65</v>
      </c>
      <c r="H124" s="7">
        <f t="shared" ref="H124:M124" si="82">SUM(H118:H123)</f>
        <v>12001.332999999999</v>
      </c>
      <c r="I124" s="7">
        <f t="shared" si="82"/>
        <v>14559.046999999999</v>
      </c>
      <c r="J124" s="7">
        <f t="shared" si="82"/>
        <v>15892.151999999998</v>
      </c>
      <c r="K124" s="7">
        <f t="shared" si="82"/>
        <v>17195.631999999998</v>
      </c>
      <c r="L124" s="7">
        <f t="shared" si="82"/>
        <v>18781.643000000004</v>
      </c>
      <c r="M124" s="7">
        <f t="shared" si="82"/>
        <v>18744.727999999999</v>
      </c>
      <c r="N124" s="7">
        <f t="shared" ref="N124" si="83">SUM(N118:N123)</f>
        <v>19322.142207789802</v>
      </c>
      <c r="O124" s="7">
        <f t="shared" ref="O124" si="84">SUM(O118:O123)</f>
        <v>19338.441762875034</v>
      </c>
      <c r="P124" s="7">
        <f t="shared" ref="P124" si="85">SUM(P118:P123)</f>
        <v>20926.123333514413</v>
      </c>
      <c r="Q124" s="7">
        <f t="shared" ref="Q124" si="86">SUM(Q118:Q123)</f>
        <v>23245.099926675153</v>
      </c>
      <c r="R124" s="7">
        <f t="shared" ref="R124" si="87">SUM(R118:R123)</f>
        <v>27141.515528476793</v>
      </c>
      <c r="S124" s="7">
        <f t="shared" ref="S124" si="88">SUM(S118:S123)</f>
        <v>30974.454412439933</v>
      </c>
      <c r="T124" s="7">
        <f t="shared" ref="T124" si="89">SUM(T118:T123)</f>
        <v>34980.145332737557</v>
      </c>
      <c r="U124" s="7">
        <f t="shared" ref="U124" si="90">SUM(U118:U123)</f>
        <v>39226.086121540618</v>
      </c>
      <c r="V124" s="7">
        <f t="shared" ref="V124" si="91">SUM(V118:V123)</f>
        <v>43658.513544148926</v>
      </c>
      <c r="W124" s="7">
        <f t="shared" ref="W124" si="92">SUM(W118:W123)</f>
        <v>48403.513942356949</v>
      </c>
      <c r="X124" s="75"/>
      <c r="Y124" s="75"/>
    </row>
    <row r="125" spans="2:25" x14ac:dyDescent="0.4">
      <c r="H125" s="25"/>
      <c r="I125" s="25"/>
      <c r="J125" s="25"/>
      <c r="K125" s="25"/>
      <c r="L125" s="25"/>
      <c r="M125" s="25"/>
      <c r="X125" s="75"/>
      <c r="Y125" s="75"/>
    </row>
    <row r="126" spans="2:25" x14ac:dyDescent="0.4">
      <c r="B126" s="42" t="s">
        <v>56</v>
      </c>
      <c r="C126" s="149"/>
      <c r="D126" s="43"/>
      <c r="E126" s="43"/>
      <c r="F126" s="43"/>
      <c r="G126" s="43"/>
      <c r="H126" s="43"/>
      <c r="I126" s="43"/>
      <c r="J126" s="165"/>
      <c r="K126" s="165"/>
      <c r="L126" s="165"/>
      <c r="M126" s="165"/>
      <c r="N126" s="165"/>
      <c r="O126" s="165"/>
      <c r="P126" s="165"/>
      <c r="Q126" s="165"/>
      <c r="R126" s="165"/>
      <c r="S126" s="165"/>
      <c r="T126" s="165"/>
      <c r="U126" s="165"/>
      <c r="V126" s="165"/>
      <c r="W126" s="165"/>
      <c r="X126" s="75"/>
      <c r="Y126" s="75"/>
    </row>
    <row r="127" spans="2:25" x14ac:dyDescent="0.4">
      <c r="B127" s="44"/>
      <c r="C127" s="166"/>
      <c r="D127" s="45"/>
      <c r="E127" s="45"/>
      <c r="F127" s="45"/>
      <c r="G127" s="45"/>
      <c r="H127" s="45"/>
      <c r="I127" s="45"/>
      <c r="J127" s="167"/>
      <c r="K127" s="167"/>
      <c r="L127" s="167"/>
      <c r="M127" s="167"/>
      <c r="X127" s="75"/>
      <c r="Y127" s="75"/>
    </row>
    <row r="128" spans="2:25" x14ac:dyDescent="0.4">
      <c r="C128" s="33" t="s">
        <v>94</v>
      </c>
      <c r="H128" s="25">
        <v>376.56099999999998</v>
      </c>
      <c r="I128" s="25">
        <v>592.38699999999994</v>
      </c>
      <c r="J128" s="25">
        <v>829.71</v>
      </c>
      <c r="K128" s="25">
        <v>1011.208</v>
      </c>
      <c r="L128" s="25">
        <v>470.702</v>
      </c>
      <c r="M128" s="25">
        <v>613.96600000000001</v>
      </c>
      <c r="N128" s="25">
        <f t="shared" ref="N128:W128" si="93">N65/(N78-EOMONTH(N78,-12))*N80</f>
        <v>838.47002055616463</v>
      </c>
      <c r="O128" s="25">
        <f t="shared" si="93"/>
        <v>1092.3560769078083</v>
      </c>
      <c r="P128" s="25">
        <f t="shared" si="93"/>
        <v>1233.2879601061234</v>
      </c>
      <c r="Q128" s="25">
        <f t="shared" si="93"/>
        <v>1293.4645524420271</v>
      </c>
      <c r="R128" s="25">
        <f t="shared" si="93"/>
        <v>1334.3159940380799</v>
      </c>
      <c r="S128" s="25">
        <f t="shared" si="93"/>
        <v>1340.7188039679872</v>
      </c>
      <c r="T128" s="25">
        <f t="shared" si="93"/>
        <v>1417.4790280340962</v>
      </c>
      <c r="U128" s="25">
        <f t="shared" si="93"/>
        <v>1494.6629960617522</v>
      </c>
      <c r="V128" s="25">
        <f t="shared" si="93"/>
        <v>1584.8291939331029</v>
      </c>
      <c r="W128" s="25">
        <f t="shared" si="93"/>
        <v>1675.9833195119086</v>
      </c>
      <c r="X128" s="75"/>
      <c r="Y128" s="75"/>
    </row>
    <row r="129" spans="2:31" x14ac:dyDescent="0.4">
      <c r="C129" s="33" t="s">
        <v>57</v>
      </c>
      <c r="H129" s="25">
        <v>946.64099999999996</v>
      </c>
      <c r="I129" s="25">
        <v>1272.655</v>
      </c>
      <c r="J129" s="25">
        <v>1719.4829999999999</v>
      </c>
      <c r="K129" s="25">
        <v>1974.2719999999999</v>
      </c>
      <c r="L129" s="25">
        <v>2010.6369999999999</v>
      </c>
      <c r="M129" s="25">
        <v>1801.877</v>
      </c>
      <c r="N129" s="25">
        <f t="shared" ref="N129:W129" si="94">-N92*N66</f>
        <v>2589.2854042456111</v>
      </c>
      <c r="O129" s="25">
        <f t="shared" si="94"/>
        <v>3231.6492148940997</v>
      </c>
      <c r="P129" s="25">
        <f t="shared" si="94"/>
        <v>2765.8050643516567</v>
      </c>
      <c r="Q129" s="25">
        <f t="shared" si="94"/>
        <v>3042.1530131470317</v>
      </c>
      <c r="R129" s="25">
        <f t="shared" si="94"/>
        <v>3290.7030870743974</v>
      </c>
      <c r="S129" s="25">
        <f t="shared" si="94"/>
        <v>3433.6105787255374</v>
      </c>
      <c r="T129" s="25">
        <f t="shared" si="94"/>
        <v>3587.4137599534924</v>
      </c>
      <c r="U129" s="25">
        <f t="shared" si="94"/>
        <v>3865.6954966542376</v>
      </c>
      <c r="V129" s="25">
        <f t="shared" si="94"/>
        <v>4067.0437757060135</v>
      </c>
      <c r="W129" s="25">
        <f t="shared" si="94"/>
        <v>4208.2622176957957</v>
      </c>
      <c r="X129" s="75"/>
      <c r="Y129" s="75"/>
    </row>
    <row r="130" spans="2:31" x14ac:dyDescent="0.4">
      <c r="C130" s="3" t="s">
        <v>58</v>
      </c>
      <c r="H130" s="40">
        <v>381.31700000000001</v>
      </c>
      <c r="I130" s="40">
        <v>457.52300000000002</v>
      </c>
      <c r="J130" s="40">
        <v>967.32500000000005</v>
      </c>
      <c r="K130" s="40">
        <v>1571.8979999999999</v>
      </c>
      <c r="L130" s="40">
        <v>1695.221</v>
      </c>
      <c r="M130" s="40">
        <v>1417.7809999999999</v>
      </c>
      <c r="N130" s="40">
        <f t="shared" ref="N130:W130" si="95">N80*N67</f>
        <v>1800.2444559000005</v>
      </c>
      <c r="O130" s="40">
        <f t="shared" si="95"/>
        <v>1888.6261645485004</v>
      </c>
      <c r="P130" s="40">
        <f t="shared" si="95"/>
        <v>1895.3688650052002</v>
      </c>
      <c r="Q130" s="40">
        <f t="shared" si="95"/>
        <v>1841.031212975819</v>
      </c>
      <c r="R130" s="40">
        <f t="shared" si="95"/>
        <v>2005.3984498631148</v>
      </c>
      <c r="S130" s="40">
        <f t="shared" si="95"/>
        <v>2140.9603400863803</v>
      </c>
      <c r="T130" s="40">
        <f t="shared" si="95"/>
        <v>2263.5368228919483</v>
      </c>
      <c r="U130" s="40">
        <f t="shared" si="95"/>
        <v>2393.3291224438813</v>
      </c>
      <c r="V130" s="40">
        <f t="shared" si="95"/>
        <v>2530.7741190619245</v>
      </c>
      <c r="W130" s="40">
        <f t="shared" si="95"/>
        <v>2676.3358633455796</v>
      </c>
      <c r="X130" s="75"/>
      <c r="Y130" s="75"/>
    </row>
    <row r="131" spans="2:31" x14ac:dyDescent="0.4">
      <c r="C131" s="31" t="s">
        <v>66</v>
      </c>
      <c r="H131" s="7">
        <f t="shared" ref="H131:M131" si="96">SUM(H128:H130)</f>
        <v>1704.519</v>
      </c>
      <c r="I131" s="7">
        <f t="shared" si="96"/>
        <v>2322.5650000000001</v>
      </c>
      <c r="J131" s="7">
        <f t="shared" si="96"/>
        <v>3516.518</v>
      </c>
      <c r="K131" s="7">
        <f t="shared" si="96"/>
        <v>4557.3779999999997</v>
      </c>
      <c r="L131" s="7">
        <f t="shared" si="96"/>
        <v>4176.5599999999995</v>
      </c>
      <c r="M131" s="7">
        <f t="shared" si="96"/>
        <v>3833.6239999999998</v>
      </c>
      <c r="N131" s="7">
        <f t="shared" ref="N131" si="97">SUM(N128:N130)</f>
        <v>5227.9998807017764</v>
      </c>
      <c r="O131" s="7">
        <f t="shared" ref="O131" si="98">SUM(O128:O130)</f>
        <v>6212.6314563504084</v>
      </c>
      <c r="P131" s="7">
        <f t="shared" ref="P131" si="99">SUM(P128:P130)</f>
        <v>5894.4618894629803</v>
      </c>
      <c r="Q131" s="7">
        <f t="shared" ref="Q131" si="100">SUM(Q128:Q130)</f>
        <v>6176.6487785648769</v>
      </c>
      <c r="R131" s="7">
        <f t="shared" ref="R131" si="101">SUM(R128:R130)</f>
        <v>6630.4175309755919</v>
      </c>
      <c r="S131" s="7">
        <f t="shared" ref="S131" si="102">SUM(S128:S130)</f>
        <v>6915.289722779904</v>
      </c>
      <c r="T131" s="7">
        <f t="shared" ref="T131" si="103">SUM(T128:T130)</f>
        <v>7268.429610879537</v>
      </c>
      <c r="U131" s="7">
        <f t="shared" ref="U131" si="104">SUM(U128:U130)</f>
        <v>7753.6876151598717</v>
      </c>
      <c r="V131" s="7">
        <f t="shared" ref="V131" si="105">SUM(V128:V130)</f>
        <v>8182.647088701041</v>
      </c>
      <c r="W131" s="7">
        <f t="shared" ref="W131" si="106">SUM(W128:W130)</f>
        <v>8560.5814005532829</v>
      </c>
      <c r="X131" s="75"/>
      <c r="Y131" s="75"/>
    </row>
    <row r="132" spans="2:31" x14ac:dyDescent="0.4">
      <c r="H132" s="25"/>
      <c r="I132" s="25"/>
      <c r="J132" s="25"/>
      <c r="K132" s="25"/>
      <c r="L132" s="25"/>
      <c r="M132" s="25"/>
      <c r="X132" s="75"/>
      <c r="Y132" s="75"/>
    </row>
    <row r="133" spans="2:31" x14ac:dyDescent="0.4">
      <c r="H133" s="25"/>
      <c r="I133" s="25"/>
      <c r="J133" s="25"/>
      <c r="K133" s="25"/>
      <c r="L133" s="25"/>
      <c r="M133" s="25"/>
      <c r="X133" s="75"/>
      <c r="Y133" s="75"/>
    </row>
    <row r="134" spans="2:31" x14ac:dyDescent="0.4">
      <c r="C134" s="33" t="s">
        <v>93</v>
      </c>
      <c r="H134" s="25">
        <v>4489.8990000000003</v>
      </c>
      <c r="I134" s="25">
        <v>5810.7250000000004</v>
      </c>
      <c r="J134" s="25">
        <v>5001.6819999999998</v>
      </c>
      <c r="K134" s="25">
        <v>5005.83</v>
      </c>
      <c r="L134" s="25">
        <v>5011.5410000000002</v>
      </c>
      <c r="M134" s="25">
        <v>4983.3340000000007</v>
      </c>
      <c r="N134" s="25">
        <f>Debt!K17</f>
        <v>4234.223380960615</v>
      </c>
      <c r="O134" s="25">
        <f>Debt!L17</f>
        <v>3268.1679758739751</v>
      </c>
      <c r="P134" s="25">
        <f>Debt!M17</f>
        <v>3078.4372118127003</v>
      </c>
      <c r="Q134" s="25">
        <f>Debt!N17</f>
        <v>2958.365263265503</v>
      </c>
      <c r="R134" s="25">
        <f>Debt!O17</f>
        <v>2824.9162185695855</v>
      </c>
      <c r="S134" s="25">
        <f>Debt!P17</f>
        <v>2678.4288538985866</v>
      </c>
      <c r="T134" s="25">
        <f>Debt!Q17</f>
        <v>2539.330809157078</v>
      </c>
      <c r="U134" s="25">
        <f>Debt!R17</f>
        <v>2408.9932189310348</v>
      </c>
      <c r="V134" s="25">
        <f>Debt!S17</f>
        <v>2289.6343853559483</v>
      </c>
      <c r="W134" s="25">
        <f>Debt!T17</f>
        <v>2179.4357583461356</v>
      </c>
      <c r="X134" s="75"/>
      <c r="Y134" s="75"/>
    </row>
    <row r="135" spans="2:31" x14ac:dyDescent="0.4">
      <c r="C135" s="33" t="s">
        <v>59</v>
      </c>
      <c r="H135" s="25">
        <v>892.79</v>
      </c>
      <c r="I135" s="25">
        <v>909.70899999999995</v>
      </c>
      <c r="J135" s="25">
        <v>948.03700000000003</v>
      </c>
      <c r="K135" s="25">
        <v>931.11699999999996</v>
      </c>
      <c r="L135" s="25">
        <v>882.08399999999995</v>
      </c>
      <c r="M135" s="25">
        <v>813.30399999999997</v>
      </c>
      <c r="N135" s="25">
        <f t="shared" ref="N135:W135" si="107">N80*N69</f>
        <v>982.29325759245262</v>
      </c>
      <c r="O135" s="25">
        <f t="shared" si="107"/>
        <v>1145.0202662252821</v>
      </c>
      <c r="P135" s="25">
        <f t="shared" si="107"/>
        <v>1292.7466952081859</v>
      </c>
      <c r="Q135" s="25">
        <f t="shared" si="107"/>
        <v>1435.0690315549455</v>
      </c>
      <c r="R135" s="25">
        <f t="shared" si="107"/>
        <v>1563.1919714577095</v>
      </c>
      <c r="S135" s="25">
        <f t="shared" si="107"/>
        <v>1668.8613751849862</v>
      </c>
      <c r="T135" s="25">
        <f t="shared" si="107"/>
        <v>1764.4087582121681</v>
      </c>
      <c r="U135" s="25">
        <f t="shared" si="107"/>
        <v>1865.5808123894637</v>
      </c>
      <c r="V135" s="25">
        <f t="shared" si="107"/>
        <v>1972.7180824142924</v>
      </c>
      <c r="W135" s="25">
        <f t="shared" si="107"/>
        <v>2086.1822919987376</v>
      </c>
      <c r="X135" s="75"/>
      <c r="Y135" s="75"/>
    </row>
    <row r="136" spans="2:31" x14ac:dyDescent="0.4">
      <c r="C136" s="3" t="s">
        <v>60</v>
      </c>
      <c r="H136" s="40">
        <v>240.2600000000003</v>
      </c>
      <c r="I136" s="40">
        <v>343.55399999999719</v>
      </c>
      <c r="J136" s="40">
        <v>398.72699999999998</v>
      </c>
      <c r="K136" s="40">
        <v>422.94099999999997</v>
      </c>
      <c r="L136" s="40">
        <v>501.286</v>
      </c>
      <c r="M136" s="40">
        <v>575.01199999999994</v>
      </c>
      <c r="N136" s="40">
        <f t="shared" ref="N136:W136" si="108">N80*N70</f>
        <v>534.80080784575637</v>
      </c>
      <c r="O136" s="40">
        <f t="shared" si="108"/>
        <v>623.39607713270823</v>
      </c>
      <c r="P136" s="40">
        <f t="shared" si="108"/>
        <v>703.82441454577452</v>
      </c>
      <c r="Q136" s="40">
        <f t="shared" si="108"/>
        <v>781.31054189565975</v>
      </c>
      <c r="R136" s="40">
        <f t="shared" si="108"/>
        <v>851.0659344263089</v>
      </c>
      <c r="S136" s="40">
        <f t="shared" si="108"/>
        <v>908.59669933905491</v>
      </c>
      <c r="T136" s="40">
        <f t="shared" si="108"/>
        <v>960.61662031023741</v>
      </c>
      <c r="U136" s="40">
        <f t="shared" si="108"/>
        <v>1015.6988433502748</v>
      </c>
      <c r="V136" s="40">
        <f t="shared" si="108"/>
        <v>1074.0287749840309</v>
      </c>
      <c r="W136" s="40">
        <f t="shared" si="108"/>
        <v>1135.8033524621117</v>
      </c>
      <c r="X136" s="75"/>
      <c r="Y136" s="75"/>
    </row>
    <row r="137" spans="2:31" x14ac:dyDescent="0.4">
      <c r="C137" s="31" t="s">
        <v>67</v>
      </c>
      <c r="H137" s="7">
        <f>SUM(H131:H136)</f>
        <v>7327.4680000000008</v>
      </c>
      <c r="I137" s="7">
        <f t="shared" ref="I137:W137" si="109">SUM(I131:I136)</f>
        <v>9386.5529999999981</v>
      </c>
      <c r="J137" s="7">
        <f t="shared" si="109"/>
        <v>9864.9640000000018</v>
      </c>
      <c r="K137" s="7">
        <f t="shared" si="109"/>
        <v>10917.266</v>
      </c>
      <c r="L137" s="7">
        <f t="shared" si="109"/>
        <v>10571.471</v>
      </c>
      <c r="M137" s="7">
        <f t="shared" si="109"/>
        <v>10205.274000000001</v>
      </c>
      <c r="N137" s="7">
        <f t="shared" si="109"/>
        <v>10979.317327100602</v>
      </c>
      <c r="O137" s="7">
        <f t="shared" si="109"/>
        <v>11249.215775582372</v>
      </c>
      <c r="P137" s="7">
        <f t="shared" si="109"/>
        <v>10969.47021102964</v>
      </c>
      <c r="Q137" s="7">
        <f t="shared" si="109"/>
        <v>11351.393615280986</v>
      </c>
      <c r="R137" s="7">
        <f t="shared" si="109"/>
        <v>11869.591655429196</v>
      </c>
      <c r="S137" s="7">
        <f t="shared" si="109"/>
        <v>12171.176651202532</v>
      </c>
      <c r="T137" s="7">
        <f t="shared" si="109"/>
        <v>12532.78579855902</v>
      </c>
      <c r="U137" s="7">
        <f t="shared" si="109"/>
        <v>13043.960489830646</v>
      </c>
      <c r="V137" s="7">
        <f t="shared" si="109"/>
        <v>13519.028331455313</v>
      </c>
      <c r="W137" s="7">
        <f t="shared" si="109"/>
        <v>13962.002803360267</v>
      </c>
      <c r="X137" s="75"/>
      <c r="Y137" s="75"/>
    </row>
    <row r="138" spans="2:31" x14ac:dyDescent="0.4">
      <c r="H138" s="25"/>
      <c r="I138" s="25"/>
      <c r="J138" s="25"/>
      <c r="K138" s="25"/>
      <c r="L138" s="25"/>
      <c r="M138" s="25"/>
      <c r="X138" s="75"/>
      <c r="Y138" s="75"/>
    </row>
    <row r="139" spans="2:31" x14ac:dyDescent="0.4">
      <c r="B139" s="42" t="s">
        <v>61</v>
      </c>
      <c r="C139" s="149"/>
      <c r="D139" s="43"/>
      <c r="E139" s="43"/>
      <c r="F139" s="43"/>
      <c r="G139" s="43"/>
      <c r="H139" s="43"/>
      <c r="I139" s="43"/>
      <c r="J139" s="165"/>
      <c r="K139" s="165"/>
      <c r="L139" s="165"/>
      <c r="M139" s="165"/>
      <c r="N139" s="165"/>
      <c r="O139" s="165"/>
      <c r="P139" s="165"/>
      <c r="Q139" s="165"/>
      <c r="R139" s="165"/>
      <c r="S139" s="165"/>
      <c r="T139" s="165"/>
      <c r="U139" s="165"/>
      <c r="V139" s="165"/>
      <c r="W139" s="165"/>
      <c r="X139" s="75"/>
      <c r="Y139" s="75"/>
    </row>
    <row r="140" spans="2:31" x14ac:dyDescent="0.4">
      <c r="X140" s="75"/>
      <c r="Y140" s="75"/>
    </row>
    <row r="141" spans="2:31" x14ac:dyDescent="0.4">
      <c r="C141" s="33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75"/>
      <c r="Y141" s="75"/>
      <c r="Z141" s="25"/>
      <c r="AA141" s="25"/>
      <c r="AB141" s="25"/>
      <c r="AC141" s="25"/>
      <c r="AD141" s="25"/>
      <c r="AE141" s="25"/>
    </row>
    <row r="142" spans="2:31" x14ac:dyDescent="0.4">
      <c r="C142" s="33" t="s">
        <v>68</v>
      </c>
      <c r="H142" s="25">
        <v>-11602.573</v>
      </c>
      <c r="I142" s="25">
        <v>-12949.888999999999</v>
      </c>
      <c r="J142" s="25">
        <v>-15646.700999999999</v>
      </c>
      <c r="K142" s="25">
        <v>-19481.429</v>
      </c>
      <c r="L142" s="25">
        <v>-21530.352999999999</v>
      </c>
      <c r="M142" s="25">
        <v>-24366.866000000002</v>
      </c>
      <c r="N142" s="75">
        <f t="shared" ref="N142:W142" si="110">M142+N185</f>
        <v>-28097.202488002815</v>
      </c>
      <c r="O142" s="75">
        <f t="shared" si="110"/>
        <v>-32294.149520332816</v>
      </c>
      <c r="P142" s="75">
        <f t="shared" si="110"/>
        <v>-35847.966142217563</v>
      </c>
      <c r="Q142" s="75">
        <f t="shared" si="110"/>
        <v>-39793.033027165744</v>
      </c>
      <c r="R142" s="75">
        <f t="shared" si="110"/>
        <v>-42657.887955541621</v>
      </c>
      <c r="S142" s="75">
        <f t="shared" si="110"/>
        <v>-45716.402727093591</v>
      </c>
      <c r="T142" s="75">
        <f t="shared" si="110"/>
        <v>-48950.026759796376</v>
      </c>
      <c r="U142" s="75">
        <f t="shared" si="110"/>
        <v>-52369.068363287632</v>
      </c>
      <c r="V142" s="75">
        <f t="shared" si="110"/>
        <v>-55984.459961947519</v>
      </c>
      <c r="W142" s="75">
        <f t="shared" si="110"/>
        <v>-59807.79690958406</v>
      </c>
      <c r="X142" s="75"/>
      <c r="Y142" s="75"/>
    </row>
    <row r="143" spans="2:31" x14ac:dyDescent="0.4">
      <c r="C143" s="3" t="s">
        <v>62</v>
      </c>
      <c r="H143" s="40">
        <v>16276.438</v>
      </c>
      <c r="I143" s="40">
        <v>18122.383000000002</v>
      </c>
      <c r="J143" s="40">
        <v>21673.889000000003</v>
      </c>
      <c r="K143" s="40">
        <v>25759.794999999998</v>
      </c>
      <c r="L143" s="40">
        <v>29740.525000000001</v>
      </c>
      <c r="M143" s="40">
        <v>32906.32</v>
      </c>
      <c r="N143" s="176">
        <f>M143+N155+N159+N164+SUM(N177:N179)+SUM(N186:N187)+SUM(N190:N191)</f>
        <v>36440.027368692005</v>
      </c>
      <c r="O143" s="176">
        <f t="shared" ref="O143:W143" si="111">N143+O155+O159+O164+SUM(O177:O179)+SUM(O186:O187)+SUM(O190:O191)</f>
        <v>40383.37550762546</v>
      </c>
      <c r="P143" s="176">
        <f t="shared" si="111"/>
        <v>45804.619264702327</v>
      </c>
      <c r="Q143" s="176">
        <f t="shared" si="111"/>
        <v>51686.739338559899</v>
      </c>
      <c r="R143" s="176">
        <f t="shared" si="111"/>
        <v>57929.811828589198</v>
      </c>
      <c r="S143" s="176">
        <f t="shared" si="111"/>
        <v>64519.680488330967</v>
      </c>
      <c r="T143" s="176">
        <f t="shared" si="111"/>
        <v>71397.386293974894</v>
      </c>
      <c r="U143" s="176">
        <f t="shared" si="111"/>
        <v>78551.193994997608</v>
      </c>
      <c r="V143" s="176">
        <f t="shared" si="111"/>
        <v>86123.945174641151</v>
      </c>
      <c r="W143" s="176">
        <f t="shared" si="111"/>
        <v>94249.308048580759</v>
      </c>
      <c r="X143" s="75"/>
      <c r="Y143" s="75"/>
      <c r="Z143" s="25"/>
      <c r="AA143" s="25"/>
      <c r="AB143" s="25"/>
      <c r="AC143" s="25"/>
      <c r="AD143" s="25"/>
      <c r="AE143" s="25"/>
    </row>
    <row r="144" spans="2:31" x14ac:dyDescent="0.4">
      <c r="C144" s="31" t="s">
        <v>69</v>
      </c>
      <c r="H144" s="7">
        <f t="shared" ref="H144:W144" si="112">SUM(H140:H143)</f>
        <v>4673.8649999999998</v>
      </c>
      <c r="I144" s="7">
        <f t="shared" si="112"/>
        <v>5172.4940000000024</v>
      </c>
      <c r="J144" s="7">
        <f t="shared" si="112"/>
        <v>6027.1880000000037</v>
      </c>
      <c r="K144" s="7">
        <f t="shared" si="112"/>
        <v>6278.3659999999982</v>
      </c>
      <c r="L144" s="7">
        <f t="shared" si="112"/>
        <v>8210.1720000000023</v>
      </c>
      <c r="M144" s="7">
        <f t="shared" si="112"/>
        <v>8539.4539999999979</v>
      </c>
      <c r="N144" s="7">
        <f t="shared" si="112"/>
        <v>8342.8248806891897</v>
      </c>
      <c r="O144" s="7">
        <f t="shared" si="112"/>
        <v>8089.2259872926443</v>
      </c>
      <c r="P144" s="7">
        <f t="shared" si="112"/>
        <v>9956.653122484764</v>
      </c>
      <c r="Q144" s="7">
        <f t="shared" si="112"/>
        <v>11893.706311394155</v>
      </c>
      <c r="R144" s="7">
        <f t="shared" si="112"/>
        <v>15271.923873047577</v>
      </c>
      <c r="S144" s="7">
        <f t="shared" si="112"/>
        <v>18803.277761237376</v>
      </c>
      <c r="T144" s="7">
        <f t="shared" si="112"/>
        <v>22447.359534178519</v>
      </c>
      <c r="U144" s="7">
        <f t="shared" si="112"/>
        <v>26182.125631709976</v>
      </c>
      <c r="V144" s="7">
        <f t="shared" si="112"/>
        <v>30139.485212693631</v>
      </c>
      <c r="W144" s="7">
        <f t="shared" si="112"/>
        <v>34441.511138996699</v>
      </c>
      <c r="X144" s="75"/>
    </row>
    <row r="145" spans="2:24" x14ac:dyDescent="0.4">
      <c r="H145" s="25"/>
      <c r="I145" s="25"/>
      <c r="J145" s="25"/>
      <c r="K145" s="25"/>
      <c r="L145" s="25"/>
      <c r="M145" s="25"/>
      <c r="X145" s="75"/>
    </row>
    <row r="146" spans="2:24" x14ac:dyDescent="0.4">
      <c r="C146" s="31" t="s">
        <v>70</v>
      </c>
      <c r="H146" s="7">
        <f t="shared" ref="H146:W146" si="113">SUM(H137,H144)</f>
        <v>12001.333000000001</v>
      </c>
      <c r="I146" s="7">
        <f t="shared" si="113"/>
        <v>14559.047</v>
      </c>
      <c r="J146" s="7">
        <f t="shared" si="113"/>
        <v>15892.152000000006</v>
      </c>
      <c r="K146" s="7">
        <f t="shared" si="113"/>
        <v>17195.631999999998</v>
      </c>
      <c r="L146" s="7">
        <f t="shared" si="113"/>
        <v>18781.643000000004</v>
      </c>
      <c r="M146" s="7">
        <f t="shared" si="113"/>
        <v>18744.727999999999</v>
      </c>
      <c r="N146" s="7">
        <f t="shared" si="113"/>
        <v>19322.142207789791</v>
      </c>
      <c r="O146" s="7">
        <f t="shared" si="113"/>
        <v>19338.441762875016</v>
      </c>
      <c r="P146" s="7">
        <f t="shared" si="113"/>
        <v>20926.123333514406</v>
      </c>
      <c r="Q146" s="7">
        <f t="shared" si="113"/>
        <v>23245.099926675139</v>
      </c>
      <c r="R146" s="7">
        <f t="shared" si="113"/>
        <v>27141.515528476775</v>
      </c>
      <c r="S146" s="7">
        <f t="shared" si="113"/>
        <v>30974.454412439907</v>
      </c>
      <c r="T146" s="7">
        <f t="shared" si="113"/>
        <v>34980.145332737535</v>
      </c>
      <c r="U146" s="7">
        <f t="shared" si="113"/>
        <v>39226.086121540618</v>
      </c>
      <c r="V146" s="7">
        <f t="shared" si="113"/>
        <v>43658.51354414894</v>
      </c>
      <c r="W146" s="7">
        <f t="shared" si="113"/>
        <v>48403.513942356964</v>
      </c>
      <c r="X146" s="75"/>
    </row>
    <row r="147" spans="2:24" x14ac:dyDescent="0.4">
      <c r="H147" s="25"/>
      <c r="I147" s="25"/>
      <c r="J147" s="25"/>
      <c r="K147" s="25"/>
      <c r="L147" s="25"/>
      <c r="M147" s="25"/>
      <c r="X147" s="75"/>
    </row>
    <row r="148" spans="2:24" x14ac:dyDescent="0.4">
      <c r="C148" s="163" t="s">
        <v>71</v>
      </c>
      <c r="H148" s="41">
        <f t="shared" ref="H148:W148" si="114">H124-H146</f>
        <v>0</v>
      </c>
      <c r="I148" s="41">
        <f t="shared" si="114"/>
        <v>0</v>
      </c>
      <c r="J148" s="41">
        <f t="shared" si="114"/>
        <v>0</v>
      </c>
      <c r="K148" s="41">
        <f t="shared" si="114"/>
        <v>0</v>
      </c>
      <c r="L148" s="41">
        <f t="shared" si="114"/>
        <v>0</v>
      </c>
      <c r="M148" s="41">
        <f t="shared" si="114"/>
        <v>0</v>
      </c>
      <c r="N148" s="41">
        <f t="shared" si="114"/>
        <v>0</v>
      </c>
      <c r="O148" s="41">
        <f t="shared" si="114"/>
        <v>0</v>
      </c>
      <c r="P148" s="41">
        <f t="shared" si="114"/>
        <v>0</v>
      </c>
      <c r="Q148" s="41">
        <f t="shared" si="114"/>
        <v>0</v>
      </c>
      <c r="R148" s="41">
        <f t="shared" si="114"/>
        <v>0</v>
      </c>
      <c r="S148" s="41">
        <f t="shared" si="114"/>
        <v>0</v>
      </c>
      <c r="T148" s="41">
        <f t="shared" si="114"/>
        <v>0</v>
      </c>
      <c r="U148" s="41">
        <f t="shared" si="114"/>
        <v>0</v>
      </c>
      <c r="V148" s="41">
        <f t="shared" si="114"/>
        <v>0</v>
      </c>
      <c r="W148" s="41">
        <f t="shared" si="114"/>
        <v>0</v>
      </c>
      <c r="X148" s="75"/>
    </row>
    <row r="151" spans="2:24" x14ac:dyDescent="0.4">
      <c r="B151" s="152"/>
      <c r="C151" s="152"/>
      <c r="D151" s="152"/>
      <c r="E151" s="152"/>
      <c r="F151" s="152"/>
      <c r="G151" s="152"/>
      <c r="H151" s="154"/>
      <c r="I151" s="154"/>
      <c r="J151" s="155" t="s">
        <v>11</v>
      </c>
      <c r="K151" s="154"/>
      <c r="L151" s="154"/>
      <c r="M151" s="154"/>
      <c r="N151" s="156"/>
      <c r="O151" s="154"/>
      <c r="P151" s="154"/>
      <c r="Q151" s="154"/>
      <c r="R151" s="155" t="s">
        <v>122</v>
      </c>
      <c r="S151" s="154"/>
      <c r="T151" s="154"/>
      <c r="U151" s="154"/>
      <c r="V151" s="154"/>
      <c r="W151" s="154"/>
    </row>
    <row r="152" spans="2:24" x14ac:dyDescent="0.4">
      <c r="B152" s="151" t="s">
        <v>72</v>
      </c>
      <c r="C152" s="152"/>
      <c r="D152" s="152"/>
      <c r="E152" s="153" t="s">
        <v>9</v>
      </c>
      <c r="F152" s="157"/>
      <c r="G152" s="152"/>
      <c r="H152" s="2">
        <f t="shared" ref="H152:M152" si="115">H110</f>
        <v>43646</v>
      </c>
      <c r="I152" s="2">
        <f t="shared" si="115"/>
        <v>44012</v>
      </c>
      <c r="J152" s="2">
        <f t="shared" si="115"/>
        <v>44377</v>
      </c>
      <c r="K152" s="2">
        <f t="shared" si="115"/>
        <v>44742</v>
      </c>
      <c r="L152" s="2">
        <f t="shared" si="115"/>
        <v>45107</v>
      </c>
      <c r="M152" s="2">
        <f t="shared" si="115"/>
        <v>45473</v>
      </c>
      <c r="N152" s="81">
        <v>45838</v>
      </c>
      <c r="O152" s="2">
        <v>46203</v>
      </c>
      <c r="P152" s="2">
        <v>46568</v>
      </c>
      <c r="Q152" s="2">
        <v>46934</v>
      </c>
      <c r="R152" s="2">
        <v>47299</v>
      </c>
      <c r="S152" s="2">
        <v>47664</v>
      </c>
      <c r="T152" s="2">
        <v>48029</v>
      </c>
      <c r="U152" s="2">
        <v>48395</v>
      </c>
      <c r="V152" s="2">
        <v>48760</v>
      </c>
      <c r="W152" s="2">
        <v>49125</v>
      </c>
      <c r="X152" s="82"/>
    </row>
    <row r="154" spans="2:24" x14ac:dyDescent="0.4">
      <c r="C154" s="31" t="s">
        <v>73</v>
      </c>
      <c r="D154" s="4"/>
      <c r="E154" s="4"/>
      <c r="F154" s="4"/>
      <c r="G154" s="4"/>
      <c r="H154" s="4"/>
      <c r="I154" s="4"/>
      <c r="J154" s="4"/>
    </row>
    <row r="155" spans="2:24" x14ac:dyDescent="0.4">
      <c r="C155" s="4" t="s">
        <v>7</v>
      </c>
      <c r="D155" s="168"/>
      <c r="H155" s="169">
        <f t="shared" ref="H155:W155" si="116">H100</f>
        <v>2191.4299999999989</v>
      </c>
      <c r="I155" s="169">
        <f t="shared" si="116"/>
        <v>2251.7530000000011</v>
      </c>
      <c r="J155" s="169">
        <f t="shared" si="116"/>
        <v>3908.458000000001</v>
      </c>
      <c r="K155" s="169">
        <f t="shared" si="116"/>
        <v>4605.2860000000001</v>
      </c>
      <c r="L155" s="169">
        <f t="shared" si="116"/>
        <v>4510.9310000000005</v>
      </c>
      <c r="M155" s="169">
        <f t="shared" si="116"/>
        <v>3827.7720000000008</v>
      </c>
      <c r="N155" s="169">
        <f t="shared" si="116"/>
        <v>4011.2894470533088</v>
      </c>
      <c r="O155" s="169">
        <f t="shared" si="116"/>
        <v>4494.8332106025482</v>
      </c>
      <c r="P155" s="169">
        <f t="shared" si="116"/>
        <v>6077.1980639978647</v>
      </c>
      <c r="Q155" s="169">
        <f t="shared" si="116"/>
        <v>6650.3763838812029</v>
      </c>
      <c r="R155" s="169">
        <f t="shared" si="116"/>
        <v>7109.5828271843266</v>
      </c>
      <c r="S155" s="169">
        <f t="shared" si="116"/>
        <v>7541.3011798914895</v>
      </c>
      <c r="T155" s="169">
        <f t="shared" si="116"/>
        <v>7902.4741650524738</v>
      </c>
      <c r="U155" s="169">
        <f t="shared" si="116"/>
        <v>8243.521964830139</v>
      </c>
      <c r="V155" s="169">
        <f t="shared" si="116"/>
        <v>8739.8299925080864</v>
      </c>
      <c r="W155" s="169">
        <f t="shared" si="116"/>
        <v>9375.137102027822</v>
      </c>
    </row>
    <row r="156" spans="2:24" x14ac:dyDescent="0.4">
      <c r="C156" s="32" t="s">
        <v>74</v>
      </c>
      <c r="D156" s="32"/>
      <c r="H156" s="25"/>
      <c r="I156" s="25"/>
      <c r="J156" s="25"/>
      <c r="K156" s="25"/>
      <c r="L156" s="25"/>
      <c r="M156" s="25"/>
    </row>
    <row r="157" spans="2:24" x14ac:dyDescent="0.4">
      <c r="C157" s="9" t="s">
        <v>75</v>
      </c>
      <c r="D157" s="168"/>
      <c r="H157" s="6">
        <f>Debt!E34</f>
        <v>303.49099999999999</v>
      </c>
      <c r="I157" s="6">
        <f>Debt!F34</f>
        <v>232.52899999999988</v>
      </c>
      <c r="J157" s="6">
        <f>Debt!G34</f>
        <v>502.96400000000011</v>
      </c>
      <c r="K157" s="6">
        <f>Debt!H34</f>
        <v>647.33199999999988</v>
      </c>
      <c r="L157" s="6">
        <f>Debt!I34</f>
        <v>618.12100000000009</v>
      </c>
      <c r="M157" s="6">
        <f>Debt!J34</f>
        <v>627.63600000000019</v>
      </c>
      <c r="N157" s="75">
        <f>Debt!K56</f>
        <v>514.08255108255003</v>
      </c>
      <c r="O157" s="75">
        <f>Debt!L56</f>
        <v>704.92809776797526</v>
      </c>
      <c r="P157" s="75">
        <f>Debt!M56</f>
        <v>798.30917865646882</v>
      </c>
      <c r="Q157" s="75">
        <f>Debt!N56</f>
        <v>878.66202133878437</v>
      </c>
      <c r="R157" s="75">
        <f>Debt!O56</f>
        <v>941.8171089247312</v>
      </c>
      <c r="S157" s="75">
        <f>Debt!P56</f>
        <v>832.59808307233277</v>
      </c>
      <c r="T157" s="75">
        <f>Debt!Q56</f>
        <v>779.76087793522674</v>
      </c>
      <c r="U157" s="75">
        <f>Debt!R56</f>
        <v>750.27064768818445</v>
      </c>
      <c r="V157" s="75">
        <f>Debt!S56</f>
        <v>736.79414979968544</v>
      </c>
      <c r="W157" s="75">
        <f>Debt!T56</f>
        <v>740.32461084942997</v>
      </c>
    </row>
    <row r="158" spans="2:24" x14ac:dyDescent="0.4">
      <c r="C158" s="9" t="s">
        <v>76</v>
      </c>
      <c r="D158" s="168"/>
      <c r="H158" s="6">
        <v>187.23400000000001</v>
      </c>
      <c r="I158" s="6"/>
      <c r="J158" s="6"/>
      <c r="K158" s="6"/>
      <c r="L158" s="6"/>
      <c r="M158" s="6"/>
    </row>
    <row r="159" spans="2:24" x14ac:dyDescent="0.4">
      <c r="C159" s="9" t="s">
        <v>77</v>
      </c>
      <c r="D159" s="168"/>
      <c r="H159" s="6">
        <v>1.524</v>
      </c>
      <c r="I159" s="6">
        <v>1.524</v>
      </c>
      <c r="J159" s="6">
        <v>1.524</v>
      </c>
      <c r="K159" s="6">
        <v>1.524</v>
      </c>
      <c r="L159" s="6">
        <v>1.524</v>
      </c>
      <c r="M159" s="6">
        <v>1.524</v>
      </c>
      <c r="N159" s="170">
        <v>1.524</v>
      </c>
      <c r="O159" s="170">
        <v>1.524</v>
      </c>
      <c r="P159" s="170">
        <v>1.524</v>
      </c>
      <c r="Q159" s="170">
        <v>1.524</v>
      </c>
      <c r="R159" s="170">
        <v>1.524</v>
      </c>
      <c r="S159" s="170">
        <v>1.524</v>
      </c>
      <c r="T159" s="170">
        <v>1.524</v>
      </c>
      <c r="U159" s="170">
        <v>1.524</v>
      </c>
      <c r="V159" s="170">
        <v>1.524</v>
      </c>
      <c r="W159" s="170">
        <v>1.524</v>
      </c>
    </row>
    <row r="160" spans="2:24" x14ac:dyDescent="0.4">
      <c r="C160" s="32" t="s">
        <v>78</v>
      </c>
      <c r="D160" s="4"/>
      <c r="H160" s="6"/>
      <c r="I160" s="6"/>
      <c r="J160" s="6"/>
      <c r="K160" s="6"/>
      <c r="L160" s="6"/>
      <c r="M160" s="6"/>
    </row>
    <row r="161" spans="3:25" x14ac:dyDescent="0.4">
      <c r="C161" s="33" t="s">
        <v>63</v>
      </c>
      <c r="D161" s="168"/>
      <c r="H161" s="6">
        <v>732.13800000000003</v>
      </c>
      <c r="I161" s="6">
        <f t="shared" ref="I161:W161" si="117">H115-I115</f>
        <v>-641.57700000000023</v>
      </c>
      <c r="J161" s="6">
        <f t="shared" si="117"/>
        <v>-929.33099999999968</v>
      </c>
      <c r="K161" s="6">
        <f t="shared" si="117"/>
        <v>-1287.3880000000004</v>
      </c>
      <c r="L161" s="6">
        <f t="shared" si="117"/>
        <v>1490.442</v>
      </c>
      <c r="M161" s="6">
        <f t="shared" si="117"/>
        <v>304.1260000000002</v>
      </c>
      <c r="N161" s="6">
        <f t="shared" si="117"/>
        <v>-933.27361405479496</v>
      </c>
      <c r="O161" s="6">
        <f t="shared" si="117"/>
        <v>-1146.8703939780817</v>
      </c>
      <c r="P161" s="6">
        <f t="shared" si="117"/>
        <v>-268.84793975445155</v>
      </c>
      <c r="Q161" s="6">
        <f t="shared" si="117"/>
        <v>-161.89797837611059</v>
      </c>
      <c r="R161" s="6">
        <f t="shared" si="117"/>
        <v>-71.656521629219242</v>
      </c>
      <c r="S161" s="6">
        <f t="shared" si="117"/>
        <v>74.100932912706412</v>
      </c>
      <c r="T161" s="6">
        <f t="shared" si="117"/>
        <v>-287.85084024790922</v>
      </c>
      <c r="U161" s="6">
        <f t="shared" si="117"/>
        <v>-289.43988010370958</v>
      </c>
      <c r="V161" s="6">
        <f t="shared" si="117"/>
        <v>-338.12324201756564</v>
      </c>
      <c r="W161" s="6">
        <f t="shared" si="117"/>
        <v>-341.82797092052078</v>
      </c>
    </row>
    <row r="162" spans="3:25" x14ac:dyDescent="0.4">
      <c r="C162" s="33" t="s">
        <v>51</v>
      </c>
      <c r="D162" s="168"/>
      <c r="H162" s="6">
        <v>281.35500000000002</v>
      </c>
      <c r="I162" s="6">
        <f t="shared" ref="I162:W162" si="118">H116-I116</f>
        <v>-359.88399999999979</v>
      </c>
      <c r="J162" s="6">
        <f t="shared" si="118"/>
        <v>-789.27</v>
      </c>
      <c r="K162" s="6">
        <f t="shared" si="118"/>
        <v>-1277</v>
      </c>
      <c r="L162" s="6">
        <f t="shared" si="118"/>
        <v>-849.89599999999973</v>
      </c>
      <c r="M162" s="6">
        <f t="shared" si="118"/>
        <v>598.26599999999962</v>
      </c>
      <c r="N162" s="6">
        <f t="shared" si="118"/>
        <v>-960.86142108219246</v>
      </c>
      <c r="O162" s="6">
        <f t="shared" si="118"/>
        <v>-570.45708895890402</v>
      </c>
      <c r="P162" s="6">
        <f t="shared" si="118"/>
        <v>-417.19729048951922</v>
      </c>
      <c r="Q162" s="6">
        <f t="shared" si="118"/>
        <v>-300.88296167951921</v>
      </c>
      <c r="R162" s="6">
        <f t="shared" si="118"/>
        <v>-204.25720798026396</v>
      </c>
      <c r="S162" s="6">
        <f t="shared" si="118"/>
        <v>-32.014049649536901</v>
      </c>
      <c r="T162" s="6">
        <f t="shared" si="118"/>
        <v>-383.80112033054593</v>
      </c>
      <c r="U162" s="6">
        <f t="shared" si="118"/>
        <v>-385.91984013827914</v>
      </c>
      <c r="V162" s="6">
        <f t="shared" si="118"/>
        <v>-450.83098935675389</v>
      </c>
      <c r="W162" s="6">
        <f t="shared" si="118"/>
        <v>-455.77062789402771</v>
      </c>
    </row>
    <row r="163" spans="3:25" x14ac:dyDescent="0.4">
      <c r="C163" s="33" t="s">
        <v>52</v>
      </c>
      <c r="D163" s="168"/>
      <c r="H163" s="6">
        <v>-17.864000000000001</v>
      </c>
      <c r="I163" s="6">
        <f t="shared" ref="I163:W163" si="119">H117-I117</f>
        <v>-12.615999999999985</v>
      </c>
      <c r="J163" s="6">
        <f t="shared" si="119"/>
        <v>-61.367999999999995</v>
      </c>
      <c r="K163" s="6">
        <f t="shared" si="119"/>
        <v>-139.86300000000003</v>
      </c>
      <c r="L163" s="6">
        <f t="shared" si="119"/>
        <v>95.601000000000028</v>
      </c>
      <c r="M163" s="6">
        <f t="shared" si="119"/>
        <v>-46.400000000000006</v>
      </c>
      <c r="N163" s="6">
        <f t="shared" si="119"/>
        <v>-66.368360189476505</v>
      </c>
      <c r="O163" s="6">
        <f t="shared" si="119"/>
        <v>-80.628624114973604</v>
      </c>
      <c r="P163" s="6">
        <f t="shared" si="119"/>
        <v>52.967702569941935</v>
      </c>
      <c r="Q163" s="6">
        <f t="shared" si="119"/>
        <v>-52.261925828434187</v>
      </c>
      <c r="R163" s="6">
        <f t="shared" si="119"/>
        <v>-51.339898546419988</v>
      </c>
      <c r="S163" s="6">
        <f t="shared" si="119"/>
        <v>-38.221164879997161</v>
      </c>
      <c r="T163" s="6">
        <f t="shared" si="119"/>
        <v>-42.520378054643515</v>
      </c>
      <c r="U163" s="6">
        <f t="shared" si="119"/>
        <v>-44.724937246945046</v>
      </c>
      <c r="V163" s="6">
        <f t="shared" si="119"/>
        <v>-32.360331123903734</v>
      </c>
      <c r="W163" s="6">
        <f t="shared" si="119"/>
        <v>-22.696372499990275</v>
      </c>
    </row>
    <row r="164" spans="3:25" x14ac:dyDescent="0.4">
      <c r="C164" s="33" t="s">
        <v>54</v>
      </c>
      <c r="D164" s="4"/>
      <c r="H164" s="6">
        <v>1</v>
      </c>
      <c r="I164" s="6">
        <f t="shared" ref="I164:W164" si="120">H121-I121</f>
        <v>1.2659999999999911</v>
      </c>
      <c r="J164" s="6">
        <f t="shared" si="120"/>
        <v>1.4240000000000066</v>
      </c>
      <c r="K164" s="6">
        <f t="shared" si="120"/>
        <v>0.95300000000000296</v>
      </c>
      <c r="L164" s="6">
        <f t="shared" si="120"/>
        <v>251.53399999999999</v>
      </c>
      <c r="M164" s="6">
        <f t="shared" si="120"/>
        <v>0</v>
      </c>
      <c r="N164" s="170">
        <f t="shared" si="120"/>
        <v>0</v>
      </c>
      <c r="O164" s="170">
        <f t="shared" si="120"/>
        <v>0</v>
      </c>
      <c r="P164" s="170">
        <f t="shared" si="120"/>
        <v>0</v>
      </c>
      <c r="Q164" s="170">
        <f t="shared" si="120"/>
        <v>0</v>
      </c>
      <c r="R164" s="170">
        <f t="shared" si="120"/>
        <v>0</v>
      </c>
      <c r="S164" s="170">
        <f t="shared" si="120"/>
        <v>0</v>
      </c>
      <c r="T164" s="170">
        <f t="shared" si="120"/>
        <v>0</v>
      </c>
      <c r="U164" s="170">
        <f t="shared" si="120"/>
        <v>0</v>
      </c>
      <c r="V164" s="170">
        <f t="shared" si="120"/>
        <v>0</v>
      </c>
      <c r="W164" s="170">
        <f t="shared" si="120"/>
        <v>0</v>
      </c>
    </row>
    <row r="165" spans="3:25" x14ac:dyDescent="0.4">
      <c r="C165" s="33" t="s">
        <v>121</v>
      </c>
      <c r="D165" s="4"/>
      <c r="H165" s="6">
        <v>-255</v>
      </c>
      <c r="I165" s="6">
        <f t="shared" ref="I165:W165" si="121">H123-I123</f>
        <v>-302.01100000000002</v>
      </c>
      <c r="J165" s="6">
        <f t="shared" si="121"/>
        <v>-334.16599999999994</v>
      </c>
      <c r="K165" s="6">
        <f t="shared" si="121"/>
        <v>-333.01300000000015</v>
      </c>
      <c r="L165" s="6">
        <f t="shared" si="121"/>
        <v>-511.30299999999988</v>
      </c>
      <c r="M165" s="6">
        <f t="shared" si="121"/>
        <v>-36.300999999999931</v>
      </c>
      <c r="N165" s="6">
        <f t="shared" si="121"/>
        <v>-758.44968385000038</v>
      </c>
      <c r="O165" s="6">
        <f t="shared" si="121"/>
        <v>-237.4962387810001</v>
      </c>
      <c r="P165" s="6">
        <f t="shared" si="121"/>
        <v>-142.1114830024494</v>
      </c>
      <c r="Q165" s="6">
        <f t="shared" si="121"/>
        <v>-76.079102325096301</v>
      </c>
      <c r="R165" s="6">
        <f t="shared" si="121"/>
        <v>4.7130867450810001</v>
      </c>
      <c r="S165" s="6">
        <f t="shared" si="121"/>
        <v>92.825649661494026</v>
      </c>
      <c r="T165" s="6">
        <f t="shared" si="121"/>
        <v>-175.10926115081156</v>
      </c>
      <c r="U165" s="6">
        <f t="shared" si="121"/>
        <v>-185.41757078847559</v>
      </c>
      <c r="V165" s="6">
        <f t="shared" si="121"/>
        <v>-196.34999516863309</v>
      </c>
      <c r="W165" s="6">
        <f t="shared" si="121"/>
        <v>-207.94534897665017</v>
      </c>
    </row>
    <row r="166" spans="3:25" x14ac:dyDescent="0.4">
      <c r="C166" s="33" t="s">
        <v>94</v>
      </c>
      <c r="D166" s="4"/>
      <c r="H166" s="6">
        <v>-131.47200000000001</v>
      </c>
      <c r="I166" s="6">
        <f t="shared" ref="I166:W166" si="122">I128-H128</f>
        <v>215.82599999999996</v>
      </c>
      <c r="J166" s="6">
        <f t="shared" si="122"/>
        <v>237.32300000000009</v>
      </c>
      <c r="K166" s="6">
        <f t="shared" si="122"/>
        <v>181.49799999999993</v>
      </c>
      <c r="L166" s="6">
        <f t="shared" si="122"/>
        <v>-540.50599999999997</v>
      </c>
      <c r="M166" s="6">
        <f t="shared" si="122"/>
        <v>143.26400000000001</v>
      </c>
      <c r="N166" s="6">
        <f t="shared" si="122"/>
        <v>224.50402055616462</v>
      </c>
      <c r="O166" s="6">
        <f t="shared" si="122"/>
        <v>253.88605635164367</v>
      </c>
      <c r="P166" s="6">
        <f t="shared" si="122"/>
        <v>140.93188319831506</v>
      </c>
      <c r="Q166" s="6">
        <f t="shared" si="122"/>
        <v>60.176592335903706</v>
      </c>
      <c r="R166" s="6">
        <f t="shared" si="122"/>
        <v>40.851441596052837</v>
      </c>
      <c r="S166" s="6">
        <f t="shared" si="122"/>
        <v>6.4028099299073347</v>
      </c>
      <c r="T166" s="6">
        <f t="shared" si="122"/>
        <v>76.760224066109004</v>
      </c>
      <c r="U166" s="6">
        <f t="shared" si="122"/>
        <v>77.183968027655965</v>
      </c>
      <c r="V166" s="6">
        <f t="shared" si="122"/>
        <v>90.166197871350732</v>
      </c>
      <c r="W166" s="6">
        <f t="shared" si="122"/>
        <v>91.154125578805633</v>
      </c>
    </row>
    <row r="167" spans="3:25" x14ac:dyDescent="0.4">
      <c r="C167" s="33" t="s">
        <v>57</v>
      </c>
      <c r="D167" s="4"/>
      <c r="H167" s="6">
        <v>-194.559</v>
      </c>
      <c r="I167" s="6">
        <f t="shared" ref="I167:W167" si="123">I129-H129</f>
        <v>326.01400000000001</v>
      </c>
      <c r="J167" s="6">
        <f t="shared" si="123"/>
        <v>446.82799999999997</v>
      </c>
      <c r="K167" s="6">
        <f t="shared" si="123"/>
        <v>254.78899999999999</v>
      </c>
      <c r="L167" s="6">
        <f t="shared" si="123"/>
        <v>36.365000000000009</v>
      </c>
      <c r="M167" s="6">
        <f t="shared" si="123"/>
        <v>-208.76</v>
      </c>
      <c r="N167" s="6">
        <f t="shared" si="123"/>
        <v>787.40840424561111</v>
      </c>
      <c r="O167" s="6">
        <f t="shared" si="123"/>
        <v>642.36381064848865</v>
      </c>
      <c r="P167" s="6">
        <f t="shared" si="123"/>
        <v>-465.844150542443</v>
      </c>
      <c r="Q167" s="6">
        <f t="shared" si="123"/>
        <v>276.34794879537503</v>
      </c>
      <c r="R167" s="6">
        <f t="shared" si="123"/>
        <v>248.5500739273657</v>
      </c>
      <c r="S167" s="6">
        <f t="shared" si="123"/>
        <v>142.90749165113994</v>
      </c>
      <c r="T167" s="6">
        <f t="shared" si="123"/>
        <v>153.80318122795506</v>
      </c>
      <c r="U167" s="6">
        <f t="shared" si="123"/>
        <v>278.28173670074511</v>
      </c>
      <c r="V167" s="6">
        <f t="shared" si="123"/>
        <v>201.34827905177599</v>
      </c>
      <c r="W167" s="6">
        <f t="shared" si="123"/>
        <v>141.21844198978215</v>
      </c>
    </row>
    <row r="168" spans="3:25" x14ac:dyDescent="0.4">
      <c r="C168" s="33" t="s">
        <v>58</v>
      </c>
      <c r="D168" s="4"/>
      <c r="H168" s="6">
        <v>-178.07400000000001</v>
      </c>
      <c r="I168" s="6">
        <f t="shared" ref="I168:W168" si="124">I130-H130</f>
        <v>76.206000000000017</v>
      </c>
      <c r="J168" s="6">
        <f t="shared" si="124"/>
        <v>509.80200000000002</v>
      </c>
      <c r="K168" s="6">
        <f t="shared" si="124"/>
        <v>604.57299999999987</v>
      </c>
      <c r="L168" s="6">
        <f t="shared" si="124"/>
        <v>123.32300000000009</v>
      </c>
      <c r="M168" s="6">
        <f t="shared" si="124"/>
        <v>-277.44000000000005</v>
      </c>
      <c r="N168" s="6">
        <f t="shared" si="124"/>
        <v>382.46345590000055</v>
      </c>
      <c r="O168" s="6">
        <f t="shared" si="124"/>
        <v>88.381708648499853</v>
      </c>
      <c r="P168" s="6">
        <f t="shared" si="124"/>
        <v>6.7427004566998221</v>
      </c>
      <c r="Q168" s="6">
        <f t="shared" si="124"/>
        <v>-54.337652029381161</v>
      </c>
      <c r="R168" s="6">
        <f t="shared" si="124"/>
        <v>164.3672368872958</v>
      </c>
      <c r="S168" s="6">
        <f t="shared" si="124"/>
        <v>135.56189022326544</v>
      </c>
      <c r="T168" s="6">
        <f t="shared" si="124"/>
        <v>122.57648280556805</v>
      </c>
      <c r="U168" s="6">
        <f t="shared" si="124"/>
        <v>129.79229955193296</v>
      </c>
      <c r="V168" s="6">
        <f t="shared" si="124"/>
        <v>137.44499661804321</v>
      </c>
      <c r="W168" s="6">
        <f t="shared" si="124"/>
        <v>145.56174428365512</v>
      </c>
    </row>
    <row r="169" spans="3:25" x14ac:dyDescent="0.4">
      <c r="C169" s="33" t="s">
        <v>59</v>
      </c>
      <c r="D169" s="4"/>
      <c r="H169" s="6">
        <v>25</v>
      </c>
      <c r="I169" s="6">
        <f t="shared" ref="I169:W169" si="125">I135-H135</f>
        <v>16.918999999999983</v>
      </c>
      <c r="J169" s="6">
        <f t="shared" si="125"/>
        <v>38.328000000000088</v>
      </c>
      <c r="K169" s="6">
        <f t="shared" si="125"/>
        <v>-16.920000000000073</v>
      </c>
      <c r="L169" s="6">
        <f t="shared" si="125"/>
        <v>-49.033000000000015</v>
      </c>
      <c r="M169" s="6">
        <f t="shared" si="125"/>
        <v>-68.779999999999973</v>
      </c>
      <c r="N169" s="6">
        <f t="shared" si="125"/>
        <v>168.98925759245265</v>
      </c>
      <c r="O169" s="6">
        <f t="shared" si="125"/>
        <v>162.72700863282944</v>
      </c>
      <c r="P169" s="6">
        <f t="shared" si="125"/>
        <v>147.72642898290383</v>
      </c>
      <c r="Q169" s="6">
        <f t="shared" si="125"/>
        <v>142.32233634675958</v>
      </c>
      <c r="R169" s="6">
        <f t="shared" si="125"/>
        <v>128.12293990276407</v>
      </c>
      <c r="S169" s="6">
        <f t="shared" si="125"/>
        <v>105.66940372727663</v>
      </c>
      <c r="T169" s="6">
        <f t="shared" si="125"/>
        <v>95.547383027181922</v>
      </c>
      <c r="U169" s="6">
        <f t="shared" si="125"/>
        <v>101.17205417729565</v>
      </c>
      <c r="V169" s="6">
        <f t="shared" si="125"/>
        <v>107.13727002482869</v>
      </c>
      <c r="W169" s="6">
        <f t="shared" si="125"/>
        <v>113.46420958444514</v>
      </c>
    </row>
    <row r="170" spans="3:25" x14ac:dyDescent="0.4">
      <c r="C170" s="3" t="s">
        <v>60</v>
      </c>
      <c r="D170" s="4"/>
      <c r="H170" s="10">
        <v>73</v>
      </c>
      <c r="I170" s="10">
        <f t="shared" ref="I170:W170" si="126">I136-H136</f>
        <v>103.29399999999688</v>
      </c>
      <c r="J170" s="10">
        <f t="shared" si="126"/>
        <v>55.173000000002787</v>
      </c>
      <c r="K170" s="10">
        <f t="shared" si="126"/>
        <v>24.213999999999999</v>
      </c>
      <c r="L170" s="10">
        <f t="shared" si="126"/>
        <v>78.345000000000027</v>
      </c>
      <c r="M170" s="10">
        <f t="shared" si="126"/>
        <v>73.725999999999942</v>
      </c>
      <c r="N170" s="10">
        <f t="shared" si="126"/>
        <v>-40.211192154243577</v>
      </c>
      <c r="O170" s="10">
        <f t="shared" si="126"/>
        <v>88.595269286951861</v>
      </c>
      <c r="P170" s="10">
        <f t="shared" si="126"/>
        <v>80.428337413066288</v>
      </c>
      <c r="Q170" s="10">
        <f t="shared" si="126"/>
        <v>77.486127349885237</v>
      </c>
      <c r="R170" s="10">
        <f t="shared" si="126"/>
        <v>69.755392530649146</v>
      </c>
      <c r="S170" s="10">
        <f t="shared" si="126"/>
        <v>57.530764912746008</v>
      </c>
      <c r="T170" s="10">
        <f t="shared" si="126"/>
        <v>52.019920971182501</v>
      </c>
      <c r="U170" s="10">
        <f t="shared" si="126"/>
        <v>55.082223040037434</v>
      </c>
      <c r="V170" s="10">
        <f t="shared" si="126"/>
        <v>58.329931633756019</v>
      </c>
      <c r="W170" s="10">
        <f t="shared" si="126"/>
        <v>61.774577478080801</v>
      </c>
    </row>
    <row r="171" spans="3:25" x14ac:dyDescent="0.4">
      <c r="C171" s="8" t="s">
        <v>79</v>
      </c>
      <c r="D171" s="168"/>
      <c r="H171" s="169">
        <f>SUM(H155:H170)</f>
        <v>3019.2029999999982</v>
      </c>
      <c r="I171" s="169">
        <f t="shared" ref="I171:M171" si="127">SUM(I155:I170)</f>
        <v>1909.2429999999979</v>
      </c>
      <c r="J171" s="169">
        <f t="shared" si="127"/>
        <v>3587.6890000000058</v>
      </c>
      <c r="K171" s="169">
        <f t="shared" si="127"/>
        <v>3265.9850000000001</v>
      </c>
      <c r="L171" s="169">
        <f t="shared" si="127"/>
        <v>5255.4480000000003</v>
      </c>
      <c r="M171" s="169">
        <f t="shared" si="127"/>
        <v>4938.6330000000016</v>
      </c>
      <c r="N171" s="169">
        <f t="shared" ref="N171" si="128">SUM(N155:N170)</f>
        <v>3331.0968650993805</v>
      </c>
      <c r="O171" s="169">
        <f t="shared" ref="O171" si="129">SUM(O155:O170)</f>
        <v>4401.7868161059778</v>
      </c>
      <c r="P171" s="169">
        <f t="shared" ref="P171" si="130">SUM(P155:P170)</f>
        <v>6011.8274314863975</v>
      </c>
      <c r="Q171" s="169">
        <f t="shared" ref="Q171" si="131">SUM(Q155:Q170)</f>
        <v>7441.4357898093704</v>
      </c>
      <c r="R171" s="169">
        <f t="shared" ref="R171" si="132">SUM(R155:R170)</f>
        <v>8382.0304795423635</v>
      </c>
      <c r="S171" s="169">
        <f t="shared" ref="S171" si="133">SUM(S155:S170)</f>
        <v>8920.1869914528233</v>
      </c>
      <c r="T171" s="169">
        <f t="shared" ref="T171" si="134">SUM(T155:T170)</f>
        <v>8295.1846353017863</v>
      </c>
      <c r="U171" s="169">
        <f t="shared" ref="U171" si="135">SUM(U155:U170)</f>
        <v>8731.326665738583</v>
      </c>
      <c r="V171" s="169">
        <f t="shared" ref="V171" si="136">SUM(V155:V170)</f>
        <v>9054.9102598406698</v>
      </c>
      <c r="W171" s="169">
        <f t="shared" ref="W171" si="137">SUM(W155:W170)</f>
        <v>9641.91849150083</v>
      </c>
    </row>
    <row r="172" spans="3:25" x14ac:dyDescent="0.4">
      <c r="D172" s="168"/>
      <c r="H172" s="6"/>
      <c r="I172" s="6"/>
      <c r="J172" s="6"/>
      <c r="K172" s="6"/>
      <c r="L172" s="6"/>
      <c r="M172" s="6"/>
    </row>
    <row r="173" spans="3:25" x14ac:dyDescent="0.4">
      <c r="D173" s="168"/>
      <c r="H173" s="6"/>
      <c r="I173" s="6"/>
      <c r="J173" s="6"/>
      <c r="K173" s="6"/>
      <c r="L173" s="6"/>
      <c r="M173" s="6"/>
    </row>
    <row r="174" spans="3:25" x14ac:dyDescent="0.4">
      <c r="D174" s="168"/>
      <c r="H174" s="6"/>
      <c r="I174" s="6"/>
      <c r="J174" s="6"/>
      <c r="K174" s="6"/>
      <c r="L174" s="6"/>
      <c r="M174" s="6"/>
    </row>
    <row r="175" spans="3:25" x14ac:dyDescent="0.4">
      <c r="C175" s="31" t="s">
        <v>80</v>
      </c>
      <c r="D175" s="4"/>
      <c r="E175" s="4"/>
      <c r="F175" s="4"/>
      <c r="G175" s="4"/>
      <c r="H175" s="6"/>
      <c r="I175" s="6"/>
      <c r="J175" s="6"/>
      <c r="K175" s="75"/>
      <c r="L175" s="75"/>
      <c r="M175" s="75"/>
    </row>
    <row r="176" spans="3:25" x14ac:dyDescent="0.4">
      <c r="C176" s="9" t="s">
        <v>81</v>
      </c>
      <c r="D176" s="168"/>
      <c r="H176" s="6">
        <f>-Debt!E34</f>
        <v>-303.49099999999999</v>
      </c>
      <c r="I176" s="6">
        <f>-Debt!F34</f>
        <v>-232.52899999999988</v>
      </c>
      <c r="J176" s="6">
        <f>-Debt!G34</f>
        <v>-502.96400000000011</v>
      </c>
      <c r="K176" s="6">
        <f>-Debt!H34</f>
        <v>-647.33199999999988</v>
      </c>
      <c r="L176" s="6">
        <f>-Debt!I34</f>
        <v>-618.12100000000009</v>
      </c>
      <c r="M176" s="6">
        <f>-Debt!J34</f>
        <v>-627.63600000000019</v>
      </c>
      <c r="N176" s="75">
        <f>-Debt!K34</f>
        <v>-945.12833934750006</v>
      </c>
      <c r="O176" s="75">
        <f>-Debt!L34</f>
        <v>-1292.6596859576402</v>
      </c>
      <c r="P176" s="75">
        <f>-Debt!M34</f>
        <v>-894.81928552553609</v>
      </c>
      <c r="Q176" s="75">
        <f>-Debt!N34</f>
        <v>-921.86454943849458</v>
      </c>
      <c r="R176" s="75">
        <f>-Debt!O34</f>
        <v>-925.51024323967442</v>
      </c>
      <c r="S176" s="75">
        <f>-Debt!P34</f>
        <v>-886.09305257433243</v>
      </c>
      <c r="T176" s="75">
        <f>-Debt!Q34</f>
        <v>-896.85343998837322</v>
      </c>
      <c r="U176" s="75">
        <f>-Debt!R34</f>
        <v>-966.4238741635595</v>
      </c>
      <c r="V176" s="75">
        <f>-Debt!S34</f>
        <v>-1016.7609439265036</v>
      </c>
      <c r="W176" s="75">
        <f>-Debt!T34</f>
        <v>-1052.0655544239489</v>
      </c>
      <c r="X176" s="75"/>
      <c r="Y176" s="75"/>
    </row>
    <row r="177" spans="3:23" x14ac:dyDescent="0.4">
      <c r="C177" s="9" t="s">
        <v>82</v>
      </c>
      <c r="D177" s="168"/>
      <c r="H177" s="6">
        <v>0</v>
      </c>
      <c r="I177" s="6">
        <v>0</v>
      </c>
      <c r="J177" s="6">
        <v>0</v>
      </c>
      <c r="K177" s="6">
        <v>0</v>
      </c>
      <c r="L177" s="6">
        <v>-119.955</v>
      </c>
      <c r="M177" s="6">
        <v>0</v>
      </c>
      <c r="N177" s="170">
        <v>0</v>
      </c>
      <c r="O177" s="170">
        <v>0</v>
      </c>
      <c r="P177" s="170">
        <v>0</v>
      </c>
      <c r="Q177" s="170">
        <v>0</v>
      </c>
      <c r="R177" s="170">
        <v>0</v>
      </c>
      <c r="S177" s="170">
        <v>0</v>
      </c>
      <c r="T177" s="170">
        <v>0</v>
      </c>
      <c r="U177" s="170">
        <v>0</v>
      </c>
      <c r="V177" s="170">
        <v>0</v>
      </c>
      <c r="W177" s="170">
        <v>0</v>
      </c>
    </row>
    <row r="178" spans="3:23" x14ac:dyDescent="0.4">
      <c r="C178" s="33" t="s">
        <v>186</v>
      </c>
      <c r="D178" s="168"/>
      <c r="H178" s="6">
        <v>-1326.2080000000003</v>
      </c>
      <c r="I178" s="6">
        <v>-15</v>
      </c>
      <c r="J178" s="6">
        <v>464.52199999999993</v>
      </c>
      <c r="K178" s="6">
        <v>1165.884</v>
      </c>
      <c r="L178" s="6">
        <v>98.132000000000005</v>
      </c>
      <c r="M178" s="6">
        <v>37.765999999999998</v>
      </c>
      <c r="N178" s="184">
        <f>AVERAGE(H178:M178)</f>
        <v>70.849333333333277</v>
      </c>
      <c r="O178" s="184">
        <v>70.849333333333277</v>
      </c>
      <c r="P178" s="184">
        <v>70.849333333333277</v>
      </c>
      <c r="Q178" s="184">
        <v>70.849333333333277</v>
      </c>
      <c r="R178" s="184">
        <v>70.849333333333277</v>
      </c>
      <c r="S178" s="184">
        <v>70.849333333333277</v>
      </c>
      <c r="T178" s="184">
        <v>70.849333333333277</v>
      </c>
      <c r="U178" s="184">
        <v>70.849333333333277</v>
      </c>
      <c r="V178" s="184">
        <v>70.849333333333277</v>
      </c>
      <c r="W178" s="184">
        <v>70.849333333333277</v>
      </c>
    </row>
    <row r="179" spans="3:23" x14ac:dyDescent="0.4">
      <c r="C179" s="11" t="s">
        <v>77</v>
      </c>
      <c r="D179" s="168"/>
      <c r="H179" s="10">
        <v>-7.3550000000000004</v>
      </c>
      <c r="I179" s="10">
        <v>-25.844999999999999</v>
      </c>
      <c r="J179" s="10">
        <v>-42.155000000000001</v>
      </c>
      <c r="K179" s="10">
        <v>-7.5750000000000002</v>
      </c>
      <c r="L179" s="10">
        <v>-11.170999999999999</v>
      </c>
      <c r="M179" s="10">
        <v>-11.71</v>
      </c>
      <c r="N179" s="190">
        <f>AVERAGE(H179:M179)</f>
        <v>-17.635166666666667</v>
      </c>
      <c r="O179" s="190">
        <f t="shared" ref="O179:W179" si="138">AVERAGE(I179:N179)</f>
        <v>-19.348527777777779</v>
      </c>
      <c r="P179" s="190">
        <f t="shared" si="138"/>
        <v>-18.265782407407407</v>
      </c>
      <c r="Q179" s="190">
        <f t="shared" si="138"/>
        <v>-14.284246141975308</v>
      </c>
      <c r="R179" s="190">
        <f t="shared" si="138"/>
        <v>-15.402453832304525</v>
      </c>
      <c r="S179" s="190">
        <f t="shared" si="138"/>
        <v>-16.107696137688617</v>
      </c>
      <c r="T179" s="190">
        <f t="shared" si="138"/>
        <v>-16.840645493970051</v>
      </c>
      <c r="U179" s="190">
        <f t="shared" si="138"/>
        <v>-16.708225298520617</v>
      </c>
      <c r="V179" s="190">
        <f t="shared" si="138"/>
        <v>-16.268174885311087</v>
      </c>
      <c r="W179" s="190">
        <f t="shared" si="138"/>
        <v>-15.935240298295033</v>
      </c>
    </row>
    <row r="180" spans="3:23" x14ac:dyDescent="0.4">
      <c r="C180" s="31" t="s">
        <v>83</v>
      </c>
      <c r="D180" s="168"/>
      <c r="H180" s="169">
        <f t="shared" ref="H180:M180" si="139">SUM(H176:H179)</f>
        <v>-1637.0540000000003</v>
      </c>
      <c r="I180" s="169">
        <f t="shared" si="139"/>
        <v>-273.37399999999991</v>
      </c>
      <c r="J180" s="169">
        <f t="shared" si="139"/>
        <v>-80.597000000000179</v>
      </c>
      <c r="K180" s="169">
        <f t="shared" si="139"/>
        <v>510.97700000000015</v>
      </c>
      <c r="L180" s="169">
        <f t="shared" si="139"/>
        <v>-651.11500000000024</v>
      </c>
      <c r="M180" s="169">
        <f t="shared" si="139"/>
        <v>-601.58000000000027</v>
      </c>
      <c r="N180" s="169">
        <f t="shared" ref="N180:W180" si="140">SUM(N176:N179)</f>
        <v>-891.91417268083342</v>
      </c>
      <c r="O180" s="169">
        <f t="shared" si="140"/>
        <v>-1241.1588804020846</v>
      </c>
      <c r="P180" s="169">
        <f t="shared" si="140"/>
        <v>-842.23573459961017</v>
      </c>
      <c r="Q180" s="169">
        <f t="shared" si="140"/>
        <v>-865.2994622471366</v>
      </c>
      <c r="R180" s="169">
        <f t="shared" si="140"/>
        <v>-870.06336373864576</v>
      </c>
      <c r="S180" s="169">
        <f t="shared" si="140"/>
        <v>-831.35141537868776</v>
      </c>
      <c r="T180" s="169">
        <f t="shared" si="140"/>
        <v>-842.84475214901011</v>
      </c>
      <c r="U180" s="169">
        <f t="shared" si="140"/>
        <v>-912.28276612874674</v>
      </c>
      <c r="V180" s="169">
        <f t="shared" si="140"/>
        <v>-962.17978547848134</v>
      </c>
      <c r="W180" s="169">
        <f t="shared" si="140"/>
        <v>-997.15146138891066</v>
      </c>
    </row>
    <row r="181" spans="3:23" x14ac:dyDescent="0.4">
      <c r="D181" s="168"/>
      <c r="H181" s="6"/>
      <c r="I181" s="6"/>
      <c r="J181" s="6"/>
      <c r="K181" s="6"/>
      <c r="L181" s="6"/>
      <c r="M181" s="6"/>
    </row>
    <row r="182" spans="3:23" x14ac:dyDescent="0.4">
      <c r="H182" s="75"/>
      <c r="I182" s="75"/>
      <c r="J182" s="75"/>
      <c r="K182" s="75"/>
      <c r="L182" s="75"/>
      <c r="M182" s="75"/>
    </row>
    <row r="183" spans="3:23" x14ac:dyDescent="0.4">
      <c r="C183" s="31" t="s">
        <v>84</v>
      </c>
      <c r="D183" s="32"/>
      <c r="E183" s="32"/>
      <c r="F183" s="32"/>
      <c r="G183" s="32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</row>
    <row r="184" spans="3:23" x14ac:dyDescent="0.4">
      <c r="C184" s="32" t="s">
        <v>193</v>
      </c>
      <c r="H184" s="25">
        <v>2359.067</v>
      </c>
      <c r="I184" s="25">
        <v>1307.114</v>
      </c>
      <c r="J184" s="25">
        <v>-862.06</v>
      </c>
      <c r="K184" s="25">
        <v>-11.888999999999999</v>
      </c>
      <c r="L184" s="25">
        <v>-23.206</v>
      </c>
      <c r="M184" s="25">
        <v>-256.10399999999998</v>
      </c>
      <c r="N184" s="25">
        <f>Debt!K18</f>
        <v>-749.11061903938571</v>
      </c>
      <c r="O184" s="25">
        <f>Debt!L18</f>
        <v>-966.05540508663989</v>
      </c>
      <c r="P184" s="25">
        <f>Debt!M18</f>
        <v>-189.73076406127484</v>
      </c>
      <c r="Q184" s="25">
        <f>Debt!N18</f>
        <v>-120.07194854719728</v>
      </c>
      <c r="R184" s="25">
        <f>Debt!O18</f>
        <v>-133.44904469591756</v>
      </c>
      <c r="S184" s="25">
        <f>Debt!P18</f>
        <v>-146.48736467099889</v>
      </c>
      <c r="T184" s="25">
        <f>Debt!Q18</f>
        <v>-139.0980447415086</v>
      </c>
      <c r="U184" s="25">
        <f>Debt!R18</f>
        <v>-130.33759022604318</v>
      </c>
      <c r="V184" s="25">
        <f>Debt!S18</f>
        <v>-119.35883357508646</v>
      </c>
      <c r="W184" s="25">
        <f>Debt!T18</f>
        <v>-110.19862700981275</v>
      </c>
    </row>
    <row r="185" spans="3:23" x14ac:dyDescent="0.4">
      <c r="C185" s="4" t="s">
        <v>85</v>
      </c>
      <c r="H185" s="6">
        <v>-3780.6109999999999</v>
      </c>
      <c r="I185" s="6">
        <v>-1369.6489999999999</v>
      </c>
      <c r="J185" s="6">
        <v>-2697.7040000000002</v>
      </c>
      <c r="K185" s="6">
        <v>-3865.663</v>
      </c>
      <c r="L185" s="6">
        <v>-2017.0119999999999</v>
      </c>
      <c r="M185" s="6">
        <v>-2842.8069999999998</v>
      </c>
      <c r="N185" s="6">
        <f t="shared" ref="N185:W185" si="141">-N80*N74</f>
        <v>-3730.3364880028116</v>
      </c>
      <c r="O185" s="6">
        <f t="shared" si="141"/>
        <v>-4196.9470323300002</v>
      </c>
      <c r="P185" s="6">
        <f t="shared" si="141"/>
        <v>-3553.8166218847496</v>
      </c>
      <c r="Q185" s="6">
        <f t="shared" si="141"/>
        <v>-3945.0668849481826</v>
      </c>
      <c r="R185" s="6">
        <f t="shared" si="141"/>
        <v>-2864.8549283758775</v>
      </c>
      <c r="S185" s="6">
        <f t="shared" si="141"/>
        <v>-3058.5147715519711</v>
      </c>
      <c r="T185" s="6">
        <f t="shared" si="141"/>
        <v>-3233.6240327027826</v>
      </c>
      <c r="U185" s="6">
        <f t="shared" si="141"/>
        <v>-3419.0416034912582</v>
      </c>
      <c r="V185" s="6">
        <f t="shared" si="141"/>
        <v>-3615.3915986598913</v>
      </c>
      <c r="W185" s="6">
        <f t="shared" si="141"/>
        <v>-3823.3369476365415</v>
      </c>
    </row>
    <row r="186" spans="3:23" x14ac:dyDescent="0.4">
      <c r="C186" s="4" t="s">
        <v>86</v>
      </c>
      <c r="H186" s="6">
        <v>-678.34799999999996</v>
      </c>
      <c r="I186" s="6">
        <v>-656.83799999999997</v>
      </c>
      <c r="J186" s="6">
        <v>-726.99199999999996</v>
      </c>
      <c r="K186" s="6">
        <v>-815.29</v>
      </c>
      <c r="L186" s="6">
        <v>-907.90700000000004</v>
      </c>
      <c r="M186" s="6">
        <v>-1018.915</v>
      </c>
      <c r="N186" s="6">
        <f t="shared" ref="N186:W186" si="142">-N80*N75</f>
        <v>-1080.1466735400002</v>
      </c>
      <c r="O186" s="6">
        <f t="shared" si="142"/>
        <v>-1259.084109699</v>
      </c>
      <c r="P186" s="6">
        <f t="shared" si="142"/>
        <v>-1421.5266487539</v>
      </c>
      <c r="Q186" s="6">
        <f t="shared" si="142"/>
        <v>-1578.0267539792731</v>
      </c>
      <c r="R186" s="6">
        <f t="shared" si="142"/>
        <v>-1718.9129570255263</v>
      </c>
      <c r="S186" s="6">
        <f t="shared" si="142"/>
        <v>-1835.1088629311826</v>
      </c>
      <c r="T186" s="6">
        <f t="shared" si="142"/>
        <v>-1940.1744196216694</v>
      </c>
      <c r="U186" s="6">
        <f t="shared" si="142"/>
        <v>-2051.4249620947548</v>
      </c>
      <c r="V186" s="6">
        <f t="shared" si="142"/>
        <v>-2169.2349591959346</v>
      </c>
      <c r="W186" s="6">
        <f t="shared" si="142"/>
        <v>-2294.0021685819247</v>
      </c>
    </row>
    <row r="187" spans="3:23" x14ac:dyDescent="0.4">
      <c r="C187" s="171" t="s">
        <v>77</v>
      </c>
      <c r="H187" s="10">
        <v>-290.18799999999999</v>
      </c>
      <c r="I187" s="10">
        <v>95.442999999999998</v>
      </c>
      <c r="J187" s="10">
        <v>119.774</v>
      </c>
      <c r="K187" s="10">
        <v>113.905</v>
      </c>
      <c r="L187" s="10">
        <v>117.458</v>
      </c>
      <c r="M187" s="10">
        <v>121.976</v>
      </c>
      <c r="N187" s="193">
        <f>AVERAGE(H187:M187)</f>
        <v>46.394666666666666</v>
      </c>
      <c r="O187" s="193">
        <f t="shared" ref="O187:W187" si="143">AVERAGE(I187:N187)</f>
        <v>102.49177777777777</v>
      </c>
      <c r="P187" s="193">
        <f t="shared" si="143"/>
        <v>103.66657407407406</v>
      </c>
      <c r="Q187" s="193">
        <f t="shared" si="143"/>
        <v>100.98200308641975</v>
      </c>
      <c r="R187" s="193">
        <f t="shared" si="143"/>
        <v>98.82817026748971</v>
      </c>
      <c r="S187" s="193">
        <f t="shared" si="143"/>
        <v>95.723198645404651</v>
      </c>
      <c r="T187" s="193">
        <f t="shared" si="143"/>
        <v>91.347731752972109</v>
      </c>
      <c r="U187" s="193">
        <f t="shared" si="143"/>
        <v>98.839909267356347</v>
      </c>
      <c r="V187" s="193">
        <f t="shared" si="143"/>
        <v>98.231264515619429</v>
      </c>
      <c r="W187" s="193">
        <f t="shared" si="143"/>
        <v>97.325379589210328</v>
      </c>
    </row>
    <row r="188" spans="3:23" x14ac:dyDescent="0.4">
      <c r="C188" s="8" t="s">
        <v>87</v>
      </c>
      <c r="H188" s="169">
        <f t="shared" ref="H188:W188" si="144">SUM(H184:H187)</f>
        <v>-2390.08</v>
      </c>
      <c r="I188" s="169">
        <f t="shared" si="144"/>
        <v>-623.92999999999984</v>
      </c>
      <c r="J188" s="169">
        <f t="shared" si="144"/>
        <v>-4166.982</v>
      </c>
      <c r="K188" s="169">
        <f t="shared" si="144"/>
        <v>-4578.9370000000008</v>
      </c>
      <c r="L188" s="169">
        <f t="shared" si="144"/>
        <v>-2830.6669999999999</v>
      </c>
      <c r="M188" s="169">
        <f t="shared" si="144"/>
        <v>-3995.849999999999</v>
      </c>
      <c r="N188" s="169">
        <f t="shared" si="144"/>
        <v>-5513.1991139155298</v>
      </c>
      <c r="O188" s="169">
        <f t="shared" si="144"/>
        <v>-6319.5947693378621</v>
      </c>
      <c r="P188" s="169">
        <f t="shared" si="144"/>
        <v>-5061.4074606258509</v>
      </c>
      <c r="Q188" s="169">
        <f t="shared" si="144"/>
        <v>-5542.1835843882336</v>
      </c>
      <c r="R188" s="169">
        <f t="shared" si="144"/>
        <v>-4618.3887598298325</v>
      </c>
      <c r="S188" s="169">
        <f t="shared" si="144"/>
        <v>-4944.3878005087481</v>
      </c>
      <c r="T188" s="169">
        <f t="shared" si="144"/>
        <v>-5221.5487653129885</v>
      </c>
      <c r="U188" s="169">
        <f t="shared" si="144"/>
        <v>-5501.9642465447005</v>
      </c>
      <c r="V188" s="169">
        <f t="shared" si="144"/>
        <v>-5805.7541269152925</v>
      </c>
      <c r="W188" s="169">
        <f t="shared" si="144"/>
        <v>-6130.2123636390679</v>
      </c>
    </row>
    <row r="189" spans="3:23" x14ac:dyDescent="0.4">
      <c r="C189" s="8"/>
      <c r="H189" s="169"/>
      <c r="I189" s="192"/>
      <c r="J189" s="192"/>
      <c r="K189" s="192"/>
      <c r="L189" s="192"/>
      <c r="M189" s="192"/>
      <c r="N189" s="181"/>
      <c r="O189" s="181"/>
      <c r="P189" s="181"/>
      <c r="Q189" s="181"/>
      <c r="R189" s="181"/>
      <c r="S189" s="181"/>
      <c r="T189" s="181"/>
      <c r="U189" s="181"/>
      <c r="V189" s="181"/>
      <c r="W189" s="181"/>
    </row>
    <row r="190" spans="3:23" x14ac:dyDescent="0.4">
      <c r="C190" s="4" t="s">
        <v>190</v>
      </c>
      <c r="H190" s="6">
        <v>236.61500000000001</v>
      </c>
      <c r="I190" s="6">
        <v>256.71699999999998</v>
      </c>
      <c r="J190" s="6">
        <v>347.08000000000004</v>
      </c>
      <c r="K190" s="6">
        <v>361.02499999999998</v>
      </c>
      <c r="L190" s="6">
        <v>385.50799999999998</v>
      </c>
      <c r="M190" s="6">
        <v>444.46899999999999</v>
      </c>
      <c r="N190" s="170">
        <v>506.50692851203848</v>
      </c>
      <c r="O190" s="170">
        <v>557.15762136324236</v>
      </c>
      <c r="P190" s="170">
        <v>612.87338349956667</v>
      </c>
      <c r="Q190" s="170">
        <v>655.77452034453643</v>
      </c>
      <c r="R190" s="170">
        <v>701.67873676865406</v>
      </c>
      <c r="S190" s="170">
        <v>736.76267360708675</v>
      </c>
      <c r="T190" s="170">
        <v>773.60080728744117</v>
      </c>
      <c r="U190" s="170">
        <v>812.28084765181325</v>
      </c>
      <c r="V190" s="170">
        <v>852.89489003440394</v>
      </c>
      <c r="W190" s="170">
        <v>895.53963453612414</v>
      </c>
    </row>
    <row r="191" spans="3:23" x14ac:dyDescent="0.4">
      <c r="C191" s="32" t="s">
        <v>88</v>
      </c>
      <c r="H191" s="6">
        <v>-2.75</v>
      </c>
      <c r="I191" s="6">
        <v>7.2149999999999999</v>
      </c>
      <c r="J191" s="6">
        <v>-2.75</v>
      </c>
      <c r="K191" s="6">
        <v>-30.227</v>
      </c>
      <c r="L191" s="6">
        <v>0.128</v>
      </c>
      <c r="M191" s="6">
        <v>-22.373999999999999</v>
      </c>
      <c r="N191" s="191">
        <v>-5.075166666666667</v>
      </c>
      <c r="O191" s="191">
        <v>-5.075166666666667</v>
      </c>
      <c r="P191" s="191">
        <v>-5.075166666666667</v>
      </c>
      <c r="Q191" s="191">
        <v>-5.075166666666667</v>
      </c>
      <c r="R191" s="191">
        <v>-5.075166666666667</v>
      </c>
      <c r="S191" s="191">
        <v>-5.075166666666667</v>
      </c>
      <c r="T191" s="191">
        <v>-5.075166666666667</v>
      </c>
      <c r="U191" s="191">
        <v>-5.075166666666667</v>
      </c>
      <c r="V191" s="191">
        <v>-5.075166666666667</v>
      </c>
      <c r="W191" s="191">
        <v>-5.075166666666667</v>
      </c>
    </row>
    <row r="192" spans="3:23" x14ac:dyDescent="0.4">
      <c r="C192" s="32"/>
      <c r="H192" s="6"/>
      <c r="I192" s="6"/>
      <c r="J192" s="6"/>
      <c r="K192" s="6"/>
      <c r="L192" s="6"/>
      <c r="M192" s="6"/>
      <c r="N192" s="164"/>
      <c r="O192" s="164"/>
      <c r="P192" s="164"/>
      <c r="Q192" s="164"/>
      <c r="R192" s="164"/>
      <c r="S192" s="164"/>
    </row>
    <row r="193" spans="3:23" x14ac:dyDescent="0.4">
      <c r="C193" s="32" t="s">
        <v>89</v>
      </c>
      <c r="H193" s="6">
        <f>H195-H194</f>
        <v>1772.9839999999995</v>
      </c>
      <c r="I193" s="6">
        <f t="shared" ref="I193:M193" si="145">I195-I194</f>
        <v>2796.8559999999993</v>
      </c>
      <c r="J193" s="6">
        <f t="shared" si="145"/>
        <v>960.57700000000023</v>
      </c>
      <c r="K193" s="6">
        <f t="shared" si="145"/>
        <v>-255.66400000000021</v>
      </c>
      <c r="L193" s="6">
        <f t="shared" si="145"/>
        <v>167.97299999999996</v>
      </c>
      <c r="M193" s="6">
        <f t="shared" si="145"/>
        <v>260.48399999999947</v>
      </c>
      <c r="N193" s="6">
        <f>N171+N180+N188+SUM(N190:N191)</f>
        <v>-2572.5846596516108</v>
      </c>
      <c r="O193" s="6">
        <f t="shared" ref="O193:W193" si="146">O171+O180+O188+SUM(O190:O191)</f>
        <v>-2606.8843789373932</v>
      </c>
      <c r="P193" s="6">
        <f t="shared" si="146"/>
        <v>715.98245309383685</v>
      </c>
      <c r="Q193" s="6">
        <f t="shared" si="146"/>
        <v>1684.6520968518696</v>
      </c>
      <c r="R193" s="6">
        <f t="shared" si="146"/>
        <v>3590.181926075873</v>
      </c>
      <c r="S193" s="6">
        <f t="shared" si="146"/>
        <v>3876.1352825058079</v>
      </c>
      <c r="T193" s="6">
        <f t="shared" si="146"/>
        <v>2999.3167584605626</v>
      </c>
      <c r="U193" s="6">
        <f t="shared" si="146"/>
        <v>3124.2853340502825</v>
      </c>
      <c r="V193" s="6">
        <f t="shared" si="146"/>
        <v>3134.7960708146329</v>
      </c>
      <c r="W193" s="6">
        <f t="shared" si="146"/>
        <v>3405.0191343423094</v>
      </c>
    </row>
    <row r="194" spans="3:23" x14ac:dyDescent="0.4">
      <c r="C194" s="32" t="s">
        <v>90</v>
      </c>
      <c r="H194" s="10">
        <v>3658.2190000000001</v>
      </c>
      <c r="I194" s="10">
        <v>3913.3960000000002</v>
      </c>
      <c r="J194" s="10">
        <v>4768.558</v>
      </c>
      <c r="K194" s="10">
        <v>3913.3960000000002</v>
      </c>
      <c r="L194" s="10">
        <v>5169.0829999999996</v>
      </c>
      <c r="M194" s="10">
        <v>5587.3720000000003</v>
      </c>
      <c r="N194" s="10">
        <f>M195</f>
        <v>5847.8559999999998</v>
      </c>
      <c r="O194" s="10">
        <f t="shared" ref="O194:W194" si="147">N195</f>
        <v>3275.271340348389</v>
      </c>
      <c r="P194" s="10">
        <f t="shared" si="147"/>
        <v>668.38696141099581</v>
      </c>
      <c r="Q194" s="10">
        <f t="shared" si="147"/>
        <v>1384.3694145048325</v>
      </c>
      <c r="R194" s="10">
        <f t="shared" si="147"/>
        <v>3069.0215113567019</v>
      </c>
      <c r="S194" s="10">
        <f t="shared" si="147"/>
        <v>6659.2034374325749</v>
      </c>
      <c r="T194" s="10">
        <f t="shared" si="147"/>
        <v>10535.338719938383</v>
      </c>
      <c r="U194" s="10">
        <f t="shared" si="147"/>
        <v>13534.655478398945</v>
      </c>
      <c r="V194" s="10">
        <f t="shared" si="147"/>
        <v>16658.940812449226</v>
      </c>
      <c r="W194" s="10">
        <f t="shared" si="147"/>
        <v>19793.73688326386</v>
      </c>
    </row>
    <row r="195" spans="3:23" x14ac:dyDescent="0.4">
      <c r="C195" s="31" t="s">
        <v>91</v>
      </c>
      <c r="H195" s="7">
        <f t="shared" ref="H195:M195" si="148">H114</f>
        <v>5431.2029999999995</v>
      </c>
      <c r="I195" s="7">
        <f t="shared" si="148"/>
        <v>6710.2519999999995</v>
      </c>
      <c r="J195" s="7">
        <f t="shared" si="148"/>
        <v>5729.1350000000002</v>
      </c>
      <c r="K195" s="7">
        <f t="shared" si="148"/>
        <v>3657.732</v>
      </c>
      <c r="L195" s="7">
        <f t="shared" si="148"/>
        <v>5337.0559999999996</v>
      </c>
      <c r="M195" s="7">
        <f t="shared" si="148"/>
        <v>5847.8559999999998</v>
      </c>
      <c r="N195" s="7">
        <f>SUM(N193:N194)</f>
        <v>3275.271340348389</v>
      </c>
      <c r="O195" s="7">
        <f t="shared" ref="O195:W195" si="149">SUM(O193:O194)</f>
        <v>668.38696141099581</v>
      </c>
      <c r="P195" s="7">
        <f t="shared" si="149"/>
        <v>1384.3694145048325</v>
      </c>
      <c r="Q195" s="7">
        <f t="shared" si="149"/>
        <v>3069.0215113567019</v>
      </c>
      <c r="R195" s="7">
        <f t="shared" si="149"/>
        <v>6659.2034374325749</v>
      </c>
      <c r="S195" s="7">
        <f t="shared" si="149"/>
        <v>10535.338719938383</v>
      </c>
      <c r="T195" s="7">
        <f t="shared" si="149"/>
        <v>13534.655478398945</v>
      </c>
      <c r="U195" s="7">
        <f t="shared" si="149"/>
        <v>16658.940812449226</v>
      </c>
      <c r="V195" s="7">
        <f t="shared" si="149"/>
        <v>19793.73688326386</v>
      </c>
      <c r="W195" s="7">
        <f t="shared" si="149"/>
        <v>23198.756017606171</v>
      </c>
    </row>
  </sheetData>
  <dataConsolidate/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8466C-B7AF-48B6-A161-AB0F0E35A155}">
  <dimension ref="B2:I33"/>
  <sheetViews>
    <sheetView showGridLines="0" topLeftCell="A3" zoomScale="60" workbookViewId="0">
      <selection activeCell="O14" sqref="O14"/>
    </sheetView>
  </sheetViews>
  <sheetFormatPr defaultRowHeight="14.5" x14ac:dyDescent="0.35"/>
  <cols>
    <col min="2" max="2" width="3.81640625" customWidth="1"/>
    <col min="3" max="3" width="47.26953125" bestFit="1" customWidth="1"/>
    <col min="9" max="9" width="10.7265625" bestFit="1" customWidth="1"/>
  </cols>
  <sheetData>
    <row r="2" spans="2:9" ht="16" x14ac:dyDescent="0.4">
      <c r="B2" s="5"/>
      <c r="C2" s="5"/>
      <c r="D2" s="177"/>
      <c r="E2" s="177"/>
      <c r="F2" s="177"/>
      <c r="G2" s="5"/>
      <c r="H2" s="5"/>
      <c r="I2" s="5"/>
    </row>
    <row r="3" spans="2:9" ht="18.5" x14ac:dyDescent="0.45">
      <c r="B3" s="503" t="str">
        <f>Company_Name&amp;" - Q3 Financial Results"</f>
        <v>Lam Research Corporation - Q3 Financial Results</v>
      </c>
      <c r="C3" s="621"/>
      <c r="D3" s="622"/>
      <c r="E3" s="622"/>
      <c r="F3" s="622"/>
      <c r="G3" s="621"/>
      <c r="H3" s="621"/>
      <c r="I3" s="621"/>
    </row>
    <row r="4" spans="2:9" ht="18.5" x14ac:dyDescent="0.45">
      <c r="B4" s="623" t="str">
        <f>+[1]WMT_Model!$B$3</f>
        <v>($ in Millions Except Per Share and Per Unit Data)</v>
      </c>
      <c r="C4" s="621"/>
      <c r="D4" s="622"/>
      <c r="E4" s="622"/>
      <c r="F4" s="622"/>
      <c r="G4" s="621"/>
      <c r="H4" s="621"/>
      <c r="I4" s="621"/>
    </row>
    <row r="5" spans="2:9" ht="18.5" x14ac:dyDescent="0.45">
      <c r="B5" s="621"/>
      <c r="C5" s="621"/>
      <c r="D5" s="622"/>
      <c r="E5" s="622"/>
      <c r="F5" s="622"/>
      <c r="G5" s="621"/>
      <c r="H5" s="621"/>
      <c r="I5" s="621"/>
    </row>
    <row r="6" spans="2:9" ht="18.5" x14ac:dyDescent="0.45">
      <c r="B6" s="639"/>
      <c r="C6" s="639"/>
      <c r="D6" s="640"/>
      <c r="E6" s="640"/>
      <c r="F6" s="640"/>
      <c r="G6" s="639"/>
      <c r="H6" s="639"/>
      <c r="I6" s="639"/>
    </row>
    <row r="7" spans="2:9" ht="18.5" x14ac:dyDescent="0.45">
      <c r="B7" s="641" t="s">
        <v>468</v>
      </c>
      <c r="C7" s="642"/>
      <c r="D7" s="643"/>
      <c r="E7" s="643"/>
      <c r="F7" s="643"/>
      <c r="G7" s="642"/>
      <c r="H7" s="642"/>
      <c r="I7" s="644" t="s">
        <v>469</v>
      </c>
    </row>
    <row r="8" spans="2:9" ht="18.5" x14ac:dyDescent="0.45">
      <c r="B8" s="621"/>
      <c r="C8" s="503" t="s">
        <v>195</v>
      </c>
      <c r="D8" s="622"/>
      <c r="E8" s="622"/>
      <c r="F8" s="622"/>
      <c r="G8" s="621"/>
      <c r="H8" s="621"/>
      <c r="I8" s="624">
        <v>4167</v>
      </c>
    </row>
    <row r="9" spans="2:9" ht="18.5" x14ac:dyDescent="0.45">
      <c r="B9" s="621"/>
      <c r="C9" s="625" t="s">
        <v>454</v>
      </c>
      <c r="D9" s="622"/>
      <c r="E9" s="622"/>
      <c r="F9" s="622"/>
      <c r="G9" s="621"/>
      <c r="H9" s="621"/>
      <c r="I9" s="626">
        <f>I8/3482-1</f>
        <v>0.19672601952900637</v>
      </c>
    </row>
    <row r="10" spans="2:9" ht="18.5" x14ac:dyDescent="0.45">
      <c r="B10" s="621"/>
      <c r="C10" s="621" t="s">
        <v>199</v>
      </c>
      <c r="D10" s="622"/>
      <c r="E10" s="622"/>
      <c r="F10" s="622"/>
      <c r="G10" s="621"/>
      <c r="H10" s="621"/>
      <c r="I10" s="627">
        <v>1264</v>
      </c>
    </row>
    <row r="11" spans="2:9" ht="18.5" x14ac:dyDescent="0.45">
      <c r="B11" s="621"/>
      <c r="C11" s="625" t="s">
        <v>455</v>
      </c>
      <c r="D11" s="622"/>
      <c r="E11" s="622"/>
      <c r="F11" s="622"/>
      <c r="G11" s="621"/>
      <c r="H11" s="621"/>
      <c r="I11" s="626">
        <f>+I10/I8</f>
        <v>0.30333573314134871</v>
      </c>
    </row>
    <row r="12" spans="2:9" ht="18.5" x14ac:dyDescent="0.45">
      <c r="B12" s="621"/>
      <c r="C12" s="621"/>
      <c r="D12" s="622"/>
      <c r="E12" s="622"/>
      <c r="F12" s="622"/>
      <c r="G12" s="621"/>
      <c r="H12" s="621"/>
      <c r="I12" s="621"/>
    </row>
    <row r="13" spans="2:9" ht="18.5" x14ac:dyDescent="0.45">
      <c r="B13" s="621"/>
      <c r="C13" s="621" t="s">
        <v>200</v>
      </c>
      <c r="D13" s="622"/>
      <c r="E13" s="622"/>
      <c r="F13" s="622"/>
      <c r="G13" s="621"/>
      <c r="H13" s="621"/>
      <c r="I13" s="628">
        <v>-177</v>
      </c>
    </row>
    <row r="14" spans="2:9" ht="18.5" x14ac:dyDescent="0.45">
      <c r="B14" s="621"/>
      <c r="C14" s="621"/>
      <c r="D14" s="622"/>
      <c r="E14" s="622"/>
      <c r="F14" s="622"/>
      <c r="G14" s="621"/>
      <c r="H14" s="621"/>
      <c r="I14" s="621"/>
    </row>
    <row r="15" spans="2:9" ht="18.5" x14ac:dyDescent="0.45">
      <c r="B15" s="621"/>
      <c r="C15" s="503" t="s">
        <v>456</v>
      </c>
      <c r="D15" s="622"/>
      <c r="E15" s="622"/>
      <c r="F15" s="622"/>
      <c r="G15" s="621"/>
      <c r="H15" s="621"/>
      <c r="I15" s="629">
        <f>I10+I13</f>
        <v>1087</v>
      </c>
    </row>
    <row r="16" spans="2:9" ht="18.5" x14ac:dyDescent="0.45">
      <c r="B16" s="621"/>
      <c r="C16" s="621"/>
      <c r="D16" s="622"/>
      <c r="E16" s="622"/>
      <c r="F16" s="622"/>
      <c r="G16" s="621"/>
      <c r="H16" s="621"/>
      <c r="I16" s="621"/>
    </row>
    <row r="17" spans="2:9" ht="18.5" x14ac:dyDescent="0.45">
      <c r="B17" s="621"/>
      <c r="C17" s="503" t="s">
        <v>202</v>
      </c>
      <c r="D17" s="622"/>
      <c r="E17" s="622"/>
      <c r="F17" s="622"/>
      <c r="G17" s="621"/>
      <c r="H17" s="621"/>
      <c r="I17" s="621"/>
    </row>
    <row r="18" spans="2:9" ht="18.5" x14ac:dyDescent="0.45">
      <c r="B18" s="621"/>
      <c r="C18" s="630" t="s">
        <v>229</v>
      </c>
      <c r="D18" s="622"/>
      <c r="E18" s="622"/>
      <c r="F18" s="622"/>
      <c r="G18" s="621"/>
      <c r="H18" s="621"/>
      <c r="I18" s="631">
        <v>94</v>
      </c>
    </row>
    <row r="19" spans="2:9" ht="18.5" x14ac:dyDescent="0.45">
      <c r="B19" s="621"/>
      <c r="C19" s="630" t="s">
        <v>457</v>
      </c>
      <c r="D19" s="622"/>
      <c r="E19" s="622"/>
      <c r="F19" s="622"/>
      <c r="G19" s="621"/>
      <c r="H19" s="621"/>
      <c r="I19" s="631">
        <v>-108</v>
      </c>
    </row>
    <row r="20" spans="2:9" ht="18.5" x14ac:dyDescent="0.45">
      <c r="B20" s="621"/>
      <c r="C20" s="630" t="s">
        <v>458</v>
      </c>
      <c r="D20" s="622"/>
      <c r="E20" s="622"/>
      <c r="F20" s="622"/>
      <c r="G20" s="621"/>
      <c r="H20" s="621"/>
      <c r="I20" s="631">
        <v>0</v>
      </c>
    </row>
    <row r="21" spans="2:9" ht="18.5" x14ac:dyDescent="0.45">
      <c r="B21" s="621"/>
      <c r="C21" s="632" t="s">
        <v>459</v>
      </c>
      <c r="D21" s="633"/>
      <c r="E21" s="633"/>
      <c r="F21" s="633"/>
      <c r="G21" s="634"/>
      <c r="H21" s="634"/>
      <c r="I21" s="635">
        <f>SUM(I18:I20)</f>
        <v>-14</v>
      </c>
    </row>
    <row r="22" spans="2:9" ht="18.5" x14ac:dyDescent="0.45">
      <c r="B22" s="621"/>
      <c r="C22" s="621"/>
      <c r="D22" s="622"/>
      <c r="E22" s="622"/>
      <c r="F22" s="622"/>
      <c r="G22" s="621"/>
      <c r="H22" s="621"/>
      <c r="I22" s="621"/>
    </row>
    <row r="23" spans="2:9" ht="18.5" x14ac:dyDescent="0.45">
      <c r="B23" s="621"/>
      <c r="C23" s="503" t="s">
        <v>204</v>
      </c>
      <c r="D23" s="622"/>
      <c r="E23" s="622"/>
      <c r="F23" s="622"/>
      <c r="G23" s="621"/>
      <c r="H23" s="621"/>
      <c r="I23" s="621"/>
    </row>
    <row r="24" spans="2:9" ht="18.5" x14ac:dyDescent="0.45">
      <c r="B24" s="621"/>
      <c r="C24" s="630" t="s">
        <v>460</v>
      </c>
      <c r="D24" s="622"/>
      <c r="E24" s="622"/>
      <c r="F24" s="622"/>
      <c r="G24" s="621"/>
      <c r="H24" s="621"/>
      <c r="I24" s="631">
        <v>-418</v>
      </c>
    </row>
    <row r="25" spans="2:9" ht="18.5" x14ac:dyDescent="0.45">
      <c r="B25" s="621"/>
      <c r="C25" s="630" t="s">
        <v>461</v>
      </c>
      <c r="D25" s="622"/>
      <c r="E25" s="622"/>
      <c r="F25" s="622"/>
      <c r="G25" s="621"/>
      <c r="H25" s="621"/>
      <c r="I25" s="631">
        <v>8</v>
      </c>
    </row>
    <row r="26" spans="2:9" ht="18.5" x14ac:dyDescent="0.45">
      <c r="B26" s="621"/>
      <c r="C26" s="630" t="s">
        <v>462</v>
      </c>
      <c r="D26" s="622"/>
      <c r="E26" s="622"/>
      <c r="F26" s="622"/>
      <c r="G26" s="621"/>
      <c r="H26" s="621"/>
      <c r="I26" s="631">
        <v>21</v>
      </c>
    </row>
    <row r="27" spans="2:9" ht="18.5" x14ac:dyDescent="0.45">
      <c r="B27" s="621"/>
      <c r="C27" s="630" t="s">
        <v>463</v>
      </c>
      <c r="D27" s="622"/>
      <c r="E27" s="622"/>
      <c r="F27" s="622"/>
      <c r="G27" s="621"/>
      <c r="H27" s="621"/>
      <c r="I27" s="631">
        <v>91</v>
      </c>
    </row>
    <row r="28" spans="2:9" ht="18.5" x14ac:dyDescent="0.45">
      <c r="B28" s="621"/>
      <c r="C28" s="630" t="s">
        <v>464</v>
      </c>
      <c r="D28" s="622"/>
      <c r="E28" s="622"/>
      <c r="F28" s="622"/>
      <c r="G28" s="621"/>
      <c r="H28" s="621"/>
      <c r="I28" s="631">
        <v>395</v>
      </c>
    </row>
    <row r="29" spans="2:9" ht="18.5" x14ac:dyDescent="0.45">
      <c r="B29" s="621"/>
      <c r="C29" s="632" t="s">
        <v>465</v>
      </c>
      <c r="D29" s="633"/>
      <c r="E29" s="633"/>
      <c r="F29" s="633"/>
      <c r="G29" s="634"/>
      <c r="H29" s="634"/>
      <c r="I29" s="635">
        <f>SUM(I24:I28)</f>
        <v>97</v>
      </c>
    </row>
    <row r="30" spans="2:9" ht="18.5" x14ac:dyDescent="0.45">
      <c r="B30" s="621"/>
      <c r="C30" s="621"/>
      <c r="D30" s="622"/>
      <c r="E30" s="622"/>
      <c r="F30" s="622"/>
      <c r="G30" s="621"/>
      <c r="H30" s="621"/>
      <c r="I30" s="636"/>
    </row>
    <row r="31" spans="2:9" ht="18.5" x14ac:dyDescent="0.45">
      <c r="B31" s="621"/>
      <c r="C31" s="503" t="s">
        <v>466</v>
      </c>
      <c r="D31" s="622"/>
      <c r="E31" s="622"/>
      <c r="F31" s="622"/>
      <c r="G31" s="621"/>
      <c r="H31" s="621"/>
      <c r="I31" s="637">
        <v>-111</v>
      </c>
    </row>
    <row r="32" spans="2:9" ht="18.5" x14ac:dyDescent="0.45">
      <c r="B32" s="621"/>
      <c r="C32" s="621"/>
      <c r="D32" s="622"/>
      <c r="E32" s="622"/>
      <c r="F32" s="622"/>
      <c r="G32" s="621"/>
      <c r="H32" s="621"/>
      <c r="I32" s="621"/>
    </row>
    <row r="33" spans="2:9" ht="18.5" x14ac:dyDescent="0.45">
      <c r="B33" s="621"/>
      <c r="C33" s="503" t="s">
        <v>467</v>
      </c>
      <c r="D33" s="622"/>
      <c r="E33" s="622"/>
      <c r="F33" s="622"/>
      <c r="G33" s="621"/>
      <c r="H33" s="621"/>
      <c r="I33" s="638">
        <f>+I15+I21+I29+I31</f>
        <v>1059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B44F8-15AE-4C21-8274-27C1569034E7}">
  <dimension ref="B3:Z56"/>
  <sheetViews>
    <sheetView showGridLines="0" topLeftCell="A15" zoomScale="48" workbookViewId="0">
      <selection activeCell="K45" sqref="K45"/>
    </sheetView>
  </sheetViews>
  <sheetFormatPr defaultColWidth="8.7265625" defaultRowHeight="16" x14ac:dyDescent="0.4"/>
  <cols>
    <col min="1" max="1" width="8.7265625" style="5"/>
    <col min="2" max="2" width="62.54296875" style="5" bestFit="1" customWidth="1"/>
    <col min="3" max="3" width="6.1796875" style="5" bestFit="1" customWidth="1"/>
    <col min="4" max="4" width="7.1796875" style="5" bestFit="1" customWidth="1"/>
    <col min="5" max="5" width="12.453125" style="5" bestFit="1" customWidth="1"/>
    <col min="6" max="9" width="10.1796875" style="5" bestFit="1" customWidth="1"/>
    <col min="10" max="11" width="9.1796875" style="5" bestFit="1" customWidth="1"/>
    <col min="12" max="12" width="10.54296875" style="5" bestFit="1" customWidth="1"/>
    <col min="13" max="15" width="9.1796875" style="5" bestFit="1" customWidth="1"/>
    <col min="16" max="17" width="9.81640625" style="5" bestFit="1" customWidth="1"/>
    <col min="18" max="20" width="9" style="5" bestFit="1" customWidth="1"/>
    <col min="21" max="23" width="7.81640625" style="5" bestFit="1" customWidth="1"/>
    <col min="24" max="24" width="9.453125" style="5" bestFit="1" customWidth="1"/>
    <col min="25" max="25" width="9.81640625" style="5" bestFit="1" customWidth="1"/>
    <col min="26" max="26" width="9.453125" style="5" bestFit="1" customWidth="1"/>
    <col min="27" max="16384" width="8.7265625" style="5"/>
  </cols>
  <sheetData>
    <row r="3" spans="2:23" x14ac:dyDescent="0.4">
      <c r="B3" s="152"/>
      <c r="C3" s="152"/>
      <c r="D3" s="152"/>
      <c r="E3" s="152"/>
      <c r="F3" s="152"/>
      <c r="G3" s="152"/>
      <c r="H3" s="154"/>
      <c r="I3" s="154"/>
      <c r="J3" s="155"/>
      <c r="K3" s="156"/>
      <c r="L3" s="154"/>
      <c r="M3" s="154"/>
      <c r="N3" s="154"/>
      <c r="O3" s="154"/>
      <c r="P3" s="154"/>
      <c r="Q3" s="154"/>
      <c r="R3" s="155"/>
      <c r="S3" s="154"/>
      <c r="T3" s="154"/>
    </row>
    <row r="4" spans="2:23" x14ac:dyDescent="0.4">
      <c r="B4" s="151" t="s">
        <v>95</v>
      </c>
      <c r="C4" s="152" t="s">
        <v>9</v>
      </c>
      <c r="D4" s="152"/>
      <c r="E4" s="2">
        <f>Model!H18</f>
        <v>43646</v>
      </c>
      <c r="F4" s="2">
        <f>Model!I18</f>
        <v>44012</v>
      </c>
      <c r="G4" s="2">
        <f>Model!J18</f>
        <v>44377</v>
      </c>
      <c r="H4" s="2">
        <f>Model!K18</f>
        <v>44742</v>
      </c>
      <c r="I4" s="2">
        <f>Model!L18</f>
        <v>45107</v>
      </c>
      <c r="J4" s="2">
        <f>Model!M18</f>
        <v>45473</v>
      </c>
      <c r="K4" s="81">
        <f>Model!N18</f>
        <v>45838</v>
      </c>
      <c r="L4" s="2">
        <f>Model!O18</f>
        <v>46203</v>
      </c>
      <c r="M4" s="2">
        <f>Model!P18</f>
        <v>46568</v>
      </c>
      <c r="N4" s="2">
        <f>Model!Q18</f>
        <v>46934</v>
      </c>
      <c r="O4" s="2">
        <f>Model!R18</f>
        <v>47299</v>
      </c>
      <c r="P4" s="2">
        <f>Model!S18</f>
        <v>47664</v>
      </c>
      <c r="Q4" s="2">
        <f>Model!T18</f>
        <v>48029</v>
      </c>
      <c r="R4" s="2">
        <f>Model!U18</f>
        <v>48395</v>
      </c>
      <c r="S4" s="2">
        <f>Model!V18</f>
        <v>48760</v>
      </c>
      <c r="T4" s="2">
        <f>Model!W18</f>
        <v>49125</v>
      </c>
      <c r="U4" s="82"/>
      <c r="V4" s="82"/>
      <c r="W4" s="82"/>
    </row>
    <row r="6" spans="2:23" x14ac:dyDescent="0.4">
      <c r="B6" s="46" t="s">
        <v>96</v>
      </c>
      <c r="C6" s="47" t="s">
        <v>12</v>
      </c>
      <c r="D6" s="48"/>
      <c r="E6" s="49">
        <v>55</v>
      </c>
      <c r="F6" s="50">
        <v>0</v>
      </c>
      <c r="G6" s="51"/>
      <c r="J6" s="52"/>
      <c r="K6" s="52"/>
    </row>
    <row r="7" spans="2:23" x14ac:dyDescent="0.4">
      <c r="B7" s="46" t="s">
        <v>97</v>
      </c>
      <c r="C7" s="47" t="s">
        <v>12</v>
      </c>
      <c r="D7" s="53">
        <f>F154</f>
        <v>0</v>
      </c>
      <c r="E7" s="49">
        <v>50</v>
      </c>
      <c r="F7" s="52"/>
      <c r="G7" s="52"/>
      <c r="J7" s="52"/>
      <c r="K7" s="52"/>
    </row>
    <row r="8" spans="2:23" x14ac:dyDescent="0.4">
      <c r="B8" s="46"/>
      <c r="C8" s="47"/>
      <c r="D8" s="52"/>
      <c r="E8" s="52"/>
      <c r="F8" s="52"/>
      <c r="G8" s="52"/>
      <c r="H8" s="52"/>
      <c r="I8" s="52"/>
      <c r="J8" s="52"/>
      <c r="K8" s="52"/>
    </row>
    <row r="9" spans="2:23" x14ac:dyDescent="0.4">
      <c r="B9" s="46" t="s">
        <v>98</v>
      </c>
      <c r="C9" s="47" t="s">
        <v>30</v>
      </c>
      <c r="D9" s="52"/>
      <c r="E9" s="54">
        <v>1.4999999999999999E-2</v>
      </c>
      <c r="F9" s="54">
        <v>3.0000000000000001E-3</v>
      </c>
      <c r="G9" s="54">
        <v>3.0000000000000001E-3</v>
      </c>
      <c r="H9" s="54">
        <v>3.0000000000000001E-3</v>
      </c>
      <c r="I9" s="54">
        <v>0.05</v>
      </c>
      <c r="J9" s="54">
        <v>0.05</v>
      </c>
      <c r="K9" s="55">
        <v>4.4999999999999998E-2</v>
      </c>
      <c r="L9" s="55">
        <v>0.03</v>
      </c>
      <c r="M9" s="55">
        <v>0.03</v>
      </c>
      <c r="N9" s="55">
        <v>0.03</v>
      </c>
      <c r="O9" s="55">
        <v>0.03</v>
      </c>
    </row>
    <row r="10" spans="2:23" x14ac:dyDescent="0.4">
      <c r="B10" s="46"/>
      <c r="C10" s="47"/>
      <c r="D10" s="52"/>
      <c r="E10" s="56"/>
      <c r="F10" s="56"/>
      <c r="G10" s="56"/>
      <c r="H10" s="56"/>
      <c r="I10" s="56"/>
    </row>
    <row r="11" spans="2:23" x14ac:dyDescent="0.4">
      <c r="B11" s="46" t="s">
        <v>99</v>
      </c>
      <c r="C11" s="47" t="s">
        <v>12</v>
      </c>
      <c r="D11" s="52"/>
      <c r="E11" s="60">
        <v>4489.8990000000003</v>
      </c>
      <c r="F11" s="60">
        <v>5810.7250000000004</v>
      </c>
      <c r="G11" s="60">
        <v>5001.6819999999998</v>
      </c>
      <c r="H11" s="60">
        <v>5005.83</v>
      </c>
      <c r="I11" s="60">
        <v>5011.5410000000002</v>
      </c>
      <c r="J11" s="60">
        <v>4983.3340000000007</v>
      </c>
      <c r="K11" s="58">
        <f>J17</f>
        <v>4983.3340000000007</v>
      </c>
      <c r="L11" s="58">
        <f t="shared" ref="L11:T11" si="0">K17</f>
        <v>4234.223380960615</v>
      </c>
      <c r="M11" s="58">
        <f t="shared" si="0"/>
        <v>3268.1679758739751</v>
      </c>
      <c r="N11" s="58">
        <f t="shared" si="0"/>
        <v>3078.4372118127003</v>
      </c>
      <c r="O11" s="58">
        <f t="shared" si="0"/>
        <v>2958.365263265503</v>
      </c>
      <c r="P11" s="58">
        <f t="shared" si="0"/>
        <v>2824.9162185695855</v>
      </c>
      <c r="Q11" s="58">
        <f t="shared" si="0"/>
        <v>2678.4288538985866</v>
      </c>
      <c r="R11" s="58">
        <f t="shared" si="0"/>
        <v>2539.330809157078</v>
      </c>
      <c r="S11" s="58">
        <f t="shared" si="0"/>
        <v>2408.9932189310348</v>
      </c>
      <c r="T11" s="58">
        <f t="shared" si="0"/>
        <v>2289.6343853559483</v>
      </c>
    </row>
    <row r="12" spans="2:23" x14ac:dyDescent="0.4">
      <c r="B12" s="46"/>
      <c r="C12" s="47"/>
      <c r="D12" s="52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</row>
    <row r="13" spans="2:23" x14ac:dyDescent="0.4">
      <c r="B13" s="59" t="s">
        <v>100</v>
      </c>
      <c r="C13" s="47" t="s">
        <v>12</v>
      </c>
      <c r="D13" s="52"/>
      <c r="E13" s="60">
        <v>0</v>
      </c>
      <c r="F13" s="60">
        <v>0</v>
      </c>
      <c r="G13" s="60">
        <v>0</v>
      </c>
      <c r="H13" s="60">
        <v>0</v>
      </c>
      <c r="I13" s="60">
        <v>0</v>
      </c>
      <c r="J13" s="60">
        <v>0</v>
      </c>
      <c r="K13" s="67">
        <v>-500</v>
      </c>
      <c r="L13" s="67">
        <v>-750</v>
      </c>
      <c r="M13" s="60">
        <v>0</v>
      </c>
      <c r="N13" s="60">
        <v>0</v>
      </c>
      <c r="O13" s="67">
        <v>-1000</v>
      </c>
      <c r="P13" s="67">
        <v>-750</v>
      </c>
      <c r="Q13" s="67">
        <v>0</v>
      </c>
      <c r="R13" s="67">
        <v>0</v>
      </c>
      <c r="S13" s="67">
        <v>0</v>
      </c>
      <c r="T13" s="67">
        <v>0</v>
      </c>
    </row>
    <row r="14" spans="2:23" x14ac:dyDescent="0.4">
      <c r="B14" s="59" t="s">
        <v>101</v>
      </c>
      <c r="C14" s="47" t="s">
        <v>12</v>
      </c>
      <c r="D14" s="52"/>
      <c r="E14" s="60">
        <v>2476.7199999999998</v>
      </c>
      <c r="F14" s="60">
        <v>1974.6510000000001</v>
      </c>
      <c r="G14" s="60">
        <v>0</v>
      </c>
      <c r="H14" s="60">
        <v>0</v>
      </c>
      <c r="I14" s="60">
        <v>0</v>
      </c>
      <c r="J14" s="60">
        <v>0</v>
      </c>
      <c r="K14" s="60">
        <v>0</v>
      </c>
      <c r="L14" s="60">
        <v>0</v>
      </c>
      <c r="M14" s="60">
        <v>0</v>
      </c>
      <c r="N14" s="60">
        <v>0</v>
      </c>
      <c r="O14" s="60">
        <v>1000</v>
      </c>
      <c r="P14" s="196">
        <v>750</v>
      </c>
      <c r="Q14" s="60">
        <v>0</v>
      </c>
      <c r="R14" s="60">
        <v>0</v>
      </c>
      <c r="S14" s="60">
        <v>0</v>
      </c>
      <c r="T14" s="60">
        <v>0</v>
      </c>
    </row>
    <row r="16" spans="2:23" x14ac:dyDescent="0.4">
      <c r="B16" s="46" t="s">
        <v>102</v>
      </c>
      <c r="E16" s="176">
        <f t="shared" ref="E16:N16" si="1">SUM(E11:E14)</f>
        <v>6966.6190000000006</v>
      </c>
      <c r="F16" s="176">
        <f t="shared" si="1"/>
        <v>7785.3760000000002</v>
      </c>
      <c r="G16" s="176">
        <f t="shared" si="1"/>
        <v>5001.6819999999998</v>
      </c>
      <c r="H16" s="176">
        <f t="shared" si="1"/>
        <v>5005.83</v>
      </c>
      <c r="I16" s="176">
        <f t="shared" si="1"/>
        <v>5011.5410000000002</v>
      </c>
      <c r="J16" s="176">
        <f t="shared" si="1"/>
        <v>4983.3340000000007</v>
      </c>
      <c r="K16" s="176">
        <f t="shared" si="1"/>
        <v>4483.3340000000007</v>
      </c>
      <c r="L16" s="176">
        <f t="shared" si="1"/>
        <v>3484.223380960615</v>
      </c>
      <c r="M16" s="176">
        <f t="shared" si="1"/>
        <v>3268.1679758739751</v>
      </c>
      <c r="N16" s="176">
        <f t="shared" si="1"/>
        <v>3078.4372118127003</v>
      </c>
      <c r="O16" s="176">
        <f t="shared" ref="O16:T16" si="2">SUM(O11:O14)</f>
        <v>2958.365263265503</v>
      </c>
      <c r="P16" s="176">
        <f t="shared" si="2"/>
        <v>2824.9162185695855</v>
      </c>
      <c r="Q16" s="176">
        <f t="shared" si="2"/>
        <v>2678.4288538985866</v>
      </c>
      <c r="R16" s="176">
        <f t="shared" si="2"/>
        <v>2539.330809157078</v>
      </c>
      <c r="S16" s="176">
        <f t="shared" si="2"/>
        <v>2408.9932189310348</v>
      </c>
      <c r="T16" s="176">
        <f t="shared" si="2"/>
        <v>2289.6343853559483</v>
      </c>
    </row>
    <row r="17" spans="2:26" x14ac:dyDescent="0.4">
      <c r="B17" s="61" t="s">
        <v>103</v>
      </c>
      <c r="C17" s="47" t="s">
        <v>12</v>
      </c>
      <c r="D17" s="52"/>
      <c r="E17" s="62">
        <f t="shared" ref="E17:J17" si="3">SUM(E16:E16)</f>
        <v>6966.6190000000006</v>
      </c>
      <c r="F17" s="62">
        <f t="shared" si="3"/>
        <v>7785.3760000000002</v>
      </c>
      <c r="G17" s="62">
        <f t="shared" si="3"/>
        <v>5001.6819999999998</v>
      </c>
      <c r="H17" s="62">
        <f t="shared" si="3"/>
        <v>5005.83</v>
      </c>
      <c r="I17" s="62">
        <f t="shared" si="3"/>
        <v>5011.5410000000002</v>
      </c>
      <c r="J17" s="62">
        <f t="shared" si="3"/>
        <v>4983.3340000000007</v>
      </c>
      <c r="K17" s="62">
        <f>SUM(K16,K20)</f>
        <v>4234.223380960615</v>
      </c>
      <c r="L17" s="62">
        <f t="shared" ref="L17:T17" si="4">SUM(L16,L20)</f>
        <v>3268.1679758739751</v>
      </c>
      <c r="M17" s="62">
        <f t="shared" si="4"/>
        <v>3078.4372118127003</v>
      </c>
      <c r="N17" s="62">
        <f t="shared" si="4"/>
        <v>2958.365263265503</v>
      </c>
      <c r="O17" s="62">
        <f t="shared" si="4"/>
        <v>2824.9162185695855</v>
      </c>
      <c r="P17" s="62">
        <f t="shared" si="4"/>
        <v>2678.4288538985866</v>
      </c>
      <c r="Q17" s="62">
        <f t="shared" si="4"/>
        <v>2539.330809157078</v>
      </c>
      <c r="R17" s="62">
        <f t="shared" si="4"/>
        <v>2408.9932189310348</v>
      </c>
      <c r="S17" s="62">
        <f t="shared" si="4"/>
        <v>2289.6343853559483</v>
      </c>
      <c r="T17" s="62">
        <f t="shared" si="4"/>
        <v>2179.4357583461356</v>
      </c>
    </row>
    <row r="18" spans="2:26" x14ac:dyDescent="0.4">
      <c r="B18" s="46" t="s">
        <v>194</v>
      </c>
      <c r="C18" s="47"/>
      <c r="D18" s="52"/>
      <c r="E18" s="62"/>
      <c r="F18" s="75">
        <f>F17-E17</f>
        <v>818.75699999999961</v>
      </c>
      <c r="G18" s="75">
        <f t="shared" ref="G18:T18" si="5">G17-F17</f>
        <v>-2783.6940000000004</v>
      </c>
      <c r="H18" s="75">
        <f t="shared" si="5"/>
        <v>4.1480000000001382</v>
      </c>
      <c r="I18" s="75">
        <f t="shared" si="5"/>
        <v>5.7110000000002401</v>
      </c>
      <c r="J18" s="75">
        <f t="shared" si="5"/>
        <v>-28.206999999999425</v>
      </c>
      <c r="K18" s="75">
        <f t="shared" si="5"/>
        <v>-749.11061903938571</v>
      </c>
      <c r="L18" s="75">
        <f t="shared" si="5"/>
        <v>-966.05540508663989</v>
      </c>
      <c r="M18" s="75">
        <f t="shared" si="5"/>
        <v>-189.73076406127484</v>
      </c>
      <c r="N18" s="75">
        <f t="shared" si="5"/>
        <v>-120.07194854719728</v>
      </c>
      <c r="O18" s="75">
        <f t="shared" si="5"/>
        <v>-133.44904469591756</v>
      </c>
      <c r="P18" s="75">
        <f t="shared" si="5"/>
        <v>-146.48736467099889</v>
      </c>
      <c r="Q18" s="75">
        <f t="shared" si="5"/>
        <v>-139.0980447415086</v>
      </c>
      <c r="R18" s="75">
        <f t="shared" si="5"/>
        <v>-130.33759022604318</v>
      </c>
      <c r="S18" s="75">
        <f t="shared" si="5"/>
        <v>-119.35883357508646</v>
      </c>
      <c r="T18" s="75">
        <f t="shared" si="5"/>
        <v>-110.19862700981275</v>
      </c>
    </row>
    <row r="19" spans="2:26" x14ac:dyDescent="0.4">
      <c r="B19" s="194"/>
      <c r="C19" s="47"/>
      <c r="D19" s="5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</row>
    <row r="20" spans="2:26" x14ac:dyDescent="0.4">
      <c r="B20" s="46" t="s">
        <v>192</v>
      </c>
      <c r="C20" s="47"/>
      <c r="D20" s="52"/>
      <c r="E20" s="60">
        <v>-117.65300000000001</v>
      </c>
      <c r="F20" s="60">
        <v>-667.53700000000003</v>
      </c>
      <c r="G20" s="60">
        <v>-862.06</v>
      </c>
      <c r="H20" s="60">
        <v>-11.888999999999999</v>
      </c>
      <c r="I20" s="60">
        <v>-23.206</v>
      </c>
      <c r="J20" s="60">
        <v>-256.10399999999998</v>
      </c>
      <c r="K20" s="58">
        <f>-K16*K21</f>
        <v>-249.11061903938599</v>
      </c>
      <c r="L20" s="58">
        <f t="shared" ref="L20:T20" si="6">-L16*L21</f>
        <v>-216.05540508663992</v>
      </c>
      <c r="M20" s="58">
        <f t="shared" si="6"/>
        <v>-189.73076406127498</v>
      </c>
      <c r="N20" s="58">
        <f t="shared" si="6"/>
        <v>-120.07194854719744</v>
      </c>
      <c r="O20" s="58">
        <f t="shared" si="6"/>
        <v>-133.44904469591742</v>
      </c>
      <c r="P20" s="58">
        <f t="shared" si="6"/>
        <v>-146.48736467099897</v>
      </c>
      <c r="Q20" s="58">
        <f t="shared" si="6"/>
        <v>-139.09804474150872</v>
      </c>
      <c r="R20" s="58">
        <f t="shared" si="6"/>
        <v>-130.33759022604337</v>
      </c>
      <c r="S20" s="58">
        <f t="shared" si="6"/>
        <v>-119.35883357508656</v>
      </c>
      <c r="T20" s="58">
        <f t="shared" si="6"/>
        <v>-110.19862700981295</v>
      </c>
    </row>
    <row r="21" spans="2:26" x14ac:dyDescent="0.4">
      <c r="B21" s="46" t="s">
        <v>191</v>
      </c>
      <c r="C21" s="65" t="s">
        <v>30</v>
      </c>
      <c r="D21" s="52"/>
      <c r="E21" s="195">
        <f t="shared" ref="E21:J21" si="7">-E20/E17</f>
        <v>1.6888105980820824E-2</v>
      </c>
      <c r="F21" s="195">
        <f t="shared" si="7"/>
        <v>8.5742422716642078E-2</v>
      </c>
      <c r="G21" s="195">
        <f t="shared" si="7"/>
        <v>0.17235402010763579</v>
      </c>
      <c r="H21" s="195">
        <f t="shared" si="7"/>
        <v>2.3750307141872577E-3</v>
      </c>
      <c r="I21" s="195">
        <f t="shared" si="7"/>
        <v>4.6305118525419627E-3</v>
      </c>
      <c r="J21" s="195">
        <f t="shared" si="7"/>
        <v>5.1392100148214014E-2</v>
      </c>
      <c r="K21" s="195">
        <f>AVERAGE(E21:J21)</f>
        <v>5.5563698586673656E-2</v>
      </c>
      <c r="L21" s="195">
        <f t="shared" ref="L21:T21" si="8">AVERAGE(F21:K21)</f>
        <v>6.2009630687649121E-2</v>
      </c>
      <c r="M21" s="195">
        <f t="shared" si="8"/>
        <v>5.8054165349483634E-2</v>
      </c>
      <c r="N21" s="195">
        <f t="shared" si="8"/>
        <v>3.900418955645827E-2</v>
      </c>
      <c r="O21" s="195">
        <f t="shared" si="8"/>
        <v>4.5109049363503441E-2</v>
      </c>
      <c r="P21" s="195">
        <f t="shared" si="8"/>
        <v>5.1855472281997023E-2</v>
      </c>
      <c r="Q21" s="195">
        <f t="shared" si="8"/>
        <v>5.1932700970960866E-2</v>
      </c>
      <c r="R21" s="195">
        <f t="shared" si="8"/>
        <v>5.1327534701675392E-2</v>
      </c>
      <c r="S21" s="195">
        <f t="shared" si="8"/>
        <v>4.9547185370679779E-2</v>
      </c>
      <c r="T21" s="195">
        <f t="shared" si="8"/>
        <v>4.8129355374212458E-2</v>
      </c>
    </row>
    <row r="22" spans="2:26" x14ac:dyDescent="0.4">
      <c r="B22" s="46"/>
      <c r="C22" s="65"/>
      <c r="D22" s="52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</row>
    <row r="23" spans="2:26" x14ac:dyDescent="0.4">
      <c r="B23" s="46" t="s">
        <v>104</v>
      </c>
      <c r="C23" s="47" t="s">
        <v>12</v>
      </c>
      <c r="D23" s="52"/>
      <c r="E23" s="67">
        <v>-177.2</v>
      </c>
      <c r="F23" s="67">
        <v>-177.4</v>
      </c>
      <c r="G23" s="67">
        <v>-208.5</v>
      </c>
      <c r="H23" s="67">
        <v>-184.75899999999999</v>
      </c>
      <c r="I23" s="67">
        <v>-186.46199999999999</v>
      </c>
      <c r="J23" s="67">
        <v>-185.23599999999999</v>
      </c>
      <c r="K23" s="67">
        <v>-169.583</v>
      </c>
      <c r="L23" s="67">
        <v>-147.922</v>
      </c>
      <c r="M23" s="67">
        <v>-128</v>
      </c>
      <c r="N23" s="67">
        <v>-128</v>
      </c>
      <c r="O23" s="67">
        <v>-116.333</v>
      </c>
      <c r="P23" s="67">
        <v>-116.333</v>
      </c>
      <c r="Q23" s="67">
        <v>-116.333</v>
      </c>
      <c r="R23" s="67">
        <v>-116.333</v>
      </c>
      <c r="S23" s="67">
        <v>-116.333</v>
      </c>
      <c r="T23" s="67">
        <v>-116.333</v>
      </c>
      <c r="U23" s="1"/>
      <c r="V23"/>
      <c r="W23"/>
      <c r="X23"/>
      <c r="Y23"/>
      <c r="Z23"/>
    </row>
    <row r="24" spans="2:26" x14ac:dyDescent="0.4">
      <c r="B24" s="64" t="s">
        <v>105</v>
      </c>
      <c r="C24" s="65" t="s">
        <v>30</v>
      </c>
      <c r="D24" s="52"/>
      <c r="E24" s="52">
        <f>-E23/E17</f>
        <v>2.5435580731485385E-2</v>
      </c>
      <c r="F24" s="52">
        <f t="shared" ref="F24:O24" si="9">-F23/F17</f>
        <v>2.2786311155684708E-2</v>
      </c>
      <c r="G24" s="52">
        <f t="shared" si="9"/>
        <v>4.1685976837391905E-2</v>
      </c>
      <c r="H24" s="52">
        <f t="shared" si="9"/>
        <v>3.6908764380732068E-2</v>
      </c>
      <c r="I24" s="52">
        <f t="shared" si="9"/>
        <v>3.7206519910742024E-2</v>
      </c>
      <c r="J24" s="52">
        <f t="shared" si="9"/>
        <v>3.7171098706207523E-2</v>
      </c>
      <c r="K24" s="52">
        <f t="shared" si="9"/>
        <v>4.0050555849872715E-2</v>
      </c>
      <c r="L24" s="52">
        <f t="shared" si="9"/>
        <v>4.5261443442313462E-2</v>
      </c>
      <c r="M24" s="52">
        <f t="shared" si="9"/>
        <v>4.1579538965041539E-2</v>
      </c>
      <c r="N24" s="52">
        <f t="shared" si="9"/>
        <v>4.326713864220777E-2</v>
      </c>
      <c r="O24" s="52">
        <f t="shared" si="9"/>
        <v>4.1181044320990859E-2</v>
      </c>
      <c r="P24" s="52">
        <f t="shared" ref="P24" si="10">-P23/P17</f>
        <v>4.3433298528975865E-2</v>
      </c>
      <c r="Q24" s="52">
        <f t="shared" ref="Q24" si="11">-Q23/Q17</f>
        <v>4.5812463496481708E-2</v>
      </c>
      <c r="R24" s="52">
        <f t="shared" ref="R24" si="12">-R23/R17</f>
        <v>4.8291128047102408E-2</v>
      </c>
      <c r="S24" s="52">
        <f t="shared" ref="S24" si="13">-S23/S17</f>
        <v>5.080854862420088E-2</v>
      </c>
      <c r="T24" s="52">
        <f t="shared" ref="T24" si="14">-T23/T17</f>
        <v>5.3377576996478791E-2</v>
      </c>
      <c r="U24"/>
      <c r="V24"/>
      <c r="W24"/>
      <c r="X24"/>
      <c r="Y24"/>
      <c r="Z24"/>
    </row>
    <row r="25" spans="2:26" x14ac:dyDescent="0.4">
      <c r="R25" s="8"/>
      <c r="S25" s="174"/>
      <c r="T25" s="174"/>
      <c r="U25" s="174"/>
      <c r="V25" s="174"/>
      <c r="W25" s="174"/>
      <c r="X25" s="174"/>
      <c r="Y25" s="174"/>
      <c r="Z25" s="174"/>
    </row>
    <row r="26" spans="2:26" x14ac:dyDescent="0.4">
      <c r="R26" s="8"/>
      <c r="S26" s="29"/>
      <c r="T26" s="30"/>
      <c r="U26" s="30"/>
      <c r="V26" s="39"/>
      <c r="W26" s="39"/>
      <c r="X26" s="30"/>
      <c r="Y26" s="30"/>
      <c r="Z26" s="30"/>
    </row>
    <row r="27" spans="2:26" x14ac:dyDescent="0.4">
      <c r="B27" s="46" t="s">
        <v>106</v>
      </c>
      <c r="C27" s="47" t="s">
        <v>12</v>
      </c>
      <c r="D27" s="52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S27" s="29"/>
      <c r="T27" s="30"/>
      <c r="U27" s="30"/>
      <c r="V27" s="30"/>
      <c r="W27" s="30"/>
      <c r="X27" s="30"/>
      <c r="Y27" s="30"/>
      <c r="Z27" s="30"/>
    </row>
    <row r="28" spans="2:26" x14ac:dyDescent="0.4">
      <c r="B28" s="46"/>
      <c r="C28" s="47"/>
      <c r="D28" s="52"/>
      <c r="E28" s="52"/>
      <c r="F28" s="52"/>
      <c r="G28" s="52"/>
      <c r="H28" s="52"/>
      <c r="I28" s="52"/>
      <c r="T28" s="175"/>
      <c r="U28" s="175"/>
      <c r="V28" s="175"/>
      <c r="W28" s="175"/>
      <c r="X28" s="175"/>
      <c r="Y28" s="175"/>
      <c r="Z28" s="175"/>
    </row>
    <row r="29" spans="2:26" x14ac:dyDescent="0.4">
      <c r="B29" s="5" t="s">
        <v>107</v>
      </c>
      <c r="C29" s="47" t="s">
        <v>30</v>
      </c>
      <c r="D29" s="52"/>
      <c r="E29" s="66">
        <f>Model!H107</f>
        <v>0.48996231242969601</v>
      </c>
      <c r="F29" s="66">
        <f>Model!I107</f>
        <v>0.52905482445538043</v>
      </c>
      <c r="G29" s="66">
        <f>Model!J107</f>
        <v>0.45350811098507815</v>
      </c>
      <c r="H29" s="66">
        <f>Model!K107</f>
        <v>0.44361423711534265</v>
      </c>
      <c r="I29" s="66">
        <f>Model!L107</f>
        <v>0.37903870701171616</v>
      </c>
      <c r="J29" s="66">
        <f>Model!M107</f>
        <v>0.36851380055651256</v>
      </c>
      <c r="K29" s="66">
        <f>Model!N107</f>
        <v>0.33666272823900156</v>
      </c>
      <c r="L29" s="66">
        <f>Model!O107</f>
        <v>0.28775685570765908</v>
      </c>
      <c r="M29" s="66">
        <f>Model!P107</f>
        <v>0.23616539148277527</v>
      </c>
      <c r="N29" s="66">
        <f>Model!Q107</f>
        <v>0.19918872922165373</v>
      </c>
      <c r="O29" s="66">
        <f>Model!R107</f>
        <v>0.15609997128051908</v>
      </c>
      <c r="P29" s="66">
        <f>Model!S107</f>
        <v>0.12468417439475557</v>
      </c>
      <c r="Q29" s="66">
        <f>Model!T107</f>
        <v>0.10162733736500494</v>
      </c>
      <c r="R29" s="66">
        <f>Model!U107</f>
        <v>8.4256696336912518E-2</v>
      </c>
      <c r="S29" s="66">
        <f>Model!V107</f>
        <v>7.0604272139834973E-2</v>
      </c>
      <c r="T29" s="66">
        <f>Model!W107</f>
        <v>5.9513364426529131E-2</v>
      </c>
    </row>
    <row r="31" spans="2:26" x14ac:dyDescent="0.4">
      <c r="B31" s="152"/>
      <c r="C31" s="152"/>
      <c r="D31" s="152"/>
      <c r="E31" s="152"/>
      <c r="F31" s="152"/>
      <c r="G31" s="152"/>
      <c r="H31" s="154"/>
      <c r="I31" s="154"/>
      <c r="J31" s="155"/>
      <c r="K31" s="156"/>
      <c r="L31" s="154"/>
      <c r="M31" s="154"/>
      <c r="N31" s="154"/>
      <c r="O31" s="154"/>
      <c r="P31" s="154"/>
      <c r="Q31" s="154"/>
      <c r="R31" s="155"/>
      <c r="S31" s="154"/>
      <c r="T31" s="154"/>
    </row>
    <row r="32" spans="2:26" x14ac:dyDescent="0.4">
      <c r="B32" s="151" t="s">
        <v>108</v>
      </c>
      <c r="C32" s="152"/>
      <c r="D32" s="152"/>
      <c r="E32" s="2">
        <v>43496</v>
      </c>
      <c r="F32" s="2">
        <f>EOMONTH(E32,12)</f>
        <v>43861</v>
      </c>
      <c r="G32" s="2">
        <f t="shared" ref="G32:O32" si="15">EOMONTH(F32,12)</f>
        <v>44227</v>
      </c>
      <c r="H32" s="2">
        <f t="shared" si="15"/>
        <v>44592</v>
      </c>
      <c r="I32" s="2">
        <f t="shared" si="15"/>
        <v>44957</v>
      </c>
      <c r="J32" s="2">
        <f t="shared" si="15"/>
        <v>45322</v>
      </c>
      <c r="K32" s="81">
        <f t="shared" si="15"/>
        <v>45688</v>
      </c>
      <c r="L32" s="2">
        <f>EOMONTH(K32,12)</f>
        <v>46053</v>
      </c>
      <c r="M32" s="2">
        <f t="shared" si="15"/>
        <v>46418</v>
      </c>
      <c r="N32" s="2">
        <f t="shared" si="15"/>
        <v>46783</v>
      </c>
      <c r="O32" s="2">
        <f t="shared" si="15"/>
        <v>47149</v>
      </c>
      <c r="P32" s="2">
        <f t="shared" ref="P32" si="16">EOMONTH(O32,12)</f>
        <v>47514</v>
      </c>
      <c r="Q32" s="2">
        <f t="shared" ref="Q32" si="17">EOMONTH(P32,12)</f>
        <v>47879</v>
      </c>
      <c r="R32" s="2">
        <f t="shared" ref="R32" si="18">EOMONTH(Q32,12)</f>
        <v>48244</v>
      </c>
      <c r="S32" s="2">
        <f t="shared" ref="S32" si="19">EOMONTH(R32,12)</f>
        <v>48610</v>
      </c>
      <c r="T32" s="2">
        <f t="shared" ref="T32" si="20">EOMONTH(S32,12)</f>
        <v>48975</v>
      </c>
    </row>
    <row r="34" spans="2:20" x14ac:dyDescent="0.4">
      <c r="B34" s="59" t="s">
        <v>109</v>
      </c>
      <c r="C34" s="47" t="s">
        <v>12</v>
      </c>
      <c r="E34" s="67">
        <v>303.49099999999999</v>
      </c>
      <c r="F34" s="67">
        <v>232.52899999999988</v>
      </c>
      <c r="G34" s="67">
        <v>502.96400000000011</v>
      </c>
      <c r="H34" s="67">
        <v>647.33199999999988</v>
      </c>
      <c r="I34" s="67">
        <v>618.12100000000009</v>
      </c>
      <c r="J34" s="67">
        <v>627.63600000000019</v>
      </c>
      <c r="K34" s="68">
        <f>-Model!N92*Debt!K35</f>
        <v>945.12833934750006</v>
      </c>
      <c r="L34" s="68">
        <f>-Model!O92*Debt!L35</f>
        <v>1292.6596859576402</v>
      </c>
      <c r="M34" s="68">
        <f>-Model!P92*Debt!M35</f>
        <v>894.81928552553609</v>
      </c>
      <c r="N34" s="68">
        <f>-Model!Q92*Debt!N35</f>
        <v>921.86454943849458</v>
      </c>
      <c r="O34" s="68">
        <f>-Model!R92*Debt!O35</f>
        <v>925.51024323967442</v>
      </c>
      <c r="P34" s="68">
        <f>-Model!S92*Debt!P35</f>
        <v>886.09305257433243</v>
      </c>
      <c r="Q34" s="68">
        <f>-Model!T92*Debt!Q35</f>
        <v>896.85343998837322</v>
      </c>
      <c r="R34" s="68">
        <f>-Model!U92*Debt!R35</f>
        <v>966.4238741635595</v>
      </c>
      <c r="S34" s="68">
        <f>-Model!V92*Debt!S35</f>
        <v>1016.7609439265036</v>
      </c>
      <c r="T34" s="68">
        <f>-Model!W92*Debt!T35</f>
        <v>1052.0655544239489</v>
      </c>
    </row>
    <row r="35" spans="2:20" x14ac:dyDescent="0.4">
      <c r="B35" s="59" t="s">
        <v>110</v>
      </c>
      <c r="C35" s="47" t="s">
        <v>30</v>
      </c>
      <c r="E35" s="69">
        <f>E34/-Model!H92</f>
        <v>0.16026122033429319</v>
      </c>
      <c r="F35" s="69">
        <f>F34/-Model!I92</f>
        <v>0.12017679548873807</v>
      </c>
      <c r="G35" s="69">
        <f>G34/-Model!J92</f>
        <v>0.21648847772742286</v>
      </c>
      <c r="H35" s="69">
        <f>H34/-Model!K92</f>
        <v>0.25997425687303333</v>
      </c>
      <c r="I35" s="69">
        <f>I34/-Model!L92</f>
        <v>0.2375501764944381</v>
      </c>
      <c r="J35" s="69">
        <f>J34/-Model!M92</f>
        <v>0.22504964362012259</v>
      </c>
      <c r="K35" s="21">
        <v>0.25</v>
      </c>
      <c r="L35" s="21">
        <v>0.28000000000000003</v>
      </c>
      <c r="M35" s="21">
        <v>0.22</v>
      </c>
      <c r="N35" s="21">
        <v>0.2</v>
      </c>
      <c r="O35" s="21">
        <v>0.18</v>
      </c>
      <c r="P35" s="21">
        <v>0.16</v>
      </c>
      <c r="Q35" s="21">
        <v>0.15</v>
      </c>
      <c r="R35" s="21">
        <v>0.15</v>
      </c>
      <c r="S35" s="21">
        <v>0.15</v>
      </c>
      <c r="T35" s="21">
        <v>0.15</v>
      </c>
    </row>
    <row r="36" spans="2:20" x14ac:dyDescent="0.4">
      <c r="B36" s="70"/>
      <c r="C36" s="47"/>
      <c r="E36" s="69"/>
      <c r="F36" s="69"/>
      <c r="G36" s="69"/>
      <c r="H36" s="69"/>
      <c r="I36" s="69"/>
      <c r="J36" s="72"/>
      <c r="K36" s="72"/>
      <c r="L36" s="72"/>
      <c r="M36" s="72"/>
      <c r="N36" s="72"/>
      <c r="O36" s="72"/>
    </row>
    <row r="37" spans="2:20" x14ac:dyDescent="0.4">
      <c r="B37" s="70"/>
      <c r="C37" s="47"/>
      <c r="E37" s="69"/>
      <c r="F37" s="57"/>
      <c r="G37" s="57"/>
      <c r="H37" s="57"/>
      <c r="I37" s="57"/>
      <c r="J37" s="57"/>
      <c r="K37" s="72"/>
      <c r="L37" s="198"/>
      <c r="M37" s="72"/>
      <c r="N37" s="72"/>
      <c r="O37" s="72"/>
    </row>
    <row r="38" spans="2:20" x14ac:dyDescent="0.4">
      <c r="B38" s="70" t="s">
        <v>111</v>
      </c>
      <c r="C38" s="47" t="s">
        <v>12</v>
      </c>
      <c r="D38" s="172"/>
      <c r="E38" s="78">
        <v>1276.027</v>
      </c>
      <c r="F38" s="78">
        <v>1240.0309999999999</v>
      </c>
      <c r="G38" s="78">
        <v>1435.8440000000001</v>
      </c>
      <c r="H38" s="78">
        <v>1749.4369999999999</v>
      </c>
      <c r="I38" s="78">
        <v>2025.126</v>
      </c>
      <c r="J38" s="78">
        <v>2293.0630000000001</v>
      </c>
      <c r="K38" s="68">
        <f>J38+K34-K56</f>
        <v>2724.1087882649499</v>
      </c>
      <c r="L38" s="68">
        <f t="shared" ref="L38:T38" si="21">K38+L34-L56</f>
        <v>3311.8403764546147</v>
      </c>
      <c r="M38" s="68">
        <f t="shared" si="21"/>
        <v>3408.3504833236825</v>
      </c>
      <c r="N38" s="68">
        <f t="shared" si="21"/>
        <v>3451.5530114233925</v>
      </c>
      <c r="O38" s="68">
        <f t="shared" si="21"/>
        <v>3435.2461457383356</v>
      </c>
      <c r="P38" s="68">
        <f t="shared" si="21"/>
        <v>3488.7411152403347</v>
      </c>
      <c r="Q38" s="68">
        <f t="shared" si="21"/>
        <v>3605.8336772934808</v>
      </c>
      <c r="R38" s="68">
        <f t="shared" si="21"/>
        <v>3821.9869037688554</v>
      </c>
      <c r="S38" s="68">
        <f t="shared" si="21"/>
        <v>4101.9536978956739</v>
      </c>
      <c r="T38" s="68">
        <f t="shared" si="21"/>
        <v>4413.6946414701924</v>
      </c>
    </row>
    <row r="39" spans="2:20" x14ac:dyDescent="0.4">
      <c r="B39" s="71"/>
      <c r="C39" s="47"/>
      <c r="E39" s="57"/>
      <c r="F39" s="69">
        <f t="shared" ref="F39:J39" si="22">F38/E38-1</f>
        <v>-2.8209434439866898E-2</v>
      </c>
      <c r="G39" s="69">
        <f t="shared" si="22"/>
        <v>0.15790976193337114</v>
      </c>
      <c r="H39" s="69">
        <f t="shared" si="22"/>
        <v>0.21840325272104755</v>
      </c>
      <c r="I39" s="69">
        <f t="shared" si="22"/>
        <v>0.15758726950441782</v>
      </c>
      <c r="J39" s="69">
        <f t="shared" si="22"/>
        <v>0.13230633550702531</v>
      </c>
      <c r="K39" s="69">
        <f t="shared" ref="K39" si="23">K38/J38-1</f>
        <v>0.18797817079816381</v>
      </c>
      <c r="L39" s="69">
        <f t="shared" ref="L39" si="24">L38/K38-1</f>
        <v>0.21575187845710264</v>
      </c>
      <c r="M39" s="69">
        <f t="shared" ref="M39" si="25">M38/L38-1</f>
        <v>2.9140929482955213E-2</v>
      </c>
      <c r="N39" s="69">
        <f t="shared" ref="N39" si="26">N38/M38-1</f>
        <v>1.2675494586337432E-2</v>
      </c>
      <c r="O39" s="69">
        <f t="shared" ref="O39" si="27">O38/N38-1</f>
        <v>-4.7245010089913553E-3</v>
      </c>
      <c r="P39" s="69">
        <f t="shared" ref="P39" si="28">P38/O38-1</f>
        <v>1.5572383239076837E-2</v>
      </c>
      <c r="Q39" s="69">
        <f t="shared" ref="Q39" si="29">Q38/P38-1</f>
        <v>3.3562983949033898E-2</v>
      </c>
      <c r="R39" s="69">
        <f t="shared" ref="R39" si="30">R38/Q38-1</f>
        <v>5.9945423394463848E-2</v>
      </c>
      <c r="S39" s="69">
        <f t="shared" ref="S39" si="31">S38/R38-1</f>
        <v>7.3251636171422607E-2</v>
      </c>
      <c r="T39" s="69">
        <f t="shared" ref="T39" si="32">T38/S38-1</f>
        <v>7.599816246937241E-2</v>
      </c>
    </row>
    <row r="40" spans="2:20" x14ac:dyDescent="0.4">
      <c r="B40" s="71"/>
      <c r="C40" s="47"/>
      <c r="E40" s="57"/>
      <c r="F40" s="69"/>
      <c r="G40" s="69"/>
      <c r="H40" s="69"/>
      <c r="I40" s="69"/>
      <c r="J40" s="69"/>
      <c r="K40" s="69"/>
      <c r="L40" s="69"/>
      <c r="M40" s="69"/>
      <c r="N40" s="69"/>
      <c r="O40" s="69"/>
    </row>
    <row r="41" spans="2:20" x14ac:dyDescent="0.4">
      <c r="B41" s="73"/>
      <c r="C41" s="47"/>
      <c r="E41" s="57"/>
      <c r="F41" s="57"/>
      <c r="G41" s="57"/>
      <c r="H41" s="57"/>
      <c r="I41" s="57"/>
      <c r="J41" s="74"/>
      <c r="K41" s="74"/>
      <c r="L41" s="74"/>
      <c r="M41" s="74"/>
      <c r="N41" s="74"/>
      <c r="O41" s="74"/>
    </row>
    <row r="42" spans="2:20" x14ac:dyDescent="0.4">
      <c r="B42" s="46" t="s">
        <v>112</v>
      </c>
      <c r="C42" s="47" t="s">
        <v>30</v>
      </c>
      <c r="E42" s="182">
        <f t="shared" ref="E42:J42" si="33">E45/E38</f>
        <v>0.24237810014991845</v>
      </c>
      <c r="F42" s="182">
        <f t="shared" si="33"/>
        <v>0.2165470056796967</v>
      </c>
      <c r="G42" s="182">
        <f t="shared" si="33"/>
        <v>0.21391669289978577</v>
      </c>
      <c r="H42" s="182">
        <f t="shared" si="33"/>
        <v>0.1907693732326457</v>
      </c>
      <c r="I42" s="182">
        <f t="shared" si="33"/>
        <v>0.16909170096082912</v>
      </c>
      <c r="J42" s="182">
        <f t="shared" si="33"/>
        <v>0.15686398498427648</v>
      </c>
      <c r="K42" s="183">
        <v>0.15</v>
      </c>
      <c r="L42" s="183">
        <f>K42-1%</f>
        <v>0.13999999999999999</v>
      </c>
      <c r="M42" s="183">
        <f t="shared" ref="M42:P42" si="34">L42-1%</f>
        <v>0.12999999999999998</v>
      </c>
      <c r="N42" s="183">
        <f t="shared" si="34"/>
        <v>0.11999999999999998</v>
      </c>
      <c r="O42" s="183">
        <f t="shared" si="34"/>
        <v>0.10999999999999999</v>
      </c>
      <c r="P42" s="183">
        <f t="shared" si="34"/>
        <v>9.9999999999999992E-2</v>
      </c>
      <c r="Q42" s="183">
        <v>9.9999999999999992E-2</v>
      </c>
      <c r="R42" s="183">
        <v>9.9999999999999992E-2</v>
      </c>
      <c r="S42" s="183">
        <v>9.9999999999999992E-2</v>
      </c>
      <c r="T42" s="183">
        <v>9.9999999999999992E-2</v>
      </c>
    </row>
    <row r="43" spans="2:20" x14ac:dyDescent="0.4">
      <c r="B43" s="46" t="s">
        <v>113</v>
      </c>
      <c r="C43" s="47" t="s">
        <v>30</v>
      </c>
      <c r="E43" s="72"/>
      <c r="F43" s="72"/>
      <c r="G43" s="72"/>
      <c r="H43" s="72"/>
      <c r="I43" s="72"/>
      <c r="J43" s="72"/>
      <c r="K43" s="183">
        <v>0.18</v>
      </c>
      <c r="L43" s="183">
        <v>0.16</v>
      </c>
      <c r="M43" s="183">
        <v>0.14000000000000001</v>
      </c>
      <c r="N43" s="183">
        <v>0.12</v>
      </c>
      <c r="O43" s="183">
        <v>0.1</v>
      </c>
      <c r="P43" s="183">
        <v>0.1</v>
      </c>
      <c r="Q43" s="183">
        <v>0.1</v>
      </c>
      <c r="R43" s="183">
        <v>0.1</v>
      </c>
      <c r="S43" s="183">
        <v>0.1</v>
      </c>
      <c r="T43" s="183">
        <v>0.1</v>
      </c>
    </row>
    <row r="44" spans="2:20" x14ac:dyDescent="0.4">
      <c r="B44" s="46"/>
      <c r="C44" s="47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</row>
    <row r="45" spans="2:20" x14ac:dyDescent="0.4">
      <c r="B45" s="46" t="s">
        <v>114</v>
      </c>
      <c r="C45" s="47" t="s">
        <v>12</v>
      </c>
      <c r="E45" s="173">
        <v>309.28100000000001</v>
      </c>
      <c r="F45" s="173">
        <v>268.52499999999998</v>
      </c>
      <c r="G45" s="173">
        <v>307.15100000000001</v>
      </c>
      <c r="H45" s="173">
        <v>333.73899999999998</v>
      </c>
      <c r="I45" s="173">
        <v>342.43200000000002</v>
      </c>
      <c r="J45" s="173">
        <v>359.69900000000001</v>
      </c>
      <c r="K45" s="75">
        <f>$J$38*K42</f>
        <v>343.95945</v>
      </c>
      <c r="L45" s="75">
        <f t="shared" ref="L45:T45" si="35">$J$38*L42</f>
        <v>321.02882</v>
      </c>
      <c r="M45" s="75">
        <f t="shared" si="35"/>
        <v>298.09818999999993</v>
      </c>
      <c r="N45" s="75">
        <f t="shared" si="35"/>
        <v>275.16755999999998</v>
      </c>
      <c r="O45" s="75">
        <f t="shared" si="35"/>
        <v>252.23692999999997</v>
      </c>
      <c r="P45" s="75">
        <f t="shared" si="35"/>
        <v>229.30629999999999</v>
      </c>
      <c r="Q45" s="75">
        <f t="shared" si="35"/>
        <v>229.30629999999999</v>
      </c>
      <c r="R45" s="75">
        <f t="shared" si="35"/>
        <v>229.30629999999999</v>
      </c>
      <c r="S45" s="75">
        <f t="shared" si="35"/>
        <v>229.30629999999999</v>
      </c>
      <c r="T45" s="75">
        <f t="shared" si="35"/>
        <v>229.30629999999999</v>
      </c>
    </row>
    <row r="46" spans="2:20" x14ac:dyDescent="0.4">
      <c r="B46" s="46" t="s">
        <v>115</v>
      </c>
      <c r="C46" s="47" t="s">
        <v>12</v>
      </c>
      <c r="F46" s="75"/>
      <c r="G46" s="75"/>
      <c r="H46" s="75"/>
      <c r="I46" s="75"/>
      <c r="J46" s="75"/>
      <c r="K46" s="75">
        <f>$K$34*K43</f>
        <v>170.12310108254999</v>
      </c>
      <c r="L46" s="75">
        <f t="shared" ref="L46:T46" si="36">$K$34*L43</f>
        <v>151.2205342956</v>
      </c>
      <c r="M46" s="75">
        <f t="shared" si="36"/>
        <v>132.31796750865001</v>
      </c>
      <c r="N46" s="75">
        <f t="shared" si="36"/>
        <v>113.41540072170001</v>
      </c>
      <c r="O46" s="75">
        <f t="shared" si="36"/>
        <v>94.512833934750006</v>
      </c>
      <c r="P46" s="75">
        <f t="shared" si="36"/>
        <v>94.512833934750006</v>
      </c>
      <c r="Q46" s="75">
        <f t="shared" si="36"/>
        <v>94.512833934750006</v>
      </c>
      <c r="R46" s="75">
        <f t="shared" si="36"/>
        <v>94.512833934750006</v>
      </c>
      <c r="S46" s="75">
        <f t="shared" si="36"/>
        <v>94.512833934750006</v>
      </c>
      <c r="T46" s="75">
        <f t="shared" si="36"/>
        <v>94.512833934750006</v>
      </c>
    </row>
    <row r="47" spans="2:20" x14ac:dyDescent="0.4">
      <c r="B47" s="46" t="s">
        <v>116</v>
      </c>
      <c r="C47" s="47" t="s">
        <v>12</v>
      </c>
      <c r="J47" s="75"/>
      <c r="K47" s="75"/>
      <c r="L47" s="75">
        <f>$L$34*K43</f>
        <v>232.67874347237523</v>
      </c>
      <c r="M47" s="75">
        <f t="shared" ref="M47:T47" si="37">$L$34*L43</f>
        <v>206.82554975322245</v>
      </c>
      <c r="N47" s="75">
        <f t="shared" si="37"/>
        <v>180.97235603406966</v>
      </c>
      <c r="O47" s="75">
        <f t="shared" si="37"/>
        <v>155.11916231491682</v>
      </c>
      <c r="P47" s="75">
        <f t="shared" si="37"/>
        <v>129.26596859576404</v>
      </c>
      <c r="Q47" s="75">
        <f t="shared" si="37"/>
        <v>129.26596859576404</v>
      </c>
      <c r="R47" s="75">
        <f t="shared" si="37"/>
        <v>129.26596859576404</v>
      </c>
      <c r="S47" s="75">
        <f t="shared" si="37"/>
        <v>129.26596859576404</v>
      </c>
      <c r="T47" s="75">
        <f t="shared" si="37"/>
        <v>129.26596859576404</v>
      </c>
    </row>
    <row r="48" spans="2:20" x14ac:dyDescent="0.4">
      <c r="B48" s="46" t="s">
        <v>117</v>
      </c>
      <c r="C48" s="47" t="s">
        <v>12</v>
      </c>
      <c r="J48" s="75"/>
      <c r="K48" s="75"/>
      <c r="L48" s="75"/>
      <c r="M48" s="75">
        <f>$M$34*K43</f>
        <v>161.06747139459648</v>
      </c>
      <c r="N48" s="75">
        <f t="shared" ref="N48:T48" si="38">$M$34*L43</f>
        <v>143.17108568408577</v>
      </c>
      <c r="O48" s="75">
        <f t="shared" si="38"/>
        <v>125.27469997357507</v>
      </c>
      <c r="P48" s="75">
        <f t="shared" si="38"/>
        <v>107.37831426306433</v>
      </c>
      <c r="Q48" s="75">
        <f t="shared" si="38"/>
        <v>89.481928552553612</v>
      </c>
      <c r="R48" s="75">
        <f t="shared" si="38"/>
        <v>89.481928552553612</v>
      </c>
      <c r="S48" s="75">
        <f t="shared" si="38"/>
        <v>89.481928552553612</v>
      </c>
      <c r="T48" s="75">
        <f t="shared" si="38"/>
        <v>89.481928552553612</v>
      </c>
    </row>
    <row r="49" spans="2:20" x14ac:dyDescent="0.4">
      <c r="B49" s="46" t="s">
        <v>118</v>
      </c>
      <c r="C49" s="47" t="s">
        <v>12</v>
      </c>
      <c r="J49" s="75"/>
      <c r="K49" s="75"/>
      <c r="L49" s="75"/>
      <c r="M49" s="75"/>
      <c r="N49" s="75">
        <f>N34*K43</f>
        <v>165.93561889892902</v>
      </c>
      <c r="O49" s="75">
        <f t="shared" ref="O49:T49" si="39">O34*L43</f>
        <v>148.08163891834792</v>
      </c>
      <c r="P49" s="75">
        <f t="shared" si="39"/>
        <v>124.05302736040655</v>
      </c>
      <c r="Q49" s="75">
        <f t="shared" si="39"/>
        <v>107.62241279860478</v>
      </c>
      <c r="R49" s="75">
        <f t="shared" si="39"/>
        <v>96.642387416355959</v>
      </c>
      <c r="S49" s="75">
        <f t="shared" si="39"/>
        <v>101.67609439265037</v>
      </c>
      <c r="T49" s="75">
        <f t="shared" si="39"/>
        <v>105.2065554423949</v>
      </c>
    </row>
    <row r="50" spans="2:20" x14ac:dyDescent="0.4">
      <c r="B50" s="46" t="s">
        <v>119</v>
      </c>
      <c r="C50" s="47" t="s">
        <v>12</v>
      </c>
      <c r="J50" s="75"/>
      <c r="K50" s="75"/>
      <c r="L50" s="75"/>
      <c r="M50" s="75"/>
      <c r="N50" s="75"/>
      <c r="O50" s="75">
        <f>$O$34*K43</f>
        <v>166.5918437831414</v>
      </c>
      <c r="P50" s="75">
        <f t="shared" ref="P50:T50" si="40">$O$34*L43</f>
        <v>148.08163891834792</v>
      </c>
      <c r="Q50" s="75">
        <f t="shared" si="40"/>
        <v>129.57143405355444</v>
      </c>
      <c r="R50" s="75">
        <f t="shared" si="40"/>
        <v>111.06122918876093</v>
      </c>
      <c r="S50" s="75">
        <f t="shared" si="40"/>
        <v>92.551024323967454</v>
      </c>
      <c r="T50" s="75">
        <f t="shared" si="40"/>
        <v>92.551024323967454</v>
      </c>
    </row>
    <row r="51" spans="2:20" x14ac:dyDescent="0.4">
      <c r="B51" s="46" t="s">
        <v>181</v>
      </c>
      <c r="C51" s="47"/>
      <c r="J51" s="75"/>
      <c r="K51" s="75"/>
      <c r="L51" s="75"/>
      <c r="M51" s="75"/>
      <c r="N51" s="75"/>
      <c r="O51" s="75"/>
      <c r="P51" s="75">
        <f>$P$34*K43</f>
        <v>159.49674946337984</v>
      </c>
      <c r="Q51" s="75">
        <f t="shared" ref="Q51:T51" si="41">$P$34*L43</f>
        <v>141.77488841189319</v>
      </c>
      <c r="R51" s="75">
        <f t="shared" si="41"/>
        <v>124.05302736040655</v>
      </c>
      <c r="S51" s="75">
        <f t="shared" si="41"/>
        <v>106.33116630891989</v>
      </c>
      <c r="T51" s="75">
        <f t="shared" si="41"/>
        <v>88.609305257433249</v>
      </c>
    </row>
    <row r="52" spans="2:20" x14ac:dyDescent="0.4">
      <c r="B52" s="46" t="s">
        <v>182</v>
      </c>
      <c r="C52" s="47"/>
      <c r="J52" s="75"/>
      <c r="K52" s="75"/>
      <c r="L52" s="75"/>
      <c r="M52" s="75"/>
      <c r="N52" s="75"/>
      <c r="O52" s="75"/>
      <c r="Q52" s="75">
        <f>$Q$34*K43</f>
        <v>161.43361919790718</v>
      </c>
      <c r="R52" s="75">
        <f t="shared" ref="R52:T52" si="42">$Q$34*L43</f>
        <v>143.49655039813973</v>
      </c>
      <c r="S52" s="75">
        <f t="shared" si="42"/>
        <v>125.55948159837226</v>
      </c>
      <c r="T52" s="75">
        <f t="shared" si="42"/>
        <v>107.62241279860478</v>
      </c>
    </row>
    <row r="53" spans="2:20" x14ac:dyDescent="0.4">
      <c r="B53" s="46" t="s">
        <v>183</v>
      </c>
      <c r="C53" s="47"/>
      <c r="J53" s="75"/>
      <c r="K53" s="75"/>
      <c r="L53" s="75"/>
      <c r="M53" s="75"/>
      <c r="N53" s="75"/>
      <c r="O53" s="75"/>
      <c r="R53" s="75">
        <f>$R$34*K43</f>
        <v>173.95629734944072</v>
      </c>
      <c r="S53" s="75">
        <f t="shared" ref="S53:T53" si="43">$R$34*L43</f>
        <v>154.62781986616952</v>
      </c>
      <c r="T53" s="75">
        <f t="shared" si="43"/>
        <v>135.29934238289835</v>
      </c>
    </row>
    <row r="54" spans="2:20" x14ac:dyDescent="0.4">
      <c r="B54" s="46" t="s">
        <v>184</v>
      </c>
      <c r="C54" s="47"/>
      <c r="J54" s="75"/>
      <c r="K54" s="75"/>
      <c r="L54" s="75"/>
      <c r="M54" s="75"/>
      <c r="N54" s="75"/>
      <c r="O54" s="75"/>
      <c r="S54" s="75">
        <f>$S$34*K43</f>
        <v>183.01696990677064</v>
      </c>
      <c r="T54" s="75">
        <f>$S$34*L43</f>
        <v>162.68175102824057</v>
      </c>
    </row>
    <row r="55" spans="2:20" x14ac:dyDescent="0.4">
      <c r="B55" s="46" t="s">
        <v>185</v>
      </c>
      <c r="C55" s="47"/>
      <c r="J55" s="75"/>
      <c r="K55" s="75"/>
      <c r="L55" s="75"/>
      <c r="M55" s="75"/>
      <c r="N55" s="75"/>
      <c r="O55" s="75"/>
      <c r="T55" s="75">
        <f>$T$34*K43</f>
        <v>189.3717997963108</v>
      </c>
    </row>
    <row r="56" spans="2:20" x14ac:dyDescent="0.4">
      <c r="B56" s="76" t="s">
        <v>120</v>
      </c>
      <c r="C56" s="47" t="s">
        <v>12</v>
      </c>
      <c r="E56" s="77">
        <f t="shared" ref="E56:I56" si="44">SUM(E45:E50)</f>
        <v>309.28100000000001</v>
      </c>
      <c r="F56" s="77">
        <f t="shared" si="44"/>
        <v>268.52499999999998</v>
      </c>
      <c r="G56" s="77">
        <f t="shared" si="44"/>
        <v>307.15100000000001</v>
      </c>
      <c r="H56" s="77">
        <f t="shared" si="44"/>
        <v>333.73899999999998</v>
      </c>
      <c r="I56" s="77">
        <f t="shared" si="44"/>
        <v>342.43200000000002</v>
      </c>
      <c r="J56" s="77">
        <f>SUM(J45:J50)</f>
        <v>359.69900000000001</v>
      </c>
      <c r="K56" s="77">
        <f t="shared" ref="K56:T56" si="45">SUM(K45:K50)</f>
        <v>514.08255108255003</v>
      </c>
      <c r="L56" s="77">
        <f t="shared" si="45"/>
        <v>704.92809776797526</v>
      </c>
      <c r="M56" s="77">
        <f t="shared" si="45"/>
        <v>798.30917865646882</v>
      </c>
      <c r="N56" s="77">
        <f t="shared" si="45"/>
        <v>878.66202133878437</v>
      </c>
      <c r="O56" s="77">
        <f t="shared" si="45"/>
        <v>941.8171089247312</v>
      </c>
      <c r="P56" s="77">
        <f t="shared" si="45"/>
        <v>832.59808307233277</v>
      </c>
      <c r="Q56" s="77">
        <f t="shared" si="45"/>
        <v>779.76087793522674</v>
      </c>
      <c r="R56" s="77">
        <f t="shared" si="45"/>
        <v>750.27064768818445</v>
      </c>
      <c r="S56" s="77">
        <f t="shared" si="45"/>
        <v>736.79414979968544</v>
      </c>
      <c r="T56" s="77">
        <f t="shared" si="45"/>
        <v>740.32461084942997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40A78-B0FE-4E91-A7B5-42618A263959}">
  <dimension ref="B2:W102"/>
  <sheetViews>
    <sheetView showGridLines="0" tabSelected="1" topLeftCell="A23" zoomScale="53" workbookViewId="0">
      <selection activeCell="G6" sqref="G6"/>
    </sheetView>
  </sheetViews>
  <sheetFormatPr defaultColWidth="8.7265625" defaultRowHeight="16" x14ac:dyDescent="0.4"/>
  <cols>
    <col min="1" max="1" width="8.7265625" style="5"/>
    <col min="2" max="2" width="4.453125" style="5" customWidth="1"/>
    <col min="3" max="3" width="45.81640625" style="5" customWidth="1"/>
    <col min="4" max="4" width="8.7265625" style="5"/>
    <col min="5" max="5" width="10.1796875" style="5" bestFit="1" customWidth="1"/>
    <col min="6" max="6" width="9" style="5" bestFit="1" customWidth="1"/>
    <col min="7" max="7" width="11.453125" style="5" bestFit="1" customWidth="1"/>
    <col min="8" max="8" width="9.7265625" style="5" bestFit="1" customWidth="1"/>
    <col min="9" max="10" width="10.1796875" style="5" bestFit="1" customWidth="1"/>
    <col min="11" max="11" width="10.1796875" style="5" customWidth="1"/>
    <col min="12" max="12" width="13" style="5" customWidth="1"/>
    <col min="13" max="16" width="10.1796875" style="5" bestFit="1" customWidth="1"/>
    <col min="17" max="17" width="15.7265625" style="5" bestFit="1" customWidth="1"/>
    <col min="18" max="23" width="10.1796875" style="5" bestFit="1" customWidth="1"/>
    <col min="24" max="16384" width="8.7265625" style="5"/>
  </cols>
  <sheetData>
    <row r="2" spans="2:23" x14ac:dyDescent="0.4">
      <c r="B2" s="152"/>
      <c r="C2" s="152"/>
      <c r="D2" s="152"/>
      <c r="E2" s="152"/>
      <c r="F2" s="152"/>
      <c r="G2" s="152"/>
      <c r="H2" s="154"/>
      <c r="I2" s="154"/>
      <c r="J2" s="155" t="s">
        <v>11</v>
      </c>
      <c r="K2" s="154"/>
      <c r="L2" s="154"/>
      <c r="M2" s="154"/>
      <c r="N2" s="156"/>
      <c r="O2" s="154"/>
      <c r="P2" s="154"/>
      <c r="Q2" s="154"/>
      <c r="R2" s="155" t="s">
        <v>122</v>
      </c>
      <c r="S2" s="154"/>
      <c r="T2" s="154"/>
      <c r="U2" s="154"/>
      <c r="V2" s="154"/>
      <c r="W2" s="154"/>
    </row>
    <row r="3" spans="2:23" x14ac:dyDescent="0.4">
      <c r="B3" s="151" t="s">
        <v>160</v>
      </c>
      <c r="C3" s="152"/>
      <c r="D3" s="152"/>
      <c r="E3" s="153" t="s">
        <v>9</v>
      </c>
      <c r="F3" s="157"/>
      <c r="G3" s="152"/>
      <c r="H3" s="2">
        <f>Model!H18</f>
        <v>43646</v>
      </c>
      <c r="I3" s="2">
        <f>Model!I18</f>
        <v>44012</v>
      </c>
      <c r="J3" s="2">
        <f>Model!J18</f>
        <v>44377</v>
      </c>
      <c r="K3" s="2">
        <f>Model!K18</f>
        <v>44742</v>
      </c>
      <c r="L3" s="2">
        <f>Model!L18</f>
        <v>45107</v>
      </c>
      <c r="M3" s="2">
        <f>Model!M18</f>
        <v>45473</v>
      </c>
      <c r="N3" s="83">
        <f>Model!N18</f>
        <v>45838</v>
      </c>
      <c r="O3" s="2">
        <f>Model!O18</f>
        <v>46203</v>
      </c>
      <c r="P3" s="2">
        <f>Model!P18</f>
        <v>46568</v>
      </c>
      <c r="Q3" s="2">
        <f>Model!Q18</f>
        <v>46934</v>
      </c>
      <c r="R3" s="2">
        <f>Model!R18</f>
        <v>47299</v>
      </c>
      <c r="S3" s="2">
        <f>Model!S18</f>
        <v>47664</v>
      </c>
      <c r="T3" s="2">
        <f>Model!T18</f>
        <v>48029</v>
      </c>
      <c r="U3" s="2">
        <f>Model!U18</f>
        <v>48395</v>
      </c>
      <c r="V3" s="2">
        <f>Model!V18</f>
        <v>48760</v>
      </c>
      <c r="W3" s="2">
        <f>Model!W18</f>
        <v>49125</v>
      </c>
    </row>
    <row r="4" spans="2:23" x14ac:dyDescent="0.4">
      <c r="B4" s="84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</row>
    <row r="5" spans="2:23" x14ac:dyDescent="0.4">
      <c r="B5" s="84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</row>
    <row r="6" spans="2:23" x14ac:dyDescent="0.4">
      <c r="B6" s="84"/>
      <c r="C6" s="85"/>
      <c r="D6" s="84"/>
      <c r="E6" s="86" t="s">
        <v>123</v>
      </c>
      <c r="F6" s="84"/>
      <c r="G6" s="87" t="s">
        <v>132</v>
      </c>
      <c r="I6" s="84"/>
      <c r="J6" s="84"/>
      <c r="K6" s="84"/>
      <c r="L6" s="84"/>
      <c r="M6" s="84"/>
      <c r="N6" s="84"/>
      <c r="O6" s="84"/>
    </row>
    <row r="7" spans="2:23" x14ac:dyDescent="0.4">
      <c r="B7" s="84"/>
      <c r="C7" s="5" t="s">
        <v>18</v>
      </c>
      <c r="E7" s="12" t="s">
        <v>19</v>
      </c>
      <c r="G7" s="13" t="str">
        <f>Company_Name</f>
        <v>Lam Research Corporation</v>
      </c>
      <c r="H7" s="88"/>
      <c r="I7" s="84"/>
      <c r="N7" s="19"/>
    </row>
    <row r="8" spans="2:23" x14ac:dyDescent="0.4">
      <c r="B8" s="84"/>
      <c r="C8" s="5" t="s">
        <v>21</v>
      </c>
      <c r="E8" s="12" t="s">
        <v>19</v>
      </c>
      <c r="G8" s="18" t="str">
        <f>Ticker</f>
        <v>LRCX</v>
      </c>
      <c r="H8" s="19"/>
      <c r="I8" s="89" t="s">
        <v>125</v>
      </c>
      <c r="J8" s="89"/>
      <c r="K8" s="89"/>
      <c r="L8" s="89"/>
      <c r="N8" s="89" t="s">
        <v>126</v>
      </c>
      <c r="O8" s="89"/>
      <c r="P8" s="89"/>
      <c r="Q8" s="89"/>
    </row>
    <row r="9" spans="2:23" x14ac:dyDescent="0.4">
      <c r="B9" s="84"/>
      <c r="C9" s="5" t="s">
        <v>23</v>
      </c>
      <c r="E9" s="12" t="s">
        <v>24</v>
      </c>
      <c r="G9" s="20">
        <f>Share_Price</f>
        <v>78.25</v>
      </c>
      <c r="H9" s="90"/>
      <c r="I9" s="19"/>
      <c r="J9" s="19"/>
      <c r="K9" s="19"/>
      <c r="L9" s="19"/>
      <c r="N9" s="19"/>
      <c r="O9" s="19"/>
      <c r="P9" s="19"/>
      <c r="Q9" s="19"/>
    </row>
    <row r="10" spans="2:23" x14ac:dyDescent="0.4">
      <c r="B10" s="84"/>
      <c r="C10" s="19" t="s">
        <v>26</v>
      </c>
      <c r="E10" s="12" t="s">
        <v>27</v>
      </c>
      <c r="G10" s="26">
        <f>DilutedShares</f>
        <v>1295.23</v>
      </c>
      <c r="H10" s="19"/>
      <c r="I10" s="19" t="s">
        <v>127</v>
      </c>
      <c r="J10" s="19"/>
      <c r="K10" s="19"/>
      <c r="L10" s="91">
        <f>PubComps!S37</f>
        <v>20.032959706455678</v>
      </c>
      <c r="N10" s="19" t="s">
        <v>128</v>
      </c>
      <c r="O10" s="19"/>
      <c r="P10" s="19"/>
      <c r="Q10" s="92">
        <v>1.4999999999999999E-2</v>
      </c>
    </row>
    <row r="11" spans="2:23" x14ac:dyDescent="0.4">
      <c r="B11" s="84"/>
      <c r="C11" s="19"/>
      <c r="E11" s="19"/>
      <c r="G11" s="19"/>
      <c r="H11" s="19"/>
      <c r="I11" s="19" t="s">
        <v>129</v>
      </c>
      <c r="J11" s="19"/>
      <c r="K11" s="19"/>
      <c r="L11" s="91">
        <f>PubComps!S41</f>
        <v>15.909440173126161</v>
      </c>
      <c r="N11" s="19"/>
      <c r="O11" s="19"/>
      <c r="P11" s="19"/>
      <c r="Q11" s="19"/>
    </row>
    <row r="12" spans="2:23" x14ac:dyDescent="0.4">
      <c r="B12" s="84"/>
      <c r="C12" s="19" t="s">
        <v>29</v>
      </c>
      <c r="E12" s="12" t="s">
        <v>30</v>
      </c>
      <c r="G12" s="21">
        <f>Tax_Rate</f>
        <v>0.12211534183351214</v>
      </c>
      <c r="H12" s="19"/>
      <c r="I12" s="19"/>
      <c r="J12" s="19"/>
      <c r="K12" s="19"/>
      <c r="L12" s="93"/>
      <c r="N12" s="19"/>
      <c r="O12" s="19"/>
      <c r="P12" s="19"/>
      <c r="Q12" s="19"/>
    </row>
    <row r="13" spans="2:23" x14ac:dyDescent="0.4">
      <c r="B13" s="84"/>
      <c r="C13" s="19" t="s">
        <v>31</v>
      </c>
      <c r="E13" s="12" t="s">
        <v>30</v>
      </c>
      <c r="G13" s="94">
        <f>WACC!L40</f>
        <v>0.10282947090440868</v>
      </c>
      <c r="H13" s="19"/>
      <c r="I13" s="19" t="s">
        <v>130</v>
      </c>
      <c r="J13" s="19"/>
      <c r="K13" s="95"/>
      <c r="L13" s="96">
        <f>INDEX(L14:L16,MATCH(Scenario,I14:I16,0),1)</f>
        <v>15</v>
      </c>
      <c r="N13" s="19" t="s">
        <v>131</v>
      </c>
      <c r="O13" s="19"/>
      <c r="P13" s="19"/>
      <c r="Q13" s="92">
        <f>INDEX(Q14:Q16,MATCH(Scenario,N14:N16,0),1)</f>
        <v>0.05</v>
      </c>
    </row>
    <row r="14" spans="2:23" x14ac:dyDescent="0.4">
      <c r="B14" s="84"/>
      <c r="C14" s="19"/>
      <c r="E14" s="12"/>
      <c r="G14" s="487"/>
      <c r="H14" s="19"/>
      <c r="I14" s="5" t="s">
        <v>132</v>
      </c>
      <c r="J14" s="19"/>
      <c r="K14" s="95"/>
      <c r="L14" s="96">
        <v>15</v>
      </c>
      <c r="N14" s="5" t="s">
        <v>132</v>
      </c>
      <c r="O14" s="19"/>
      <c r="P14" s="19"/>
      <c r="Q14" s="92">
        <v>0.05</v>
      </c>
    </row>
    <row r="15" spans="2:23" x14ac:dyDescent="0.4">
      <c r="B15" s="84"/>
      <c r="C15" s="19"/>
      <c r="E15" s="12"/>
      <c r="G15" s="487"/>
      <c r="H15" s="19"/>
      <c r="I15" s="5" t="s">
        <v>133</v>
      </c>
      <c r="J15" s="19"/>
      <c r="K15" s="95"/>
      <c r="L15" s="96">
        <v>13.6</v>
      </c>
      <c r="N15" s="5" t="s">
        <v>133</v>
      </c>
      <c r="O15" s="19"/>
      <c r="P15" s="19"/>
      <c r="Q15" s="92">
        <v>0.04</v>
      </c>
    </row>
    <row r="16" spans="2:23" x14ac:dyDescent="0.4">
      <c r="B16" s="84"/>
      <c r="C16" s="19"/>
      <c r="E16" s="12"/>
      <c r="G16" s="487"/>
      <c r="H16" s="19"/>
      <c r="I16" s="5" t="s">
        <v>124</v>
      </c>
      <c r="J16" s="19"/>
      <c r="K16" s="95"/>
      <c r="L16" s="96">
        <v>11</v>
      </c>
      <c r="N16" s="5" t="s">
        <v>124</v>
      </c>
      <c r="O16" s="19"/>
      <c r="P16" s="19"/>
      <c r="Q16" s="92">
        <v>0.03</v>
      </c>
    </row>
    <row r="17" spans="2:17" x14ac:dyDescent="0.4">
      <c r="B17" s="84"/>
      <c r="C17" s="19"/>
      <c r="E17" s="12"/>
      <c r="G17" s="487"/>
      <c r="H17" s="19"/>
      <c r="I17" s="19"/>
      <c r="J17" s="19"/>
      <c r="K17" s="95"/>
      <c r="L17" s="97"/>
      <c r="N17" s="19"/>
      <c r="O17" s="19"/>
      <c r="P17" s="19"/>
      <c r="Q17" s="74"/>
    </row>
    <row r="18" spans="2:17" x14ac:dyDescent="0.4">
      <c r="B18" s="84"/>
      <c r="C18" s="19"/>
      <c r="E18" s="12"/>
      <c r="G18" s="487"/>
      <c r="H18" s="19"/>
      <c r="I18" s="19"/>
      <c r="J18" s="19"/>
      <c r="K18" s="95"/>
      <c r="L18" s="97"/>
      <c r="N18" s="19"/>
      <c r="O18" s="19"/>
      <c r="P18" s="19"/>
      <c r="Q18" s="74"/>
    </row>
    <row r="19" spans="2:17" x14ac:dyDescent="0.4">
      <c r="B19" s="84"/>
      <c r="C19" s="19"/>
      <c r="E19" s="12"/>
      <c r="G19" s="98"/>
      <c r="H19" s="19"/>
      <c r="I19" s="19" t="s">
        <v>134</v>
      </c>
      <c r="J19" s="19"/>
      <c r="K19" s="19"/>
      <c r="L19" s="99">
        <f>L13*R70</f>
        <v>120770.99904163586</v>
      </c>
      <c r="N19" s="19" t="s">
        <v>134</v>
      </c>
      <c r="O19" s="19"/>
      <c r="P19" s="19"/>
      <c r="Q19" s="490">
        <f>+R68*(1+Terminal_Growth_Rate)/(Discount_Rate-Q13)*(1+Discount_Rate)^0.5</f>
        <v>221026.8280292273</v>
      </c>
    </row>
    <row r="20" spans="2:17" x14ac:dyDescent="0.4">
      <c r="B20" s="84"/>
      <c r="C20" s="100" t="s">
        <v>135</v>
      </c>
      <c r="D20" s="101"/>
      <c r="E20" s="102"/>
      <c r="F20" s="101"/>
      <c r="G20" s="103">
        <f>G9*G10</f>
        <v>101351.7475</v>
      </c>
      <c r="H20" s="19"/>
      <c r="I20" s="19" t="s">
        <v>136</v>
      </c>
      <c r="J20" s="19"/>
      <c r="K20" s="19"/>
      <c r="L20" s="488">
        <f>-R70*(1+Terminal_Growth_Rate)*(1+Discount_Rate)^0.5/L19+Discount_Rate</f>
        <v>2.9318489361297717E-2</v>
      </c>
      <c r="N20" s="19" t="s">
        <v>137</v>
      </c>
      <c r="O20" s="19"/>
      <c r="P20" s="19"/>
      <c r="Q20" s="104">
        <f>Q19/R70</f>
        <v>27.451974784901985</v>
      </c>
    </row>
    <row r="21" spans="2:17" x14ac:dyDescent="0.4">
      <c r="B21" s="84"/>
      <c r="C21" s="105" t="s">
        <v>138</v>
      </c>
      <c r="E21" s="12"/>
      <c r="G21" s="106">
        <f>PubCompsData!H19</f>
        <v>-6067.5</v>
      </c>
      <c r="H21" s="19"/>
      <c r="I21" s="19"/>
      <c r="J21" s="19"/>
      <c r="K21" s="19"/>
      <c r="L21" s="19"/>
      <c r="N21" s="19"/>
      <c r="O21" s="19"/>
      <c r="P21" s="19"/>
      <c r="Q21" s="19"/>
    </row>
    <row r="22" spans="2:17" x14ac:dyDescent="0.4">
      <c r="B22" s="84"/>
      <c r="C22" s="105" t="s">
        <v>139</v>
      </c>
      <c r="E22" s="12"/>
      <c r="G22" s="106"/>
      <c r="H22" s="19"/>
      <c r="I22" s="105" t="s">
        <v>140</v>
      </c>
      <c r="J22" s="19"/>
      <c r="K22" s="95"/>
      <c r="L22" s="107">
        <f>L19/((1+Discount_Rate)^6)</f>
        <v>67129.355787536144</v>
      </c>
      <c r="N22" s="105" t="s">
        <v>140</v>
      </c>
      <c r="O22" s="19"/>
      <c r="P22" s="95"/>
      <c r="Q22" s="108">
        <f>Q19/((1+Discount_Rate)^6)</f>
        <v>122855.5588270771</v>
      </c>
    </row>
    <row r="23" spans="2:17" x14ac:dyDescent="0.4">
      <c r="B23" s="84"/>
      <c r="C23" s="105" t="s">
        <v>141</v>
      </c>
      <c r="E23" s="12"/>
      <c r="G23" s="106">
        <f>PubCompsData!H23</f>
        <v>4479</v>
      </c>
      <c r="H23" s="19"/>
      <c r="I23" s="109" t="s">
        <v>142</v>
      </c>
      <c r="J23" s="110"/>
      <c r="K23" s="110"/>
      <c r="L23" s="111">
        <f>NPV(Discount_Rate,N68:R68)</f>
        <v>21121.014270589632</v>
      </c>
      <c r="N23" s="109" t="s">
        <v>142</v>
      </c>
      <c r="O23" s="110"/>
      <c r="P23" s="110"/>
      <c r="Q23" s="112">
        <f>NPV(Discount_Rate,N68:R68)</f>
        <v>21121.014270589632</v>
      </c>
    </row>
    <row r="24" spans="2:17" x14ac:dyDescent="0.4">
      <c r="B24" s="84"/>
      <c r="C24" s="105" t="s">
        <v>143</v>
      </c>
      <c r="E24" s="12"/>
      <c r="G24" s="106"/>
      <c r="H24" s="19"/>
      <c r="I24" s="113" t="s">
        <v>144</v>
      </c>
      <c r="J24" s="114"/>
      <c r="K24" s="114"/>
      <c r="L24" s="115">
        <f>SUM(L22:L23)</f>
        <v>88250.370058125773</v>
      </c>
      <c r="N24" s="113" t="s">
        <v>144</v>
      </c>
      <c r="O24" s="114"/>
      <c r="P24" s="114"/>
      <c r="Q24" s="115">
        <f>SUM(Q22:Q23)</f>
        <v>143976.57309766673</v>
      </c>
    </row>
    <row r="25" spans="2:17" x14ac:dyDescent="0.4">
      <c r="B25" s="84"/>
      <c r="C25" s="105" t="s">
        <v>145</v>
      </c>
      <c r="E25" s="12"/>
      <c r="G25" s="106"/>
      <c r="H25" s="19"/>
      <c r="I25" s="105"/>
      <c r="J25" s="19"/>
      <c r="K25" s="19"/>
      <c r="L25" s="116"/>
      <c r="N25" s="105"/>
      <c r="O25" s="19"/>
      <c r="P25" s="19"/>
      <c r="Q25" s="116"/>
    </row>
    <row r="26" spans="2:17" x14ac:dyDescent="0.4">
      <c r="B26" s="84"/>
      <c r="C26" s="105" t="s">
        <v>146</v>
      </c>
      <c r="E26" s="12"/>
      <c r="G26" s="106"/>
      <c r="H26" s="19"/>
      <c r="I26" s="117" t="s">
        <v>147</v>
      </c>
      <c r="J26" s="19"/>
      <c r="K26" s="19"/>
      <c r="L26" s="118">
        <f>L23/L22</f>
        <v>0.31463156502555256</v>
      </c>
      <c r="N26" s="117" t="s">
        <v>147</v>
      </c>
      <c r="O26" s="19"/>
      <c r="P26" s="19"/>
      <c r="Q26" s="118">
        <f>Q23/Q22</f>
        <v>0.17191744901277195</v>
      </c>
    </row>
    <row r="27" spans="2:17" x14ac:dyDescent="0.4">
      <c r="B27" s="84"/>
      <c r="C27" s="105" t="s">
        <v>148</v>
      </c>
      <c r="E27" s="12"/>
      <c r="G27" s="106"/>
      <c r="H27" s="19"/>
      <c r="I27" s="19"/>
      <c r="J27" s="19"/>
      <c r="K27" s="19"/>
      <c r="L27" s="19"/>
      <c r="N27" s="19"/>
      <c r="O27" s="19"/>
      <c r="P27" s="19"/>
      <c r="Q27" s="19"/>
    </row>
    <row r="28" spans="2:17" x14ac:dyDescent="0.4">
      <c r="B28" s="84"/>
      <c r="C28" s="119" t="s">
        <v>149</v>
      </c>
      <c r="D28" s="119"/>
      <c r="E28" s="119"/>
      <c r="F28" s="119"/>
      <c r="G28" s="120">
        <f>SUM(G20:G27)</f>
        <v>99763.247499999998</v>
      </c>
      <c r="H28" s="19"/>
      <c r="I28" s="19" t="s">
        <v>150</v>
      </c>
      <c r="J28" s="19"/>
      <c r="K28" s="19"/>
      <c r="L28" s="121">
        <f>-G21</f>
        <v>6067.5</v>
      </c>
      <c r="N28" s="19" t="s">
        <v>150</v>
      </c>
      <c r="O28" s="19"/>
      <c r="P28" s="19"/>
      <c r="Q28" s="121">
        <f>L28</f>
        <v>6067.5</v>
      </c>
    </row>
    <row r="29" spans="2:17" x14ac:dyDescent="0.4">
      <c r="B29" s="84"/>
      <c r="C29" s="19"/>
      <c r="E29" s="12"/>
      <c r="G29" s="98"/>
      <c r="H29" s="19"/>
      <c r="I29" s="122" t="s">
        <v>151</v>
      </c>
      <c r="J29" s="19"/>
      <c r="K29" s="19"/>
      <c r="L29" s="121">
        <f t="shared" ref="L29:L34" si="0">-G22</f>
        <v>0</v>
      </c>
      <c r="N29" s="122" t="s">
        <v>151</v>
      </c>
      <c r="O29" s="19"/>
      <c r="P29" s="19"/>
      <c r="Q29" s="121">
        <f t="shared" ref="Q29:Q34" si="1">L29</f>
        <v>0</v>
      </c>
    </row>
    <row r="30" spans="2:17" x14ac:dyDescent="0.4">
      <c r="B30" s="84"/>
      <c r="C30" s="19"/>
      <c r="E30" s="12"/>
      <c r="G30" s="98"/>
      <c r="H30" s="19"/>
      <c r="I30" s="122" t="s">
        <v>152</v>
      </c>
      <c r="J30" s="19"/>
      <c r="K30" s="19"/>
      <c r="L30" s="121">
        <f t="shared" si="0"/>
        <v>-4479</v>
      </c>
      <c r="N30" s="122" t="s">
        <v>152</v>
      </c>
      <c r="O30" s="19"/>
      <c r="P30" s="19"/>
      <c r="Q30" s="121">
        <f t="shared" si="1"/>
        <v>-4479</v>
      </c>
    </row>
    <row r="31" spans="2:17" x14ac:dyDescent="0.4">
      <c r="B31" s="84"/>
      <c r="C31" s="19"/>
      <c r="E31" s="12"/>
      <c r="G31" s="98"/>
      <c r="H31" s="19"/>
      <c r="I31" s="122" t="s">
        <v>153</v>
      </c>
      <c r="J31" s="19"/>
      <c r="K31" s="19"/>
      <c r="L31" s="121">
        <f t="shared" si="0"/>
        <v>0</v>
      </c>
      <c r="N31" s="122" t="s">
        <v>153</v>
      </c>
      <c r="O31" s="19"/>
      <c r="P31" s="19"/>
      <c r="Q31" s="121">
        <f t="shared" si="1"/>
        <v>0</v>
      </c>
    </row>
    <row r="32" spans="2:17" x14ac:dyDescent="0.4">
      <c r="B32" s="84"/>
      <c r="C32" s="19"/>
      <c r="E32" s="12"/>
      <c r="G32" s="98"/>
      <c r="H32" s="19"/>
      <c r="I32" s="122" t="s">
        <v>154</v>
      </c>
      <c r="J32" s="19"/>
      <c r="K32" s="19"/>
      <c r="L32" s="121">
        <f t="shared" si="0"/>
        <v>0</v>
      </c>
      <c r="N32" s="122" t="s">
        <v>154</v>
      </c>
      <c r="O32" s="19"/>
      <c r="P32" s="19"/>
      <c r="Q32" s="121">
        <f t="shared" si="1"/>
        <v>0</v>
      </c>
    </row>
    <row r="33" spans="2:23" x14ac:dyDescent="0.4">
      <c r="B33" s="84"/>
      <c r="C33" s="19"/>
      <c r="E33" s="12"/>
      <c r="G33" s="98"/>
      <c r="H33" s="19"/>
      <c r="I33" s="122" t="s">
        <v>155</v>
      </c>
      <c r="J33" s="19"/>
      <c r="K33" s="19"/>
      <c r="L33" s="121">
        <f t="shared" si="0"/>
        <v>0</v>
      </c>
      <c r="N33" s="122" t="s">
        <v>155</v>
      </c>
      <c r="O33" s="19"/>
      <c r="P33" s="19"/>
      <c r="Q33" s="121">
        <f t="shared" si="1"/>
        <v>0</v>
      </c>
    </row>
    <row r="34" spans="2:23" x14ac:dyDescent="0.4">
      <c r="B34" s="84"/>
      <c r="C34" s="19"/>
      <c r="E34" s="12"/>
      <c r="G34" s="98"/>
      <c r="H34" s="19"/>
      <c r="I34" s="122" t="s">
        <v>156</v>
      </c>
      <c r="J34" s="19"/>
      <c r="K34" s="19"/>
      <c r="L34" s="121">
        <f t="shared" si="0"/>
        <v>0</v>
      </c>
      <c r="N34" s="122" t="s">
        <v>156</v>
      </c>
      <c r="O34" s="19"/>
      <c r="P34" s="19"/>
      <c r="Q34" s="121">
        <f t="shared" si="1"/>
        <v>0</v>
      </c>
    </row>
    <row r="35" spans="2:23" x14ac:dyDescent="0.4">
      <c r="B35" s="84"/>
      <c r="C35" s="19"/>
      <c r="E35" s="12"/>
      <c r="G35" s="98"/>
      <c r="H35" s="19"/>
      <c r="I35" s="105"/>
      <c r="J35" s="19"/>
      <c r="K35" s="19"/>
      <c r="L35" s="123"/>
      <c r="N35" s="105"/>
      <c r="O35" s="19"/>
      <c r="P35" s="19"/>
      <c r="Q35" s="116"/>
    </row>
    <row r="36" spans="2:23" x14ac:dyDescent="0.4">
      <c r="B36" s="84"/>
      <c r="C36" s="19"/>
      <c r="E36" s="12"/>
      <c r="G36" s="98"/>
      <c r="H36" s="19"/>
      <c r="I36" s="124" t="s">
        <v>157</v>
      </c>
      <c r="J36" s="125"/>
      <c r="K36" s="125"/>
      <c r="L36" s="489">
        <f>L24+SUM(L28:L34)</f>
        <v>89838.870058125773</v>
      </c>
      <c r="N36" s="124" t="s">
        <v>157</v>
      </c>
      <c r="O36" s="125"/>
      <c r="P36" s="125"/>
      <c r="Q36" s="489">
        <f>SUM(Q24:Q35)</f>
        <v>145565.24501511574</v>
      </c>
    </row>
    <row r="37" spans="2:23" x14ac:dyDescent="0.4">
      <c r="B37" s="84"/>
      <c r="C37" s="19"/>
      <c r="E37" s="12"/>
      <c r="G37" s="98"/>
      <c r="H37" s="19"/>
      <c r="I37" s="126"/>
      <c r="J37" s="19"/>
      <c r="K37" s="19"/>
      <c r="L37" s="127"/>
      <c r="N37" s="126"/>
      <c r="O37" s="19"/>
      <c r="P37" s="19"/>
      <c r="Q37" s="127"/>
    </row>
    <row r="38" spans="2:23" x14ac:dyDescent="0.4">
      <c r="B38" s="84"/>
      <c r="C38" s="19"/>
      <c r="E38" s="12"/>
      <c r="G38" s="98"/>
      <c r="H38" s="19"/>
      <c r="I38" s="19" t="s">
        <v>26</v>
      </c>
      <c r="J38" s="19"/>
      <c r="K38" s="19"/>
      <c r="L38" s="128">
        <f>DilutedShares</f>
        <v>1295.23</v>
      </c>
      <c r="N38" s="19" t="s">
        <v>26</v>
      </c>
      <c r="O38" s="19"/>
      <c r="P38" s="19"/>
      <c r="Q38" s="128">
        <f>DilutedShares</f>
        <v>1295.23</v>
      </c>
    </row>
    <row r="39" spans="2:23" x14ac:dyDescent="0.4">
      <c r="B39" s="84"/>
      <c r="C39" s="19"/>
      <c r="E39" s="12"/>
      <c r="G39" s="98"/>
      <c r="H39" s="19"/>
      <c r="I39" s="19"/>
      <c r="J39" s="19"/>
      <c r="K39" s="19"/>
      <c r="L39" s="75"/>
      <c r="N39" s="19"/>
      <c r="O39" s="19"/>
      <c r="P39" s="19"/>
      <c r="Q39" s="75"/>
    </row>
    <row r="40" spans="2:23" x14ac:dyDescent="0.4">
      <c r="B40" s="84"/>
      <c r="C40" s="19"/>
      <c r="E40" s="12"/>
      <c r="G40" s="98"/>
      <c r="H40" s="19"/>
      <c r="I40" s="129" t="s">
        <v>158</v>
      </c>
      <c r="J40" s="130"/>
      <c r="K40" s="130"/>
      <c r="L40" s="131">
        <f>L36/L38</f>
        <v>69.361325832574735</v>
      </c>
      <c r="N40" s="129" t="s">
        <v>158</v>
      </c>
      <c r="O40" s="130"/>
      <c r="P40" s="130"/>
      <c r="Q40" s="131">
        <f>Q36/Q38</f>
        <v>112.38563422335473</v>
      </c>
    </row>
    <row r="41" spans="2:23" x14ac:dyDescent="0.4">
      <c r="B41" s="84"/>
      <c r="C41" s="19"/>
      <c r="E41" s="12"/>
      <c r="G41" s="98"/>
      <c r="H41" s="19"/>
      <c r="I41" s="132" t="s">
        <v>159</v>
      </c>
      <c r="J41" s="133"/>
      <c r="K41" s="133"/>
      <c r="L41" s="134">
        <f>L40/G9-1</f>
        <v>-0.11359328009489156</v>
      </c>
      <c r="N41" s="132" t="s">
        <v>159</v>
      </c>
      <c r="O41" s="133"/>
      <c r="P41" s="133"/>
      <c r="Q41" s="134">
        <f>G9/Q40-1</f>
        <v>-0.30373663377219295</v>
      </c>
    </row>
    <row r="44" spans="2:23" x14ac:dyDescent="0.4">
      <c r="B44" s="59" t="s">
        <v>204</v>
      </c>
      <c r="I44" s="197">
        <f>(Model!I118-Model!I131)-(Model!H118-Model!H131)</f>
        <v>1675.0799999999981</v>
      </c>
      <c r="J44" s="197">
        <f>(Model!J118-Model!J131)-(Model!I118-Model!I131)</f>
        <v>-395.10099999999693</v>
      </c>
      <c r="K44" s="197">
        <f>(Model!K118-Model!K131)-(Model!J118-Model!J131)</f>
        <v>-408.01199999999972</v>
      </c>
      <c r="L44" s="197">
        <f>(Model!L118-Model!L131)-(Model!K118-Model!K131)</f>
        <v>1323.9949999999999</v>
      </c>
      <c r="M44" s="197">
        <f>(Model!M118-Model!M131)-(Model!L118-Model!L131)</f>
        <v>-2.2560000000012224</v>
      </c>
      <c r="N44" s="197">
        <f>(Model!N118-Model!N131)-(Model!M118-Model!M131)</f>
        <v>-2006.4571450269232</v>
      </c>
      <c r="O44" s="197">
        <f>(Model!O118-Model!O131)-(Model!N118-Model!N131)</f>
        <v>-1793.5598475340657</v>
      </c>
      <c r="P44" s="197">
        <f>(Model!P118-Model!P131)-(Model!O118-Model!O131)</f>
        <v>1667.2295476552927</v>
      </c>
      <c r="Q44" s="197">
        <f>(Model!Q118-Model!Q131)-(Model!P118-Model!P131)</f>
        <v>1917.5080736340369</v>
      </c>
      <c r="R44" s="197">
        <f>(Model!R118-Model!R131)-(Model!Q118-Model!Q131)</f>
        <v>3463.6668018210603</v>
      </c>
      <c r="S44" s="197">
        <f>(Model!S118-Model!S131)-(Model!R118-Model!R131)</f>
        <v>3587.3973723183262</v>
      </c>
      <c r="T44" s="197">
        <f>(Model!T118-Model!T131)-(Model!S118-Model!S131)</f>
        <v>3360.3492089940301</v>
      </c>
      <c r="U44" s="197">
        <f>(Model!U118-Model!U131)-(Model!T118-Model!T131)</f>
        <v>3359.1119872588752</v>
      </c>
      <c r="V44" s="197">
        <f>(Model!V118-Model!V131)-(Model!U118-Model!U131)</f>
        <v>3527.1511597716926</v>
      </c>
      <c r="W44" s="197">
        <f>(Model!W118-Model!W131)-(Model!V118-Model!V131)</f>
        <v>3847.3797938046082</v>
      </c>
    </row>
    <row r="46" spans="2:23" x14ac:dyDescent="0.4">
      <c r="B46" s="152"/>
      <c r="C46" s="152"/>
      <c r="D46" s="152"/>
      <c r="E46" s="152"/>
      <c r="F46" s="152"/>
      <c r="G46" s="152"/>
      <c r="H46" s="154"/>
      <c r="I46" s="154"/>
      <c r="J46" s="155" t="s">
        <v>11</v>
      </c>
      <c r="K46" s="154"/>
      <c r="L46" s="154"/>
      <c r="M46" s="154"/>
      <c r="N46" s="156"/>
      <c r="O46" s="154"/>
      <c r="P46" s="154"/>
      <c r="Q46" s="154"/>
      <c r="R46" s="155" t="s">
        <v>122</v>
      </c>
      <c r="S46" s="154"/>
      <c r="T46" s="154"/>
      <c r="U46" s="154"/>
      <c r="V46" s="154"/>
      <c r="W46" s="154"/>
    </row>
    <row r="47" spans="2:23" x14ac:dyDescent="0.4">
      <c r="B47" s="151" t="s">
        <v>160</v>
      </c>
      <c r="C47" s="152"/>
      <c r="D47" s="152"/>
      <c r="E47" s="153" t="s">
        <v>9</v>
      </c>
      <c r="F47" s="157"/>
      <c r="G47" s="152"/>
      <c r="H47" s="2">
        <f>H3</f>
        <v>43646</v>
      </c>
      <c r="I47" s="2">
        <f t="shared" ref="I47:W47" si="2">I3</f>
        <v>44012</v>
      </c>
      <c r="J47" s="2">
        <f t="shared" si="2"/>
        <v>44377</v>
      </c>
      <c r="K47" s="2">
        <f t="shared" si="2"/>
        <v>44742</v>
      </c>
      <c r="L47" s="2">
        <f t="shared" si="2"/>
        <v>45107</v>
      </c>
      <c r="M47" s="2">
        <f t="shared" si="2"/>
        <v>45473</v>
      </c>
      <c r="N47" s="83">
        <f t="shared" si="2"/>
        <v>45838</v>
      </c>
      <c r="O47" s="2">
        <f t="shared" si="2"/>
        <v>46203</v>
      </c>
      <c r="P47" s="2">
        <f t="shared" si="2"/>
        <v>46568</v>
      </c>
      <c r="Q47" s="2">
        <f t="shared" si="2"/>
        <v>46934</v>
      </c>
      <c r="R47" s="2">
        <f t="shared" si="2"/>
        <v>47299</v>
      </c>
      <c r="S47" s="2">
        <f t="shared" si="2"/>
        <v>47664</v>
      </c>
      <c r="T47" s="2">
        <f t="shared" si="2"/>
        <v>48029</v>
      </c>
      <c r="U47" s="2">
        <f t="shared" si="2"/>
        <v>48395</v>
      </c>
      <c r="V47" s="2">
        <f t="shared" si="2"/>
        <v>48760</v>
      </c>
      <c r="W47" s="2">
        <f t="shared" si="2"/>
        <v>49125</v>
      </c>
    </row>
    <row r="49" spans="3:23" x14ac:dyDescent="0.4">
      <c r="C49" s="163" t="s">
        <v>195</v>
      </c>
      <c r="E49" s="158" t="s">
        <v>12</v>
      </c>
      <c r="H49" s="62">
        <f>Model!H80</f>
        <v>9653.5589999999993</v>
      </c>
      <c r="I49" s="62">
        <f>Model!I80</f>
        <v>10044.736000000001</v>
      </c>
      <c r="J49" s="62">
        <f>Model!J80</f>
        <v>14626.150000000001</v>
      </c>
      <c r="K49" s="62">
        <f>Model!K80</f>
        <v>17227.039000000001</v>
      </c>
      <c r="L49" s="62">
        <f>Model!L80</f>
        <v>17428.516</v>
      </c>
      <c r="M49" s="62">
        <f>Model!M80</f>
        <v>14905.386</v>
      </c>
      <c r="N49" s="62">
        <f>Model!N80</f>
        <v>18002.444559000003</v>
      </c>
      <c r="O49" s="62">
        <f>Model!O80</f>
        <v>20984.735161650002</v>
      </c>
      <c r="P49" s="62">
        <f>Model!P80</f>
        <v>23692.110812564999</v>
      </c>
      <c r="Q49" s="62">
        <f>Model!Q80</f>
        <v>26300.445899654551</v>
      </c>
      <c r="R49" s="62">
        <f>Model!R80</f>
        <v>28648.549283758774</v>
      </c>
      <c r="S49" s="62">
        <f>Model!S80</f>
        <v>30585.14771551971</v>
      </c>
      <c r="T49" s="62"/>
      <c r="U49" s="62"/>
      <c r="V49" s="62"/>
      <c r="W49" s="62"/>
    </row>
    <row r="50" spans="3:23" x14ac:dyDescent="0.4">
      <c r="C50" s="199" t="s">
        <v>196</v>
      </c>
      <c r="E50" s="47"/>
      <c r="I50" s="141">
        <f>I49/H49-1</f>
        <v>4.0521532007004035E-2</v>
      </c>
      <c r="J50" s="141">
        <f t="shared" ref="J50:R50" si="3">J49/I49-1</f>
        <v>0.45610098662622889</v>
      </c>
      <c r="K50" s="141">
        <f t="shared" si="3"/>
        <v>0.17782458131497347</v>
      </c>
      <c r="L50" s="141">
        <f t="shared" si="3"/>
        <v>1.169539350320159E-2</v>
      </c>
      <c r="M50" s="141">
        <f t="shared" si="3"/>
        <v>-0.14477021451510841</v>
      </c>
      <c r="N50" s="141">
        <f t="shared" si="3"/>
        <v>0.20778117111492467</v>
      </c>
      <c r="O50" s="141">
        <f t="shared" si="3"/>
        <v>0.16566031312447826</v>
      </c>
      <c r="P50" s="141">
        <f t="shared" si="3"/>
        <v>0.12901643170902521</v>
      </c>
      <c r="Q50" s="141">
        <f t="shared" si="3"/>
        <v>0.11009298022134151</v>
      </c>
      <c r="R50" s="141">
        <f t="shared" si="3"/>
        <v>8.9279983809516406E-2</v>
      </c>
      <c r="S50" s="141"/>
      <c r="T50" s="141"/>
      <c r="U50" s="141"/>
      <c r="V50" s="141"/>
      <c r="W50" s="141"/>
    </row>
    <row r="51" spans="3:23" x14ac:dyDescent="0.4">
      <c r="E51" s="47"/>
    </row>
    <row r="52" spans="3:23" x14ac:dyDescent="0.4">
      <c r="C52" s="200" t="s">
        <v>197</v>
      </c>
      <c r="E52" s="47" t="s">
        <v>12</v>
      </c>
      <c r="H52" s="75">
        <f>Model!H83</f>
        <v>-5295.1</v>
      </c>
      <c r="I52" s="75">
        <f>Model!I83</f>
        <v>-5436.0429999999997</v>
      </c>
      <c r="J52" s="75">
        <f>Model!J83</f>
        <v>-7820.8440000000001</v>
      </c>
      <c r="K52" s="75">
        <f>Model!K83</f>
        <v>-9355.232</v>
      </c>
      <c r="L52" s="75">
        <f>Model!L83</f>
        <v>-9573.4249999999993</v>
      </c>
      <c r="M52" s="75">
        <f>Model!M83</f>
        <v>-7809.22</v>
      </c>
      <c r="N52" s="75">
        <f>Model!N83</f>
        <v>-9723.37117134443</v>
      </c>
      <c r="O52" s="75">
        <f>Model!O83</f>
        <v>-11334.147884214874</v>
      </c>
      <c r="P52" s="75">
        <f>Model!P83</f>
        <v>-12796.439200698673</v>
      </c>
      <c r="Q52" s="75">
        <f>Model!Q83</f>
        <v>-14205.237328524792</v>
      </c>
      <c r="R52" s="75">
        <f>Model!R83</f>
        <v>-15473.480687225825</v>
      </c>
      <c r="S52" s="75">
        <f>Model!S83</f>
        <v>-16519.464486822711</v>
      </c>
      <c r="T52" s="75"/>
      <c r="U52" s="75"/>
      <c r="V52" s="75"/>
      <c r="W52" s="75"/>
    </row>
    <row r="53" spans="3:23" x14ac:dyDescent="0.4">
      <c r="C53" s="200" t="s">
        <v>198</v>
      </c>
      <c r="E53" s="47" t="s">
        <v>12</v>
      </c>
      <c r="H53" s="197">
        <f>Model!H92</f>
        <v>-1893.7269999999999</v>
      </c>
      <c r="I53" s="197">
        <f>Model!I92</f>
        <v>-1934.8910000000001</v>
      </c>
      <c r="J53" s="197">
        <f>Model!J92</f>
        <v>-2323.2829999999999</v>
      </c>
      <c r="K53" s="197">
        <f>Model!K92</f>
        <v>-2489.9850000000001</v>
      </c>
      <c r="L53" s="197">
        <f>Model!L92</f>
        <v>-2602.0650000000001</v>
      </c>
      <c r="M53" s="197">
        <f>Model!M92</f>
        <v>-2788.8779999999997</v>
      </c>
      <c r="N53" s="197">
        <f>Model!N92</f>
        <v>-3780.5133573900002</v>
      </c>
      <c r="O53" s="197">
        <f>Model!O92</f>
        <v>-4616.6417355630001</v>
      </c>
      <c r="P53" s="197">
        <f>Model!P92</f>
        <v>-4067.3603887524368</v>
      </c>
      <c r="Q53" s="197">
        <f>Model!Q92</f>
        <v>-4609.3227471924729</v>
      </c>
      <c r="R53" s="197">
        <f>Model!R92</f>
        <v>-5141.723573553747</v>
      </c>
      <c r="S53" s="197">
        <f>Model!S92</f>
        <v>-5538.0815785895775</v>
      </c>
      <c r="T53" s="197"/>
      <c r="U53" s="197"/>
      <c r="V53" s="197"/>
      <c r="W53" s="197"/>
    </row>
    <row r="54" spans="3:23" x14ac:dyDescent="0.4">
      <c r="E54" s="47"/>
    </row>
    <row r="55" spans="3:23" x14ac:dyDescent="0.4">
      <c r="C55" s="163" t="s">
        <v>199</v>
      </c>
      <c r="E55" s="158" t="s">
        <v>12</v>
      </c>
      <c r="H55" s="62">
        <f>Model!H94</f>
        <v>2464.7319999999991</v>
      </c>
      <c r="I55" s="62">
        <f>Model!I94</f>
        <v>2673.802000000001</v>
      </c>
      <c r="J55" s="62">
        <f>Model!J94</f>
        <v>4482.023000000001</v>
      </c>
      <c r="K55" s="62">
        <f>Model!K94</f>
        <v>5381.8220000000001</v>
      </c>
      <c r="L55" s="62">
        <f>Model!L94</f>
        <v>5174.8600000000006</v>
      </c>
      <c r="M55" s="62">
        <f>Model!M94</f>
        <v>4263.9130000000005</v>
      </c>
      <c r="N55" s="62">
        <f>Model!N94</f>
        <v>4498.560030265573</v>
      </c>
      <c r="O55" s="62">
        <f>Model!O94</f>
        <v>5033.9455418721282</v>
      </c>
      <c r="P55" s="62">
        <f>Model!P94</f>
        <v>6828.3112231138894</v>
      </c>
      <c r="Q55" s="62">
        <f>Model!Q94</f>
        <v>7485.8858239372857</v>
      </c>
      <c r="R55" s="62">
        <f>Model!R94</f>
        <v>8033.3450229792015</v>
      </c>
      <c r="S55" s="62"/>
      <c r="T55" s="62"/>
      <c r="U55" s="62"/>
      <c r="V55" s="62"/>
      <c r="W55" s="62"/>
    </row>
    <row r="56" spans="3:23" x14ac:dyDescent="0.4">
      <c r="E56" s="47"/>
    </row>
    <row r="57" spans="3:23" x14ac:dyDescent="0.4">
      <c r="C57" s="19" t="s">
        <v>200</v>
      </c>
      <c r="E57" s="47" t="s">
        <v>12</v>
      </c>
      <c r="H57" s="75">
        <f>Model!H99</f>
        <v>-255.14099999999999</v>
      </c>
      <c r="I57" s="75">
        <f>Model!I99</f>
        <v>-323.22500000000002</v>
      </c>
      <c r="J57" s="75">
        <f>Model!J99</f>
        <v>-462.346</v>
      </c>
      <c r="K57" s="75">
        <f>Model!K99</f>
        <v>-587.82799999999997</v>
      </c>
      <c r="L57" s="75">
        <f>Model!L99</f>
        <v>-598.279</v>
      </c>
      <c r="M57" s="75">
        <f>Model!M99</f>
        <v>-532.45000000000005</v>
      </c>
      <c r="N57" s="75">
        <f>Model!N99</f>
        <v>-557.97760840602166</v>
      </c>
      <c r="O57" s="75">
        <f>Model!O99</f>
        <v>-625.23941942867191</v>
      </c>
      <c r="P57" s="75">
        <f>Model!P99</f>
        <v>-845.34922904908206</v>
      </c>
      <c r="Q57" s="75">
        <f>Model!Q99</f>
        <v>-925.07936878098963</v>
      </c>
      <c r="R57" s="75">
        <f>Model!R99</f>
        <v>-988.95581459248206</v>
      </c>
      <c r="S57" s="75"/>
      <c r="T57" s="75"/>
      <c r="U57" s="75"/>
      <c r="V57" s="75"/>
      <c r="W57" s="75"/>
    </row>
    <row r="58" spans="3:23" x14ac:dyDescent="0.4">
      <c r="E58" s="47"/>
    </row>
    <row r="59" spans="3:23" x14ac:dyDescent="0.4">
      <c r="C59" s="201" t="s">
        <v>201</v>
      </c>
      <c r="E59" s="158" t="s">
        <v>12</v>
      </c>
      <c r="H59" s="62">
        <f>Model!H100</f>
        <v>2191.4299999999989</v>
      </c>
      <c r="I59" s="62">
        <f>Model!I100</f>
        <v>2251.7530000000011</v>
      </c>
      <c r="J59" s="62">
        <f>Model!J100</f>
        <v>3908.458000000001</v>
      </c>
      <c r="K59" s="62">
        <f>Model!K100</f>
        <v>4605.2860000000001</v>
      </c>
      <c r="L59" s="62">
        <f>Model!L100</f>
        <v>4510.9310000000005</v>
      </c>
      <c r="M59" s="62">
        <f>Model!M100</f>
        <v>3827.7720000000008</v>
      </c>
      <c r="N59" s="62">
        <f>Model!N100</f>
        <v>4011.2894470533088</v>
      </c>
      <c r="O59" s="62">
        <f>Model!O100</f>
        <v>4494.8332106025482</v>
      </c>
      <c r="P59" s="62">
        <f>Model!P100</f>
        <v>6077.1980639978647</v>
      </c>
      <c r="Q59" s="62">
        <f>Model!Q100</f>
        <v>6650.3763838812029</v>
      </c>
      <c r="R59" s="62">
        <f>Model!R100</f>
        <v>7109.5828271843266</v>
      </c>
      <c r="S59" s="62"/>
      <c r="T59" s="62"/>
      <c r="U59" s="62"/>
      <c r="V59" s="62"/>
      <c r="W59" s="62"/>
    </row>
    <row r="60" spans="3:23" x14ac:dyDescent="0.4">
      <c r="E60" s="47"/>
    </row>
    <row r="61" spans="3:23" x14ac:dyDescent="0.4">
      <c r="C61" s="201" t="s">
        <v>202</v>
      </c>
      <c r="E61" s="47"/>
    </row>
    <row r="62" spans="3:23" x14ac:dyDescent="0.4">
      <c r="C62" s="70" t="s">
        <v>203</v>
      </c>
      <c r="E62" s="47" t="s">
        <v>12</v>
      </c>
      <c r="H62" s="75">
        <f>Model!H157</f>
        <v>303.49099999999999</v>
      </c>
      <c r="I62" s="75">
        <f>Model!I157</f>
        <v>232.52899999999988</v>
      </c>
      <c r="J62" s="75">
        <f>Model!J157</f>
        <v>502.96400000000011</v>
      </c>
      <c r="K62" s="75">
        <f>Model!K157</f>
        <v>647.33199999999988</v>
      </c>
      <c r="L62" s="75">
        <f>Model!L157</f>
        <v>618.12100000000009</v>
      </c>
      <c r="M62" s="75">
        <f>Model!M157</f>
        <v>627.63600000000019</v>
      </c>
      <c r="N62" s="75">
        <f>Model!N157</f>
        <v>514.08255108255003</v>
      </c>
      <c r="O62" s="75">
        <f>Model!O157</f>
        <v>704.92809776797526</v>
      </c>
      <c r="P62" s="75">
        <f>Model!P157</f>
        <v>798.30917865646882</v>
      </c>
      <c r="Q62" s="75">
        <f>Model!Q157</f>
        <v>878.66202133878437</v>
      </c>
      <c r="R62" s="75">
        <f>Model!R157</f>
        <v>941.8171089247312</v>
      </c>
      <c r="S62" s="75"/>
      <c r="T62" s="75"/>
      <c r="U62" s="75"/>
      <c r="V62" s="75"/>
      <c r="W62" s="75"/>
    </row>
    <row r="63" spans="3:23" x14ac:dyDescent="0.4">
      <c r="E63" s="47"/>
    </row>
    <row r="64" spans="3:23" x14ac:dyDescent="0.4">
      <c r="C64" s="59" t="s">
        <v>204</v>
      </c>
      <c r="E64" s="47" t="s">
        <v>12</v>
      </c>
      <c r="I64" s="75">
        <f>I44</f>
        <v>1675.0799999999981</v>
      </c>
      <c r="J64" s="75">
        <f t="shared" ref="J64:R64" si="4">J44</f>
        <v>-395.10099999999693</v>
      </c>
      <c r="K64" s="75">
        <f t="shared" si="4"/>
        <v>-408.01199999999972</v>
      </c>
      <c r="L64" s="75">
        <f t="shared" si="4"/>
        <v>1323.9949999999999</v>
      </c>
      <c r="M64" s="75">
        <f t="shared" si="4"/>
        <v>-2.2560000000012224</v>
      </c>
      <c r="N64" s="75">
        <f t="shared" si="4"/>
        <v>-2006.4571450269232</v>
      </c>
      <c r="O64" s="75">
        <f t="shared" si="4"/>
        <v>-1793.5598475340657</v>
      </c>
      <c r="P64" s="75">
        <f t="shared" si="4"/>
        <v>1667.2295476552927</v>
      </c>
      <c r="Q64" s="75">
        <f t="shared" si="4"/>
        <v>1917.5080736340369</v>
      </c>
      <c r="R64" s="75">
        <f t="shared" si="4"/>
        <v>3463.6668018210603</v>
      </c>
      <c r="S64" s="75"/>
      <c r="T64" s="75"/>
      <c r="U64" s="75"/>
      <c r="V64" s="75"/>
      <c r="W64" s="75"/>
    </row>
    <row r="65" spans="2:23" x14ac:dyDescent="0.4">
      <c r="C65" s="59"/>
      <c r="E65" s="47"/>
    </row>
    <row r="66" spans="2:23" x14ac:dyDescent="0.4">
      <c r="C66" s="59" t="s">
        <v>205</v>
      </c>
      <c r="E66" s="47" t="s">
        <v>12</v>
      </c>
      <c r="H66" s="75">
        <f>-Debt!E34</f>
        <v>-303.49099999999999</v>
      </c>
      <c r="I66" s="75">
        <f>-Debt!F34</f>
        <v>-232.52899999999988</v>
      </c>
      <c r="J66" s="75">
        <f>-Debt!G34</f>
        <v>-502.96400000000011</v>
      </c>
      <c r="K66" s="75">
        <f>-Debt!H34</f>
        <v>-647.33199999999988</v>
      </c>
      <c r="L66" s="75">
        <f>-Debt!I34</f>
        <v>-618.12100000000009</v>
      </c>
      <c r="M66" s="75">
        <f>-Debt!J34</f>
        <v>-627.63600000000019</v>
      </c>
      <c r="N66" s="75">
        <f>-Debt!K34</f>
        <v>-945.12833934750006</v>
      </c>
      <c r="O66" s="75">
        <f>-Debt!L34</f>
        <v>-1292.6596859576402</v>
      </c>
      <c r="P66" s="75">
        <f>-Debt!M34</f>
        <v>-894.81928552553609</v>
      </c>
      <c r="Q66" s="75">
        <f>-Debt!N34</f>
        <v>-921.86454943849458</v>
      </c>
      <c r="R66" s="75">
        <f>-Debt!O34</f>
        <v>-925.51024323967442</v>
      </c>
      <c r="S66" s="75"/>
      <c r="T66" s="75"/>
      <c r="U66" s="75"/>
      <c r="V66" s="75"/>
      <c r="W66" s="75"/>
    </row>
    <row r="67" spans="2:23" x14ac:dyDescent="0.4">
      <c r="E67" s="47"/>
    </row>
    <row r="68" spans="2:23" x14ac:dyDescent="0.4">
      <c r="C68" s="163" t="s">
        <v>206</v>
      </c>
      <c r="E68" s="158" t="s">
        <v>12</v>
      </c>
      <c r="H68" s="62">
        <f>SUM(H59:H66)</f>
        <v>2191.4299999999989</v>
      </c>
      <c r="I68" s="62">
        <f t="shared" ref="I68:R68" si="5">SUM(I59:I66)</f>
        <v>3926.8329999999992</v>
      </c>
      <c r="J68" s="62">
        <f t="shared" si="5"/>
        <v>3513.3570000000045</v>
      </c>
      <c r="K68" s="62">
        <f t="shared" si="5"/>
        <v>4197.2740000000013</v>
      </c>
      <c r="L68" s="62">
        <f t="shared" si="5"/>
        <v>5834.9260000000004</v>
      </c>
      <c r="M68" s="62">
        <f t="shared" si="5"/>
        <v>3825.5159999999996</v>
      </c>
      <c r="N68" s="62">
        <f t="shared" si="5"/>
        <v>1573.7865137614358</v>
      </c>
      <c r="O68" s="62">
        <f t="shared" si="5"/>
        <v>2113.5417748788177</v>
      </c>
      <c r="P68" s="62">
        <f t="shared" si="5"/>
        <v>7647.9175047840909</v>
      </c>
      <c r="Q68" s="62">
        <f t="shared" si="5"/>
        <v>8524.6819294155284</v>
      </c>
      <c r="R68" s="62">
        <f t="shared" si="5"/>
        <v>10589.556494690443</v>
      </c>
      <c r="S68" s="62"/>
      <c r="T68" s="62"/>
      <c r="U68" s="62"/>
      <c r="V68" s="62"/>
      <c r="W68" s="62"/>
    </row>
    <row r="69" spans="2:23" x14ac:dyDescent="0.4">
      <c r="E69" s="47"/>
    </row>
    <row r="70" spans="2:23" x14ac:dyDescent="0.4">
      <c r="C70" s="163" t="s">
        <v>92</v>
      </c>
      <c r="E70" s="158" t="s">
        <v>12</v>
      </c>
      <c r="H70" s="62">
        <f>Model!H102</f>
        <v>2494.9209999999989</v>
      </c>
      <c r="I70" s="62">
        <f>Model!I102</f>
        <v>2484.2820000000011</v>
      </c>
      <c r="J70" s="62">
        <f>Model!J102</f>
        <v>4411.4220000000014</v>
      </c>
      <c r="K70" s="62">
        <f>Model!K102</f>
        <v>5252.6180000000004</v>
      </c>
      <c r="L70" s="62">
        <f>Model!L102</f>
        <v>5129.0520000000006</v>
      </c>
      <c r="M70" s="62">
        <f>Model!M102</f>
        <v>4455.4080000000013</v>
      </c>
      <c r="N70" s="62">
        <f>Model!N102</f>
        <v>4525.371998135859</v>
      </c>
      <c r="O70" s="62">
        <f>Model!O102</f>
        <v>5199.7613083705237</v>
      </c>
      <c r="P70" s="62">
        <f>Model!P102</f>
        <v>6875.5072426543338</v>
      </c>
      <c r="Q70" s="62">
        <f>Model!Q102</f>
        <v>7529.038405219987</v>
      </c>
      <c r="R70" s="62">
        <f>Model!R102</f>
        <v>8051.3999361090573</v>
      </c>
      <c r="S70" s="62"/>
      <c r="T70" s="62"/>
      <c r="U70" s="62"/>
      <c r="V70" s="62"/>
      <c r="W70" s="62"/>
    </row>
    <row r="71" spans="2:23" x14ac:dyDescent="0.4">
      <c r="C71" s="46" t="s">
        <v>389</v>
      </c>
      <c r="E71" s="158" t="s">
        <v>30</v>
      </c>
      <c r="H71" s="539">
        <f>H70/H49</f>
        <v>0.25844571934558014</v>
      </c>
      <c r="I71" s="539">
        <f t="shared" ref="I71:R71" si="6">I70/I49</f>
        <v>0.24732178127926915</v>
      </c>
      <c r="J71" s="539">
        <f t="shared" si="6"/>
        <v>0.30161197581044918</v>
      </c>
      <c r="K71" s="539">
        <f t="shared" si="6"/>
        <v>0.30490544544538384</v>
      </c>
      <c r="L71" s="539">
        <f t="shared" si="6"/>
        <v>0.29429080479370706</v>
      </c>
      <c r="M71" s="539">
        <f t="shared" si="6"/>
        <v>0.29891262124979529</v>
      </c>
      <c r="N71" s="539">
        <f t="shared" si="6"/>
        <v>0.25137541644995537</v>
      </c>
      <c r="O71" s="539">
        <f t="shared" si="6"/>
        <v>0.24778779757359937</v>
      </c>
      <c r="P71" s="539">
        <f t="shared" si="6"/>
        <v>0.29020239256216634</v>
      </c>
      <c r="Q71" s="539">
        <f t="shared" si="6"/>
        <v>0.28627037100229846</v>
      </c>
      <c r="R71" s="539">
        <f t="shared" si="6"/>
        <v>0.28104040649183931</v>
      </c>
      <c r="S71" s="62"/>
      <c r="T71" s="62"/>
      <c r="U71" s="62"/>
      <c r="V71" s="62"/>
      <c r="W71" s="62"/>
    </row>
    <row r="73" spans="2:23" x14ac:dyDescent="0.4">
      <c r="B73" s="151" t="s">
        <v>207</v>
      </c>
      <c r="C73" s="152"/>
      <c r="D73" s="152"/>
      <c r="E73" s="152"/>
      <c r="F73" s="152"/>
      <c r="G73" s="152"/>
      <c r="H73" s="152"/>
      <c r="I73" s="152"/>
      <c r="J73" s="152"/>
      <c r="K73" s="152"/>
      <c r="L73" s="152"/>
      <c r="M73" s="152"/>
      <c r="N73" s="152"/>
      <c r="O73" s="152"/>
      <c r="P73" s="152"/>
      <c r="Q73" s="152"/>
      <c r="R73" s="152"/>
      <c r="S73" s="152"/>
      <c r="T73" s="152"/>
      <c r="U73" s="152"/>
      <c r="V73" s="152"/>
      <c r="W73" s="152"/>
    </row>
    <row r="75" spans="2:23" x14ac:dyDescent="0.4">
      <c r="E75" s="491"/>
      <c r="F75" s="492"/>
      <c r="G75" s="492"/>
      <c r="H75" s="492"/>
      <c r="I75" s="492"/>
      <c r="J75" s="493"/>
      <c r="K75" s="494" t="s">
        <v>372</v>
      </c>
      <c r="L75" s="492"/>
      <c r="M75" s="492"/>
      <c r="N75" s="492"/>
      <c r="O75" s="492"/>
      <c r="P75" s="495"/>
    </row>
    <row r="76" spans="2:23" x14ac:dyDescent="0.4">
      <c r="E76" s="496">
        <f>L40</f>
        <v>69.361325832574735</v>
      </c>
      <c r="F76" s="497">
        <v>0.10199999999999999</v>
      </c>
      <c r="G76" s="498">
        <f>F76+0.2%</f>
        <v>0.104</v>
      </c>
      <c r="H76" s="498">
        <f t="shared" ref="H76:P76" si="7">G76+0.2%</f>
        <v>0.106</v>
      </c>
      <c r="I76" s="498">
        <f t="shared" si="7"/>
        <v>0.108</v>
      </c>
      <c r="J76" s="498">
        <f t="shared" si="7"/>
        <v>0.11</v>
      </c>
      <c r="K76" s="498">
        <f t="shared" si="7"/>
        <v>0.112</v>
      </c>
      <c r="L76" s="498">
        <f t="shared" si="7"/>
        <v>0.114</v>
      </c>
      <c r="M76" s="498">
        <f t="shared" si="7"/>
        <v>0.11600000000000001</v>
      </c>
      <c r="N76" s="498">
        <f t="shared" si="7"/>
        <v>0.11800000000000001</v>
      </c>
      <c r="O76" s="498">
        <f t="shared" si="7"/>
        <v>0.12000000000000001</v>
      </c>
      <c r="P76" s="498">
        <f t="shared" si="7"/>
        <v>0.12200000000000001</v>
      </c>
    </row>
    <row r="77" spans="2:23" x14ac:dyDescent="0.4">
      <c r="E77" s="499">
        <v>24</v>
      </c>
      <c r="F77" s="164">
        <f t="dataTable" ref="F77:P87" dt2D="1" dtr="1" r1="G13" r2="L13" ca="1"/>
        <v>100.87851551283636</v>
      </c>
      <c r="G77" s="164">
        <v>99.868718124662564</v>
      </c>
      <c r="H77" s="164">
        <v>98.8712667682383</v>
      </c>
      <c r="I77" s="164">
        <v>97.885987061437177</v>
      </c>
      <c r="J77" s="164">
        <v>96.912707404990442</v>
      </c>
      <c r="K77" s="500">
        <v>95.951258933062462</v>
      </c>
      <c r="L77" s="164">
        <v>95.001475464793046</v>
      </c>
      <c r="M77" s="164">
        <v>94.063193456783779</v>
      </c>
      <c r="N77" s="164">
        <v>93.13625195651079</v>
      </c>
      <c r="O77" s="164">
        <v>92.220492556641958</v>
      </c>
      <c r="P77" s="501">
        <v>91.315759350241208</v>
      </c>
    </row>
    <row r="78" spans="2:23" x14ac:dyDescent="0.4">
      <c r="E78" s="502">
        <v>23</v>
      </c>
      <c r="F78" s="164">
        <v>97.40767276433678</v>
      </c>
      <c r="G78" s="164">
        <v>96.435431476923853</v>
      </c>
      <c r="H78" s="164">
        <v>95.475062972209955</v>
      </c>
      <c r="I78" s="164">
        <v>94.526399671206605</v>
      </c>
      <c r="J78" s="164">
        <v>93.589276667957932</v>
      </c>
      <c r="K78" s="500">
        <v>92.663531682082748</v>
      </c>
      <c r="L78" s="164">
        <v>91.749005012244311</v>
      </c>
      <c r="M78" s="164">
        <v>90.845539490526889</v>
      </c>
      <c r="N78" s="164">
        <v>89.952980437701171</v>
      </c>
      <c r="O78" s="164">
        <v>89.071175619358272</v>
      </c>
      <c r="P78" s="501">
        <v>88.199975202895146</v>
      </c>
    </row>
    <row r="79" spans="2:23" x14ac:dyDescent="0.4">
      <c r="E79" s="502">
        <v>22</v>
      </c>
      <c r="F79" s="164">
        <v>93.936830015837216</v>
      </c>
      <c r="G79" s="164">
        <v>93.002144829185113</v>
      </c>
      <c r="H79" s="164">
        <v>92.078859176181595</v>
      </c>
      <c r="I79" s="164">
        <v>91.166812280976018</v>
      </c>
      <c r="J79" s="164">
        <v>90.265845930925451</v>
      </c>
      <c r="K79" s="500">
        <v>89.375804431103035</v>
      </c>
      <c r="L79" s="164">
        <v>88.49653455969559</v>
      </c>
      <c r="M79" s="164">
        <v>87.627885524269999</v>
      </c>
      <c r="N79" s="164">
        <v>86.769708918891553</v>
      </c>
      <c r="O79" s="164">
        <v>85.9218586820746</v>
      </c>
      <c r="P79" s="501">
        <v>85.084191055549098</v>
      </c>
    </row>
    <row r="80" spans="2:23" x14ac:dyDescent="0.4">
      <c r="E80" s="502">
        <v>21</v>
      </c>
      <c r="F80" s="164">
        <v>90.46598726733761</v>
      </c>
      <c r="G80" s="164">
        <v>89.568858181446402</v>
      </c>
      <c r="H80" s="164">
        <v>88.68265538015325</v>
      </c>
      <c r="I80" s="164">
        <v>87.807224890745459</v>
      </c>
      <c r="J80" s="164">
        <v>86.94241519389297</v>
      </c>
      <c r="K80" s="500">
        <v>86.088077180123321</v>
      </c>
      <c r="L80" s="164">
        <v>85.244064107146855</v>
      </c>
      <c r="M80" s="164">
        <v>84.410231558013109</v>
      </c>
      <c r="N80" s="164">
        <v>83.586437400081934</v>
      </c>
      <c r="O80" s="164">
        <v>82.772541744790928</v>
      </c>
      <c r="P80" s="501">
        <v>81.968406908203036</v>
      </c>
    </row>
    <row r="81" spans="3:16" ht="18.5" x14ac:dyDescent="0.45">
      <c r="C81" s="503" t="s">
        <v>373</v>
      </c>
      <c r="E81" s="502">
        <v>20</v>
      </c>
      <c r="F81" s="164">
        <v>86.995144518838018</v>
      </c>
      <c r="G81" s="164">
        <v>86.135571533707662</v>
      </c>
      <c r="H81" s="164">
        <v>85.28645158412489</v>
      </c>
      <c r="I81" s="164">
        <v>84.447637500514872</v>
      </c>
      <c r="J81" s="164">
        <v>83.618984456860474</v>
      </c>
      <c r="K81" s="500">
        <v>82.800349929143593</v>
      </c>
      <c r="L81" s="164">
        <v>81.991593654598105</v>
      </c>
      <c r="M81" s="164">
        <v>81.192577591756191</v>
      </c>
      <c r="N81" s="164">
        <v>80.403165881272315</v>
      </c>
      <c r="O81" s="164">
        <v>79.623224807507228</v>
      </c>
      <c r="P81" s="501">
        <v>78.852622760856974</v>
      </c>
    </row>
    <row r="82" spans="3:16" x14ac:dyDescent="0.4">
      <c r="E82" s="502">
        <v>19</v>
      </c>
      <c r="F82" s="500">
        <v>83.524301770338454</v>
      </c>
      <c r="G82" s="500">
        <v>82.702284885968936</v>
      </c>
      <c r="H82" s="500">
        <v>81.890247788096545</v>
      </c>
      <c r="I82" s="500">
        <v>81.088050110284286</v>
      </c>
      <c r="J82" s="500">
        <v>80.295553719827993</v>
      </c>
      <c r="K82" s="500">
        <v>79.512622678163865</v>
      </c>
      <c r="L82" s="500">
        <v>78.739123202049385</v>
      </c>
      <c r="M82" s="500">
        <v>77.974923625499301</v>
      </c>
      <c r="N82" s="500">
        <v>77.219894362462696</v>
      </c>
      <c r="O82" s="500">
        <v>76.473907870223556</v>
      </c>
      <c r="P82" s="504">
        <v>75.736838613510912</v>
      </c>
    </row>
    <row r="83" spans="3:16" x14ac:dyDescent="0.4">
      <c r="E83" s="502">
        <v>18</v>
      </c>
      <c r="F83" s="164">
        <v>80.053459021838876</v>
      </c>
      <c r="G83" s="164">
        <v>79.268998238230211</v>
      </c>
      <c r="H83" s="164">
        <v>78.4940439920682</v>
      </c>
      <c r="I83" s="164">
        <v>77.728462720053713</v>
      </c>
      <c r="J83" s="164">
        <v>76.972122982795483</v>
      </c>
      <c r="K83" s="500">
        <v>76.224895427184165</v>
      </c>
      <c r="L83" s="164">
        <v>75.486652749500649</v>
      </c>
      <c r="M83" s="164">
        <v>74.757269659242397</v>
      </c>
      <c r="N83" s="164">
        <v>74.036622843653078</v>
      </c>
      <c r="O83" s="164">
        <v>73.32459093293987</v>
      </c>
      <c r="P83" s="501">
        <v>72.621054466164864</v>
      </c>
    </row>
    <row r="84" spans="3:16" x14ac:dyDescent="0.4">
      <c r="E84" s="502">
        <v>17</v>
      </c>
      <c r="F84" s="164">
        <v>76.582616273339283</v>
      </c>
      <c r="G84" s="164">
        <v>75.835711590491485</v>
      </c>
      <c r="H84" s="164">
        <v>75.09784019603984</v>
      </c>
      <c r="I84" s="164">
        <v>74.36887532982314</v>
      </c>
      <c r="J84" s="164">
        <v>73.648692245763016</v>
      </c>
      <c r="K84" s="500">
        <v>72.937168176204437</v>
      </c>
      <c r="L84" s="164">
        <v>72.234182296951928</v>
      </c>
      <c r="M84" s="164">
        <v>71.539615692985507</v>
      </c>
      <c r="N84" s="164">
        <v>70.853351324843459</v>
      </c>
      <c r="O84" s="164">
        <v>70.175273995656198</v>
      </c>
      <c r="P84" s="501">
        <v>69.505270318818802</v>
      </c>
    </row>
    <row r="85" spans="3:16" x14ac:dyDescent="0.4">
      <c r="E85" s="502">
        <v>16</v>
      </c>
      <c r="F85" s="164">
        <v>73.111773524839705</v>
      </c>
      <c r="G85" s="164">
        <v>72.402424942752759</v>
      </c>
      <c r="H85" s="164">
        <v>71.701636400011495</v>
      </c>
      <c r="I85" s="164">
        <v>71.009287939592568</v>
      </c>
      <c r="J85" s="164">
        <v>70.325261508730534</v>
      </c>
      <c r="K85" s="500">
        <v>69.649440925224724</v>
      </c>
      <c r="L85" s="164">
        <v>68.981711844403193</v>
      </c>
      <c r="M85" s="164">
        <v>68.321961726728617</v>
      </c>
      <c r="N85" s="164">
        <v>67.67007980603384</v>
      </c>
      <c r="O85" s="164">
        <v>67.025957058372526</v>
      </c>
      <c r="P85" s="501">
        <v>66.389486171472754</v>
      </c>
    </row>
    <row r="86" spans="3:16" x14ac:dyDescent="0.4">
      <c r="E86" s="502">
        <v>15</v>
      </c>
      <c r="F86" s="164">
        <v>69.640930776340142</v>
      </c>
      <c r="G86" s="164">
        <v>68.969138295014048</v>
      </c>
      <c r="H86" s="164">
        <v>68.305432603983149</v>
      </c>
      <c r="I86" s="164">
        <v>67.649700549361995</v>
      </c>
      <c r="J86" s="164">
        <v>67.001830771698039</v>
      </c>
      <c r="K86" s="500">
        <v>66.361713674244996</v>
      </c>
      <c r="L86" s="164">
        <v>65.729241391854472</v>
      </c>
      <c r="M86" s="164">
        <v>65.104307760471727</v>
      </c>
      <c r="N86" s="164">
        <v>64.486808287224235</v>
      </c>
      <c r="O86" s="164">
        <v>63.87664012108884</v>
      </c>
      <c r="P86" s="501">
        <v>63.273702024126685</v>
      </c>
    </row>
    <row r="87" spans="3:16" x14ac:dyDescent="0.4">
      <c r="E87" s="502">
        <v>14</v>
      </c>
      <c r="F87" s="505">
        <v>66.170088027840549</v>
      </c>
      <c r="G87" s="505">
        <v>65.535851647275308</v>
      </c>
      <c r="H87" s="505">
        <v>64.909228807954804</v>
      </c>
      <c r="I87" s="505">
        <v>64.290113159131408</v>
      </c>
      <c r="J87" s="505">
        <v>63.678400034665543</v>
      </c>
      <c r="K87" s="506">
        <v>63.073986423265282</v>
      </c>
      <c r="L87" s="505">
        <v>62.476770939305737</v>
      </c>
      <c r="M87" s="505">
        <v>61.88665379421483</v>
      </c>
      <c r="N87" s="505">
        <v>61.303536768414617</v>
      </c>
      <c r="O87" s="505">
        <v>60.727323183805169</v>
      </c>
      <c r="P87" s="507">
        <v>60.15791787678063</v>
      </c>
    </row>
    <row r="90" spans="3:16" x14ac:dyDescent="0.4">
      <c r="E90" s="491"/>
      <c r="F90" s="492"/>
      <c r="G90" s="492"/>
      <c r="H90" s="492"/>
      <c r="I90" s="492"/>
      <c r="J90" s="493"/>
      <c r="K90" s="494" t="s">
        <v>372</v>
      </c>
      <c r="L90" s="492"/>
      <c r="M90" s="492"/>
      <c r="N90" s="492"/>
      <c r="O90" s="492"/>
      <c r="P90" s="495"/>
    </row>
    <row r="91" spans="3:16" x14ac:dyDescent="0.4">
      <c r="E91" s="496">
        <f>Q40</f>
        <v>112.38563422335473</v>
      </c>
      <c r="F91" s="508">
        <v>0.10199999999999999</v>
      </c>
      <c r="G91" s="509">
        <f>F91+0.2%</f>
        <v>0.104</v>
      </c>
      <c r="H91" s="509">
        <f t="shared" ref="H91:P91" si="8">G91+0.2%</f>
        <v>0.106</v>
      </c>
      <c r="I91" s="509">
        <f t="shared" si="8"/>
        <v>0.108</v>
      </c>
      <c r="J91" s="509">
        <f t="shared" si="8"/>
        <v>0.11</v>
      </c>
      <c r="K91" s="509">
        <f t="shared" si="8"/>
        <v>0.112</v>
      </c>
      <c r="L91" s="509">
        <f t="shared" si="8"/>
        <v>0.114</v>
      </c>
      <c r="M91" s="509">
        <f t="shared" si="8"/>
        <v>0.11600000000000001</v>
      </c>
      <c r="N91" s="509">
        <f t="shared" si="8"/>
        <v>0.11800000000000001</v>
      </c>
      <c r="O91" s="509">
        <f t="shared" si="8"/>
        <v>0.12000000000000001</v>
      </c>
      <c r="P91" s="509">
        <f t="shared" si="8"/>
        <v>0.12200000000000001</v>
      </c>
    </row>
    <row r="92" spans="3:16" x14ac:dyDescent="0.4">
      <c r="E92" s="510">
        <v>7.4999999999999997E-2</v>
      </c>
      <c r="F92" s="164">
        <f t="dataTable" ref="F92:P102" dt2D="1" dtr="1" r1="G13" r2="Q13"/>
        <v>208.37766885057769</v>
      </c>
      <c r="G92" s="164">
        <v>193.34787788447429</v>
      </c>
      <c r="H92" s="164">
        <v>180.26371412430959</v>
      </c>
      <c r="I92" s="164">
        <v>168.7713512096953</v>
      </c>
      <c r="J92" s="164">
        <v>158.59783850168742</v>
      </c>
      <c r="K92" s="500">
        <v>149.52924276060307</v>
      </c>
      <c r="L92" s="164">
        <v>141.39551546179305</v>
      </c>
      <c r="M92" s="164">
        <v>134.05978919005875</v>
      </c>
      <c r="N92" s="164">
        <v>127.41066108710361</v>
      </c>
      <c r="O92" s="164">
        <v>121.35653404662187</v>
      </c>
      <c r="P92" s="501">
        <v>115.82140271091556</v>
      </c>
    </row>
    <row r="93" spans="3:16" x14ac:dyDescent="0.4">
      <c r="E93" s="511">
        <v>7.1999999999999995E-2</v>
      </c>
      <c r="F93" s="164">
        <v>188.81852821530759</v>
      </c>
      <c r="G93" s="164">
        <v>176.41451832933188</v>
      </c>
      <c r="H93" s="164">
        <v>165.47558530938923</v>
      </c>
      <c r="I93" s="164">
        <v>155.75747974839118</v>
      </c>
      <c r="J93" s="164">
        <v>147.06737420561402</v>
      </c>
      <c r="K93" s="500">
        <v>139.25100769742852</v>
      </c>
      <c r="L93" s="164">
        <v>132.18350319101285</v>
      </c>
      <c r="M93" s="164">
        <v>125.76268941827375</v>
      </c>
      <c r="N93" s="164">
        <v>119.90416482555916</v>
      </c>
      <c r="O93" s="164">
        <v>114.5375955362162</v>
      </c>
      <c r="P93" s="501">
        <v>109.60390180239297</v>
      </c>
    </row>
    <row r="94" spans="3:16" x14ac:dyDescent="0.4">
      <c r="E94" s="511">
        <v>6.8999999999999992E-2</v>
      </c>
      <c r="F94" s="164">
        <v>172.81559638480931</v>
      </c>
      <c r="G94" s="164">
        <v>162.38402175711735</v>
      </c>
      <c r="H94" s="164">
        <v>153.08553271849087</v>
      </c>
      <c r="I94" s="164">
        <v>144.74574358187382</v>
      </c>
      <c r="J94" s="164">
        <v>137.22429610068156</v>
      </c>
      <c r="K94" s="500">
        <v>130.40694609408624</v>
      </c>
      <c r="L94" s="164">
        <v>124.19976030587165</v>
      </c>
      <c r="M94" s="164">
        <v>118.52479491663881</v>
      </c>
      <c r="N94" s="164">
        <v>113.31683237982752</v>
      </c>
      <c r="O94" s="164">
        <v>108.52088606128449</v>
      </c>
      <c r="P94" s="501">
        <v>104.09026986634251</v>
      </c>
    </row>
    <row r="95" spans="3:16" x14ac:dyDescent="0.4">
      <c r="E95" s="511">
        <v>6.5999999999999989E-2</v>
      </c>
      <c r="F95" s="164">
        <v>159.47982116885288</v>
      </c>
      <c r="G95" s="164">
        <v>150.56886799812202</v>
      </c>
      <c r="H95" s="164">
        <v>142.55398921121403</v>
      </c>
      <c r="I95" s="164">
        <v>135.30711372799757</v>
      </c>
      <c r="J95" s="164">
        <v>128.72345702065132</v>
      </c>
      <c r="K95" s="500">
        <v>122.71645880427373</v>
      </c>
      <c r="L95" s="164">
        <v>117.2139863051331</v>
      </c>
      <c r="M95" s="164">
        <v>112.15544874481205</v>
      </c>
      <c r="N95" s="164">
        <v>107.48957771288575</v>
      </c>
      <c r="O95" s="164">
        <v>103.17270079035896</v>
      </c>
      <c r="P95" s="501">
        <v>99.167385111168613</v>
      </c>
    </row>
    <row r="96" spans="3:16" ht="18.5" x14ac:dyDescent="0.45">
      <c r="C96" s="503" t="s">
        <v>374</v>
      </c>
      <c r="E96" s="511">
        <v>6.2999999999999987E-2</v>
      </c>
      <c r="F96" s="164">
        <v>148.1957048973932</v>
      </c>
      <c r="G96" s="164">
        <v>140.48276229827084</v>
      </c>
      <c r="H96" s="164">
        <v>133.49196452365425</v>
      </c>
      <c r="I96" s="164">
        <v>127.12696893329006</v>
      </c>
      <c r="J96" s="164">
        <v>121.30783248012374</v>
      </c>
      <c r="K96" s="500">
        <v>115.96766484006088</v>
      </c>
      <c r="L96" s="164">
        <v>111.05006904088407</v>
      </c>
      <c r="M96" s="164">
        <v>106.50716157167382</v>
      </c>
      <c r="N96" s="164">
        <v>102.29802446860145</v>
      </c>
      <c r="O96" s="164">
        <v>98.387483277627027</v>
      </c>
      <c r="P96" s="501">
        <v>94.745133567376072</v>
      </c>
    </row>
    <row r="97" spans="5:16" x14ac:dyDescent="0.4">
      <c r="E97" s="511">
        <v>5.9999999999999984E-2</v>
      </c>
      <c r="F97" s="500">
        <v>138.52360637764858</v>
      </c>
      <c r="G97" s="500">
        <v>131.77203574561287</v>
      </c>
      <c r="H97" s="500">
        <v>125.61194411302515</v>
      </c>
      <c r="I97" s="500">
        <v>119.96934325774315</v>
      </c>
      <c r="J97" s="500">
        <v>114.78208387028819</v>
      </c>
      <c r="K97" s="500">
        <v>109.99757882620675</v>
      </c>
      <c r="L97" s="500">
        <v>105.57103239816821</v>
      </c>
      <c r="M97" s="500">
        <v>101.46404892285769</v>
      </c>
      <c r="N97" s="500">
        <v>97.643529330124466</v>
      </c>
      <c r="O97" s="500">
        <v>94.08078836651886</v>
      </c>
      <c r="P97" s="504">
        <v>90.750842678998438</v>
      </c>
    </row>
    <row r="98" spans="5:16" x14ac:dyDescent="0.4">
      <c r="E98" s="511">
        <v>5.6999999999999981E-2</v>
      </c>
      <c r="F98" s="164">
        <v>130.14112206834758</v>
      </c>
      <c r="G98" s="164">
        <v>124.17331787389966</v>
      </c>
      <c r="H98" s="164">
        <v>118.69682516139915</v>
      </c>
      <c r="I98" s="164">
        <v>113.65379215908936</v>
      </c>
      <c r="J98" s="164">
        <v>108.99510019196482</v>
      </c>
      <c r="K98" s="500">
        <v>104.67877583306378</v>
      </c>
      <c r="L98" s="164">
        <v>100.66873733894583</v>
      </c>
      <c r="M98" s="164">
        <v>96.933796047678641</v>
      </c>
      <c r="N98" s="164">
        <v>93.446854223342953</v>
      </c>
      <c r="O98" s="164">
        <v>90.184255692269602</v>
      </c>
      <c r="P98" s="501">
        <v>87.125256362015577</v>
      </c>
    </row>
    <row r="99" spans="5:16" x14ac:dyDescent="0.4">
      <c r="E99" s="511">
        <v>5.3999999999999979E-2</v>
      </c>
      <c r="F99" s="164">
        <v>122.80644931363345</v>
      </c>
      <c r="G99" s="164">
        <v>117.48644712887615</v>
      </c>
      <c r="H99" s="164">
        <v>112.57960550123038</v>
      </c>
      <c r="I99" s="164">
        <v>108.03996988231967</v>
      </c>
      <c r="J99" s="164">
        <v>103.82815137445493</v>
      </c>
      <c r="K99" s="500">
        <v>99.910194709615027</v>
      </c>
      <c r="L99" s="164">
        <v>96.256672632866113</v>
      </c>
      <c r="M99" s="164">
        <v>92.841955566630716</v>
      </c>
      <c r="N99" s="164">
        <v>89.643618213117918</v>
      </c>
      <c r="O99" s="164">
        <v>86.641954047419262</v>
      </c>
      <c r="P99" s="501">
        <v>83.819575488484119</v>
      </c>
    </row>
    <row r="100" spans="5:16" x14ac:dyDescent="0.4">
      <c r="E100" s="511">
        <v>5.0999999999999976E-2</v>
      </c>
      <c r="F100" s="164">
        <v>116.33468020029639</v>
      </c>
      <c r="G100" s="164">
        <v>111.55658155356655</v>
      </c>
      <c r="H100" s="164">
        <v>107.12971980161525</v>
      </c>
      <c r="I100" s="164">
        <v>103.01707714724822</v>
      </c>
      <c r="J100" s="164">
        <v>99.186655836097486</v>
      </c>
      <c r="K100" s="500">
        <v>95.610655187090984</v>
      </c>
      <c r="L100" s="164">
        <v>92.264805379246653</v>
      </c>
      <c r="M100" s="164">
        <v>89.127824231885185</v>
      </c>
      <c r="N100" s="164">
        <v>86.180971278140845</v>
      </c>
      <c r="O100" s="164">
        <v>83.407679391095371</v>
      </c>
      <c r="P100" s="501">
        <v>80.793248670465886</v>
      </c>
    </row>
    <row r="101" spans="5:16" x14ac:dyDescent="0.4">
      <c r="E101" s="511">
        <v>4.7999999999999973E-2</v>
      </c>
      <c r="F101" s="164">
        <v>110.58199746259511</v>
      </c>
      <c r="G101" s="164">
        <v>106.26205961043306</v>
      </c>
      <c r="H101" s="164">
        <v>102.24361624847251</v>
      </c>
      <c r="I101" s="164">
        <v>98.496474529807713</v>
      </c>
      <c r="J101" s="164">
        <v>94.994338107890428</v>
      </c>
      <c r="K101" s="500">
        <v>91.714198297193676</v>
      </c>
      <c r="L101" s="164">
        <v>88.635835932150215</v>
      </c>
      <c r="M101" s="164">
        <v>85.741411133539245</v>
      </c>
      <c r="N101" s="164">
        <v>83.015123400828386</v>
      </c>
      <c r="O101" s="164">
        <v>80.442928355974885</v>
      </c>
      <c r="P101" s="501">
        <v>78.01230042083877</v>
      </c>
    </row>
    <row r="102" spans="5:16" x14ac:dyDescent="0.4">
      <c r="E102" s="512">
        <v>4.4999999999999971E-2</v>
      </c>
      <c r="F102" s="505">
        <v>105.43486115397684</v>
      </c>
      <c r="G102" s="505">
        <v>101.50596448151981</v>
      </c>
      <c r="H102" s="505">
        <v>97.838113876473187</v>
      </c>
      <c r="I102" s="505">
        <v>94.406406305831823</v>
      </c>
      <c r="J102" s="505">
        <v>91.189004345954885</v>
      </c>
      <c r="K102" s="506">
        <v>88.166678618260889</v>
      </c>
      <c r="L102" s="505">
        <v>85.322429801527974</v>
      </c>
      <c r="M102" s="505">
        <v>82.641174529632622</v>
      </c>
      <c r="N102" s="505">
        <v>80.109482922722194</v>
      </c>
      <c r="O102" s="505">
        <v>77.715358113575263</v>
      </c>
      <c r="P102" s="507">
        <v>75.448050133657972</v>
      </c>
    </row>
  </sheetData>
  <dataValidations count="1">
    <dataValidation type="list" allowBlank="1" showInputMessage="1" showErrorMessage="1" sqref="G6" xr:uid="{E492F57A-53C2-452E-995B-548D74DFCC9E}">
      <formula1>$I$14:$I$16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4ECA0-98FE-4E3C-8BC3-F01A71AC9E49}">
  <dimension ref="A1:L40"/>
  <sheetViews>
    <sheetView showGridLines="0" zoomScale="55" workbookViewId="0">
      <selection activeCell="F8" sqref="F8"/>
    </sheetView>
  </sheetViews>
  <sheetFormatPr defaultRowHeight="14.5" x14ac:dyDescent="0.35"/>
  <cols>
    <col min="2" max="2" width="25" bestFit="1" customWidth="1"/>
    <col min="3" max="3" width="6.54296875" bestFit="1" customWidth="1"/>
    <col min="4" max="4" width="8" bestFit="1" customWidth="1"/>
    <col min="5" max="5" width="12" bestFit="1" customWidth="1"/>
    <col min="6" max="6" width="10.36328125" bestFit="1" customWidth="1"/>
    <col min="7" max="7" width="6" bestFit="1" customWidth="1"/>
    <col min="8" max="8" width="11.26953125" bestFit="1" customWidth="1"/>
    <col min="9" max="9" width="15.54296875" bestFit="1" customWidth="1"/>
    <col min="10" max="10" width="8.54296875" bestFit="1" customWidth="1"/>
    <col min="11" max="11" width="8.453125" bestFit="1" customWidth="1"/>
    <col min="12" max="12" width="9" bestFit="1" customWidth="1"/>
  </cols>
  <sheetData>
    <row r="1" spans="1:12" x14ac:dyDescent="0.35">
      <c r="A1" s="443"/>
    </row>
    <row r="2" spans="1:12" ht="18.5" x14ac:dyDescent="0.45">
      <c r="B2" s="444" t="e">
        <f>"WACC Analysis - "&amp;CompanyName</f>
        <v>#NAME?</v>
      </c>
      <c r="C2" s="445"/>
      <c r="D2" s="5"/>
      <c r="E2" s="5"/>
      <c r="F2" s="5"/>
      <c r="G2" s="5"/>
      <c r="H2" s="5"/>
      <c r="I2" s="5"/>
      <c r="J2" s="5"/>
      <c r="K2" s="5"/>
      <c r="L2" s="5"/>
    </row>
    <row r="3" spans="1:12" ht="16" x14ac:dyDescent="0.4">
      <c r="B3" s="19" t="str">
        <f>[2]Public_Comps!$B$3</f>
        <v>($ USD in Millions Except Per Share Amounts in USD as Stated)</v>
      </c>
      <c r="C3" s="5"/>
      <c r="D3" s="5"/>
      <c r="E3" s="5"/>
      <c r="F3" s="5"/>
      <c r="G3" s="5"/>
      <c r="H3" s="5"/>
      <c r="I3" s="5"/>
      <c r="J3" s="5"/>
      <c r="K3" s="5"/>
      <c r="L3" s="5"/>
    </row>
    <row r="4" spans="1:12" ht="16" x14ac:dyDescent="0.4"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1:12" ht="16" x14ac:dyDescent="0.4">
      <c r="B5" s="446" t="s">
        <v>350</v>
      </c>
      <c r="C5" s="446"/>
      <c r="D5" s="447"/>
      <c r="E5" s="447"/>
      <c r="F5" s="447"/>
      <c r="G5" s="448"/>
      <c r="H5" s="448"/>
      <c r="I5" s="5"/>
      <c r="J5" s="5"/>
      <c r="K5" s="5"/>
      <c r="L5" s="5"/>
    </row>
    <row r="6" spans="1:12" ht="16" x14ac:dyDescent="0.4">
      <c r="B6" s="19" t="s">
        <v>351</v>
      </c>
      <c r="C6" s="19"/>
      <c r="D6" s="5"/>
      <c r="E6" s="5"/>
      <c r="F6" s="449">
        <v>3.5000000000000003E-2</v>
      </c>
      <c r="G6" s="450"/>
      <c r="H6" s="450"/>
      <c r="I6" s="5"/>
      <c r="J6" s="5"/>
      <c r="K6" s="5"/>
      <c r="L6" s="5"/>
    </row>
    <row r="7" spans="1:12" ht="16" x14ac:dyDescent="0.4">
      <c r="B7" s="19" t="s">
        <v>352</v>
      </c>
      <c r="C7" s="19"/>
      <c r="D7" s="5"/>
      <c r="E7" s="5"/>
      <c r="F7" s="449">
        <v>0.05</v>
      </c>
      <c r="G7" s="450"/>
      <c r="H7" s="450"/>
      <c r="I7" s="5"/>
      <c r="J7" s="5"/>
      <c r="K7" s="5"/>
      <c r="L7" s="5"/>
    </row>
    <row r="8" spans="1:12" ht="16" x14ac:dyDescent="0.4">
      <c r="B8" s="19" t="s">
        <v>353</v>
      </c>
      <c r="C8" s="19"/>
      <c r="D8" s="5"/>
      <c r="E8" s="5"/>
      <c r="F8" s="451">
        <f>-Debt!J23/PubComps!J22</f>
        <v>4.1356552801964722E-2</v>
      </c>
      <c r="G8" s="450"/>
      <c r="H8" s="450"/>
      <c r="I8" s="452"/>
      <c r="J8" s="452"/>
      <c r="K8" s="5"/>
      <c r="L8" s="5"/>
    </row>
    <row r="9" spans="1:12" ht="16" x14ac:dyDescent="0.4">
      <c r="B9" s="19" t="s">
        <v>354</v>
      </c>
      <c r="C9" s="19"/>
      <c r="D9" s="5"/>
      <c r="E9" s="5"/>
      <c r="F9" s="449">
        <v>0</v>
      </c>
      <c r="G9" s="450"/>
      <c r="H9" s="450"/>
      <c r="I9" s="452"/>
      <c r="J9" s="452"/>
      <c r="K9" s="5"/>
      <c r="L9" s="5"/>
    </row>
    <row r="10" spans="1:12" ht="16" x14ac:dyDescent="0.4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ht="16" x14ac:dyDescent="0.4">
      <c r="B11" s="204" t="s">
        <v>18</v>
      </c>
      <c r="C11" s="453"/>
      <c r="D11" s="209" t="s">
        <v>257</v>
      </c>
      <c r="E11" s="223" t="s">
        <v>235</v>
      </c>
      <c r="F11" s="453"/>
      <c r="G11" s="223" t="s">
        <v>143</v>
      </c>
      <c r="H11" s="453"/>
      <c r="I11" s="209" t="s">
        <v>255</v>
      </c>
      <c r="J11" s="454"/>
      <c r="K11" s="204" t="s">
        <v>29</v>
      </c>
      <c r="L11" s="5"/>
    </row>
    <row r="12" spans="1:12" ht="16" x14ac:dyDescent="0.4">
      <c r="B12" s="455" t="s">
        <v>355</v>
      </c>
      <c r="C12" s="455"/>
      <c r="D12" s="455"/>
      <c r="E12" s="455"/>
      <c r="F12" s="455"/>
      <c r="G12" s="455"/>
      <c r="H12" s="455"/>
      <c r="I12" s="455"/>
      <c r="J12" s="455"/>
      <c r="K12" s="455"/>
      <c r="L12" s="455"/>
    </row>
    <row r="13" spans="1:12" ht="16" x14ac:dyDescent="0.4">
      <c r="B13" s="455"/>
      <c r="C13" s="455"/>
      <c r="D13" s="456" t="s">
        <v>356</v>
      </c>
      <c r="E13" s="456"/>
      <c r="F13" s="456"/>
      <c r="G13" s="456" t="s">
        <v>295</v>
      </c>
      <c r="H13" s="456"/>
      <c r="I13" s="456" t="s">
        <v>280</v>
      </c>
      <c r="J13" s="456"/>
      <c r="K13" s="456"/>
      <c r="L13" s="456" t="s">
        <v>357</v>
      </c>
    </row>
    <row r="14" spans="1:12" ht="16" x14ac:dyDescent="0.4">
      <c r="B14" s="455" t="s">
        <v>19</v>
      </c>
      <c r="C14" s="455" t="s">
        <v>287</v>
      </c>
      <c r="D14" s="456" t="s">
        <v>291</v>
      </c>
      <c r="E14" s="456" t="s">
        <v>294</v>
      </c>
      <c r="F14" s="456" t="s">
        <v>358</v>
      </c>
      <c r="G14" s="456" t="s">
        <v>359</v>
      </c>
      <c r="H14" s="456" t="s">
        <v>360</v>
      </c>
      <c r="I14" s="456" t="s">
        <v>297</v>
      </c>
      <c r="J14" s="456" t="s">
        <v>361</v>
      </c>
      <c r="K14" s="456" t="s">
        <v>292</v>
      </c>
      <c r="L14" s="456" t="s">
        <v>291</v>
      </c>
    </row>
    <row r="15" spans="1:12" ht="16" x14ac:dyDescent="0.4">
      <c r="B15" s="19" t="str">
        <f>INDEX(Pub_Comps_Range,MATCH(WACC!B$11,Pub_Comps_Params,0),MATCH(WACC!$C15,Pub_Comps_Tickers,0))</f>
        <v>Applied Materials</v>
      </c>
      <c r="C15" s="19" t="str" cm="1">
        <f t="array" ref="C15:C19">PubComps!C9:C13</f>
        <v>AMAT</v>
      </c>
      <c r="D15" s="19">
        <f>INDEX(Pub_Comps_Range,MATCH(WACC!D$11,Pub_Comps_Params,0),MATCH(WACC!$C15,Pub_Comps_Tickers,0))</f>
        <v>1.29</v>
      </c>
      <c r="E15" s="479">
        <f>INDEX(Pub_Comps_Range,MATCH(WACC!E$11,Pub_Comps_Params,0),MATCH(WACC!$C15,Pub_Comps_Tickers,0))</f>
        <v>5461</v>
      </c>
      <c r="F15" s="478">
        <f>E15/(E15+G15+I15)</f>
        <v>2.3454012257712747E-2</v>
      </c>
      <c r="G15" s="19">
        <f>INDEX(Pub_Comps_Range,MATCH(WACC!G$11,Pub_Comps_Params,0),MATCH(WACC!$C15,Pub_Comps_Tickers,0))</f>
        <v>0</v>
      </c>
      <c r="H15" s="477">
        <f>G15/(E15+G15+I15)</f>
        <v>0</v>
      </c>
      <c r="I15" s="476">
        <f>INDEX(Pub_Comps_Range,MATCH(WACC!I$11,Pub_Comps_Params,0),MATCH(WACC!$C15,Pub_Comps_Tickers,0))</f>
        <v>227377.62650000001</v>
      </c>
      <c r="J15" s="478">
        <f>$I15/($E15+$G15+$I15)</f>
        <v>0.97654598774228729</v>
      </c>
      <c r="K15" s="478">
        <f>INDEX(Pub_Comps_Range,MATCH(WACC!K$11,Pub_Comps_Params,0),MATCH(WACC!$C15,Pub_Comps_Tickers,0))</f>
        <v>0.11960255152109912</v>
      </c>
      <c r="L15" s="483">
        <f t="shared" ref="L15:L19" si="0">IFERROR(D15/(1+(E15/I15)*(1-K15)+G15/I15),"N/A")</f>
        <v>1.2632880489237954</v>
      </c>
    </row>
    <row r="16" spans="1:12" ht="16" x14ac:dyDescent="0.4">
      <c r="B16" s="19" t="str">
        <f>INDEX(Pub_Comps_Range,MATCH(B$11,Pub_Comps_Params,0),MATCH($C16,Pub_Comps_Tickers,0))</f>
        <v>ASML Holding, N.V.</v>
      </c>
      <c r="C16" s="19" t="str">
        <v>ASML</v>
      </c>
      <c r="D16" s="19">
        <f>INDEX(Pub_Comps_Range,MATCH(WACC!D$11,Pub_Comps_Params,0),MATCH(WACC!$C16,Pub_Comps_Tickers,0))</f>
        <v>1.1000000000000001</v>
      </c>
      <c r="E16" s="479">
        <f>INDEX(Pub_Comps_Range,MATCH(WACC!E$11,Pub_Comps_Params,0),MATCH(WACC!$C16,Pub_Comps_Tickers,0))</f>
        <v>4694.2</v>
      </c>
      <c r="F16" s="478">
        <f t="shared" ref="F16:F19" si="1">E16/(E16+G16+I16)</f>
        <v>1.7345032608942122E-2</v>
      </c>
      <c r="G16" s="19">
        <f>INDEX(Pub_Comps_Range,MATCH(WACC!G$11,Pub_Comps_Params,0),MATCH(WACC!$C16,Pub_Comps_Tickers,0))</f>
        <v>0</v>
      </c>
      <c r="H16" s="477">
        <f t="shared" ref="H16:H19" si="2">G16/(E16+G16+I16)</f>
        <v>0</v>
      </c>
      <c r="I16" s="476">
        <f>INDEX(Pub_Comps_Range,MATCH(WACC!I$11,Pub_Comps_Params,0),MATCH(WACC!$C16,Pub_Comps_Tickers,0))</f>
        <v>265942.36239999998</v>
      </c>
      <c r="J16" s="478">
        <f t="shared" ref="J16:J19" si="3">$I16/($E16+$G16+$I16)</f>
        <v>0.98265496739105784</v>
      </c>
      <c r="K16" s="478">
        <f>INDEX(Pub_Comps_Range,MATCH(WACC!K$11,Pub_Comps_Params,0),MATCH(WACC!$C16,Pub_Comps_Tickers,0))</f>
        <v>0.1623471646087051</v>
      </c>
      <c r="L16" s="483">
        <f t="shared" si="0"/>
        <v>1.0839728415348759</v>
      </c>
    </row>
    <row r="17" spans="2:12" ht="16" x14ac:dyDescent="0.4">
      <c r="B17" s="19" t="str">
        <f>INDEX(Pub_Comps_Range,MATCH(B$11,Pub_Comps_Params,0),MATCH($C17,Pub_Comps_Tickers,0))</f>
        <v>KLA Corporation</v>
      </c>
      <c r="C17" s="19" t="str">
        <v>KLAC</v>
      </c>
      <c r="D17" s="19">
        <f>INDEX(Pub_Comps_Range,MATCH(WACC!D$11,Pub_Comps_Params,0),MATCH(WACC!$C17,Pub_Comps_Tickers,0))</f>
        <v>1.29</v>
      </c>
      <c r="E17" s="479">
        <f>INDEX(Pub_Comps_Range,MATCH(WACC!E$11,Pub_Comps_Params,0),MATCH(WACC!$C17,Pub_Comps_Tickers,0))</f>
        <v>5881.4</v>
      </c>
      <c r="F17" s="478">
        <f t="shared" si="1"/>
        <v>6.3253296969481038E-2</v>
      </c>
      <c r="G17" s="19">
        <f>INDEX(Pub_Comps_Range,MATCH(WACC!G$11,Pub_Comps_Params,0),MATCH(WACC!$C17,Pub_Comps_Tickers,0))</f>
        <v>0</v>
      </c>
      <c r="H17" s="477">
        <f t="shared" si="2"/>
        <v>0</v>
      </c>
      <c r="I17" s="476">
        <f>INDEX(Pub_Comps_Range,MATCH(WACC!I$11,Pub_Comps_Params,0),MATCH(WACC!$C17,Pub_Comps_Tickers,0))</f>
        <v>87100.314499999993</v>
      </c>
      <c r="J17" s="478">
        <f t="shared" si="3"/>
        <v>0.93674670303051899</v>
      </c>
      <c r="K17" s="478">
        <f>INDEX(Pub_Comps_Range,MATCH(WACC!K$11,Pub_Comps_Params,0),MATCH(WACC!$C17,Pub_Comps_Tickers,0))</f>
        <v>0.13187006145741881</v>
      </c>
      <c r="L17" s="483">
        <f t="shared" si="0"/>
        <v>1.2185675825192073</v>
      </c>
    </row>
    <row r="18" spans="2:12" ht="16" x14ac:dyDescent="0.4">
      <c r="B18" s="19" t="str">
        <f>INDEX(Pub_Comps_Range,MATCH(B$11,Pub_Comps_Params,0),MATCH($C18,Pub_Comps_Tickers,0))</f>
        <v>Broadcom Inc.</v>
      </c>
      <c r="C18" s="19" t="str">
        <v>AVGO</v>
      </c>
      <c r="D18" s="19">
        <f>INDEX(Pub_Comps_Range,MATCH(WACC!D$11,Pub_Comps_Params,0),MATCH(WACC!$C18,Pub_Comps_Tickers,0))</f>
        <v>1.19</v>
      </c>
      <c r="E18" s="479">
        <f>INDEX(Pub_Comps_Range,MATCH(WACC!E$11,Pub_Comps_Params,0),MATCH(WACC!$C18,Pub_Comps_Tickers,0))</f>
        <v>12413</v>
      </c>
      <c r="F18" s="478">
        <f t="shared" si="1"/>
        <v>1.5922328651481178E-2</v>
      </c>
      <c r="G18" s="19">
        <f>INDEX(Pub_Comps_Range,MATCH(WACC!G$11,Pub_Comps_Params,0),MATCH(WACC!$C18,Pub_Comps_Tickers,0))</f>
        <v>0</v>
      </c>
      <c r="H18" s="477">
        <f t="shared" si="2"/>
        <v>0</v>
      </c>
      <c r="I18" s="476">
        <f>INDEX(Pub_Comps_Range,MATCH(WACC!I$11,Pub_Comps_Params,0),MATCH(WACC!$C18,Pub_Comps_Tickers,0))</f>
        <v>767184.02199999988</v>
      </c>
      <c r="J18" s="478">
        <f t="shared" si="3"/>
        <v>0.98407767134851887</v>
      </c>
      <c r="K18" s="478">
        <f>INDEX(Pub_Comps_Range,MATCH(WACC!K$11,Pub_Comps_Params,0),MATCH(WACC!$C18,Pub_Comps_Tickers,0))</f>
        <v>0.39286017128805223</v>
      </c>
      <c r="L18" s="483">
        <f t="shared" si="0"/>
        <v>1.1784237626865992</v>
      </c>
    </row>
    <row r="19" spans="2:12" ht="16" x14ac:dyDescent="0.4">
      <c r="B19" s="19" t="str">
        <f>INDEX(Pub_Comps_Range,MATCH(B$11,Pub_Comps_Params,0),MATCH($C19,Pub_Comps_Tickers,0))</f>
        <v>Qualcomm Incorporated</v>
      </c>
      <c r="C19" s="19" t="str">
        <v>QCOM</v>
      </c>
      <c r="D19" s="19">
        <f>INDEX(Pub_Comps_Range,MATCH(WACC!D$11,Pub_Comps_Params,0),MATCH(WACC!$C19,Pub_Comps_Tickers,0))</f>
        <v>1.29</v>
      </c>
      <c r="E19" s="479">
        <f>INDEX(Pub_Comps_Range,MATCH(WACC!E$11,Pub_Comps_Params,0),MATCH(WACC!$C19,Pub_Comps_Tickers,0))</f>
        <v>13270</v>
      </c>
      <c r="F19" s="478">
        <f t="shared" si="1"/>
        <v>6.639976662508551E-2</v>
      </c>
      <c r="G19" s="19">
        <f>INDEX(Pub_Comps_Range,MATCH(WACC!G$11,Pub_Comps_Params,0),MATCH(WACC!$C19,Pub_Comps_Tickers,0))</f>
        <v>0</v>
      </c>
      <c r="H19" s="477">
        <f t="shared" si="2"/>
        <v>0</v>
      </c>
      <c r="I19" s="476">
        <f>INDEX(Pub_Comps_Range,MATCH(WACC!I$11,Pub_Comps_Params,0),MATCH(WACC!$C19,Pub_Comps_Tickers,0))</f>
        <v>186580.09999999998</v>
      </c>
      <c r="J19" s="478">
        <f t="shared" si="3"/>
        <v>0.93360023337491449</v>
      </c>
      <c r="K19" s="478">
        <f>INDEX(Pub_Comps_Range,MATCH(WACC!K$11,Pub_Comps_Params,0),MATCH(WACC!$C19,Pub_Comps_Tickers,0))</f>
        <v>2.186532507739938E-2</v>
      </c>
      <c r="L19" s="483">
        <f t="shared" si="0"/>
        <v>1.2060953736157394</v>
      </c>
    </row>
    <row r="20" spans="2:12" ht="16" x14ac:dyDescent="0.4">
      <c r="B20" s="19"/>
      <c r="C20" s="19"/>
      <c r="D20" s="19"/>
      <c r="E20" s="322"/>
      <c r="F20" s="457"/>
      <c r="G20" s="19"/>
      <c r="H20" s="457"/>
      <c r="I20" s="322"/>
      <c r="J20" s="457"/>
      <c r="K20" s="457"/>
      <c r="L20" s="458"/>
    </row>
    <row r="21" spans="2:12" ht="16" x14ac:dyDescent="0.4">
      <c r="B21" s="5"/>
      <c r="C21" s="5"/>
      <c r="D21" s="5"/>
      <c r="E21" s="5"/>
      <c r="F21" s="5"/>
      <c r="G21" s="5"/>
      <c r="H21" s="5"/>
      <c r="I21" s="5"/>
      <c r="J21" s="5"/>
      <c r="K21" s="5"/>
      <c r="L21" s="160"/>
    </row>
    <row r="22" spans="2:12" ht="16" x14ac:dyDescent="0.4">
      <c r="B22" s="459" t="s">
        <v>362</v>
      </c>
      <c r="C22" s="460"/>
      <c r="D22" s="461">
        <f>MEDIAN(D15:D19)</f>
        <v>1.29</v>
      </c>
      <c r="E22" s="485">
        <f t="shared" ref="E22:L22" si="4">MEDIAN(E15:E19)</f>
        <v>5881.4</v>
      </c>
      <c r="F22" s="463">
        <f t="shared" si="4"/>
        <v>2.3454012257712747E-2</v>
      </c>
      <c r="G22" s="461">
        <f t="shared" si="4"/>
        <v>0</v>
      </c>
      <c r="H22" s="464">
        <f t="shared" si="4"/>
        <v>0</v>
      </c>
      <c r="I22" s="484">
        <f t="shared" si="4"/>
        <v>227377.62650000001</v>
      </c>
      <c r="J22" s="463">
        <f t="shared" si="4"/>
        <v>0.97654598774228729</v>
      </c>
      <c r="K22" s="462">
        <f t="shared" si="4"/>
        <v>0.13187006145741881</v>
      </c>
      <c r="L22" s="462">
        <f t="shared" si="4"/>
        <v>1.2060953736157394</v>
      </c>
    </row>
    <row r="23" spans="2:12" ht="16" x14ac:dyDescent="0.4">
      <c r="B23" s="5"/>
      <c r="C23" s="5"/>
      <c r="D23" s="5"/>
      <c r="E23" s="5"/>
      <c r="F23" s="5"/>
      <c r="G23" s="5"/>
      <c r="H23" s="5"/>
      <c r="I23" s="5"/>
      <c r="J23" s="5"/>
      <c r="K23" s="5"/>
      <c r="L23" s="160"/>
    </row>
    <row r="24" spans="2:12" ht="16" x14ac:dyDescent="0.4">
      <c r="B24" s="465" t="str">
        <f>Company_Name</f>
        <v>Lam Research Corporation</v>
      </c>
      <c r="C24" s="465" t="str">
        <f>Ticker</f>
        <v>LRCX</v>
      </c>
      <c r="D24" s="465">
        <f>INDEX(Pub_Comps_Range,MATCH(WACC!D$11,Pub_Comps_Params,0),MATCH(WACC!$C24,Pub_Comps_Tickers,0))</f>
        <v>1.49</v>
      </c>
      <c r="E24" s="465">
        <f>INDEX(Pub_Comps_Range,MATCH(WACC!E$11,Pub_Comps_Params,0),MATCH(WACC!$C24,Pub_Comps_Tickers,0))</f>
        <v>4479</v>
      </c>
      <c r="F24" s="481">
        <f t="shared" ref="F24:J24" si="5">E24/($E24+$G24+$I24)</f>
        <v>4.5186987522472445E-2</v>
      </c>
      <c r="G24" s="465">
        <f>INDEX(Pub_Comps_Range,MATCH(WACC!G$11,Pub_Comps_Params,0),MATCH(WACC!$C24,Pub_Comps_Tickers,0))</f>
        <v>0</v>
      </c>
      <c r="H24" s="480">
        <f t="shared" si="5"/>
        <v>0</v>
      </c>
      <c r="I24" s="482">
        <f>INDEX(Pub_Comps_Range,MATCH(WACC!I$11,Pub_Comps_Params,0),MATCH(WACC!$C24,Pub_Comps_Tickers,0))</f>
        <v>94642.456099999996</v>
      </c>
      <c r="J24" s="467">
        <f t="shared" si="5"/>
        <v>0.95481301247752759</v>
      </c>
      <c r="K24" s="466">
        <v>0.13200000000000001</v>
      </c>
      <c r="L24" s="466">
        <f t="shared" ref="L24" si="6">IFERROR(D24/(1+(E24/I24)*(1-K24)+G24/I24),"N/A")</f>
        <v>1.431208090230738</v>
      </c>
    </row>
    <row r="25" spans="2:12" ht="16" x14ac:dyDescent="0.4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2:12" ht="16" x14ac:dyDescent="0.4">
      <c r="B26" s="455" t="e">
        <f>TEXT(CompanyName,"")&amp; " - Levered Beta &amp; WACC Calculation:"</f>
        <v>#NAME?</v>
      </c>
      <c r="C26" s="455"/>
      <c r="D26" s="455"/>
      <c r="E26" s="455"/>
      <c r="F26" s="455"/>
      <c r="G26" s="455"/>
      <c r="H26" s="455"/>
      <c r="I26" s="455"/>
      <c r="J26" s="455"/>
      <c r="K26" s="455"/>
      <c r="L26" s="455"/>
    </row>
    <row r="27" spans="2:12" ht="16" x14ac:dyDescent="0.4">
      <c r="B27" s="455"/>
      <c r="C27" s="455"/>
      <c r="D27" s="456" t="s">
        <v>357</v>
      </c>
      <c r="E27" s="456"/>
      <c r="F27" s="456"/>
      <c r="G27" s="456" t="s">
        <v>295</v>
      </c>
      <c r="H27" s="456"/>
      <c r="I27" s="456" t="s">
        <v>280</v>
      </c>
      <c r="J27" s="456"/>
      <c r="K27" s="456"/>
      <c r="L27" s="456" t="s">
        <v>356</v>
      </c>
    </row>
    <row r="28" spans="2:12" ht="16" x14ac:dyDescent="0.4">
      <c r="B28" s="455"/>
      <c r="C28" s="455" t="s">
        <v>287</v>
      </c>
      <c r="D28" s="456" t="s">
        <v>291</v>
      </c>
      <c r="E28" s="456" t="s">
        <v>294</v>
      </c>
      <c r="F28" s="456" t="s">
        <v>358</v>
      </c>
      <c r="G28" s="456" t="s">
        <v>359</v>
      </c>
      <c r="H28" s="456" t="s">
        <v>360</v>
      </c>
      <c r="I28" s="456" t="s">
        <v>297</v>
      </c>
      <c r="J28" s="456" t="s">
        <v>361</v>
      </c>
      <c r="K28" s="456" t="s">
        <v>292</v>
      </c>
      <c r="L28" s="456" t="s">
        <v>291</v>
      </c>
    </row>
    <row r="29" spans="2:12" ht="16" x14ac:dyDescent="0.4">
      <c r="B29" s="19" t="s">
        <v>363</v>
      </c>
      <c r="C29" s="19" t="str">
        <f>C24</f>
        <v>LRCX</v>
      </c>
      <c r="D29" s="468">
        <f>L24</f>
        <v>1.431208090230738</v>
      </c>
      <c r="E29" s="123">
        <v>5461</v>
      </c>
      <c r="F29" s="457">
        <v>3.3001557194883353E-2</v>
      </c>
      <c r="G29" s="123">
        <v>0</v>
      </c>
      <c r="H29" s="469">
        <v>0</v>
      </c>
      <c r="I29" s="123">
        <v>160016.03999999998</v>
      </c>
      <c r="J29" s="470">
        <v>0.9669984428051166</v>
      </c>
      <c r="K29" s="457">
        <v>0.13200000000000001</v>
      </c>
      <c r="L29" s="468">
        <f>D29*(1+E29/I29*(1-K29)+G29/I29)</f>
        <v>1.4736047035108257</v>
      </c>
    </row>
    <row r="30" spans="2:12" ht="16" x14ac:dyDescent="0.4">
      <c r="B30" s="19" t="s">
        <v>364</v>
      </c>
      <c r="C30" s="468"/>
      <c r="D30" s="468">
        <f>L22</f>
        <v>1.2060953736157394</v>
      </c>
      <c r="E30" s="123">
        <f>(E29+I29)*F30</f>
        <v>3881.1005245300221</v>
      </c>
      <c r="F30" s="469">
        <f>F22</f>
        <v>2.3454012257712747E-2</v>
      </c>
      <c r="G30" s="123">
        <v>0</v>
      </c>
      <c r="H30" s="469">
        <v>0</v>
      </c>
      <c r="I30" s="123">
        <f>(I29+E29)*J30</f>
        <v>161595.93947546996</v>
      </c>
      <c r="J30" s="471">
        <f>J22</f>
        <v>0.97654598774228729</v>
      </c>
      <c r="K30" s="457">
        <v>0.13200000000000001</v>
      </c>
      <c r="L30" s="468">
        <f>D30*(1+E30/I30*(1-K30)+G30/I30)</f>
        <v>1.2312388789863258</v>
      </c>
    </row>
    <row r="31" spans="2:12" ht="16" x14ac:dyDescent="0.4">
      <c r="B31" s="5"/>
      <c r="C31" s="472"/>
      <c r="D31" s="5"/>
      <c r="E31" s="5"/>
      <c r="F31" s="5"/>
      <c r="G31" s="5"/>
      <c r="H31" s="5"/>
      <c r="I31" s="5"/>
      <c r="J31" s="5"/>
      <c r="K31" s="5"/>
      <c r="L31" s="5"/>
    </row>
    <row r="32" spans="2:12" ht="16" x14ac:dyDescent="0.4">
      <c r="B32" s="473" t="s">
        <v>365</v>
      </c>
      <c r="C32" s="473"/>
      <c r="D32" s="473"/>
      <c r="E32" s="473"/>
      <c r="F32" s="473"/>
      <c r="G32" s="473"/>
      <c r="H32" s="473"/>
      <c r="I32" s="473"/>
      <c r="J32" s="473"/>
      <c r="K32" s="473"/>
      <c r="L32" s="474">
        <f>Risk_Free_Rate+Equity_Risk_Premium*L29</f>
        <v>0.10868023517554129</v>
      </c>
    </row>
    <row r="33" spans="2:12" ht="16" x14ac:dyDescent="0.4">
      <c r="B33" s="473" t="s">
        <v>366</v>
      </c>
      <c r="C33" s="473"/>
      <c r="D33" s="473"/>
      <c r="E33" s="473"/>
      <c r="F33" s="473"/>
      <c r="G33" s="473"/>
      <c r="H33" s="473"/>
      <c r="I33" s="473"/>
      <c r="J33" s="473"/>
      <c r="K33" s="473"/>
      <c r="L33" s="474">
        <f>Risk_Free_Rate+Equity_Risk_Premium*L30</f>
        <v>9.6561943949316303E-2</v>
      </c>
    </row>
    <row r="34" spans="2:12" ht="16" x14ac:dyDescent="0.4">
      <c r="B34" s="473" t="s">
        <v>367</v>
      </c>
      <c r="C34" s="473"/>
      <c r="D34" s="473"/>
      <c r="E34" s="473"/>
      <c r="F34" s="473"/>
      <c r="G34" s="473"/>
      <c r="H34" s="473"/>
      <c r="I34" s="473"/>
      <c r="J34" s="473"/>
      <c r="K34" s="473"/>
      <c r="L34" s="474">
        <f>Risk_Free_Rate+Equity_Risk_Premium*D24</f>
        <v>0.1095</v>
      </c>
    </row>
    <row r="35" spans="2:12" ht="16" x14ac:dyDescent="0.4"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</row>
    <row r="36" spans="2:12" ht="16" x14ac:dyDescent="0.4">
      <c r="B36" s="473" t="s">
        <v>368</v>
      </c>
      <c r="C36" s="473"/>
      <c r="D36" s="473"/>
      <c r="E36" s="473"/>
      <c r="F36" s="473"/>
      <c r="G36" s="473"/>
      <c r="H36" s="473"/>
      <c r="I36" s="473"/>
      <c r="J36" s="473"/>
      <c r="K36" s="473"/>
      <c r="L36" s="474">
        <f>L32*J29+Cost_of_Debt*(1-K29)*F29+Cost_of_Preferred*H29</f>
        <v>0.10627829117628615</v>
      </c>
    </row>
    <row r="37" spans="2:12" ht="16" x14ac:dyDescent="0.4">
      <c r="B37" s="473" t="s">
        <v>369</v>
      </c>
      <c r="C37" s="473"/>
      <c r="D37" s="473"/>
      <c r="E37" s="473"/>
      <c r="F37" s="473"/>
      <c r="G37" s="473"/>
      <c r="H37" s="473"/>
      <c r="I37" s="473"/>
      <c r="J37" s="473"/>
      <c r="K37" s="473"/>
      <c r="L37" s="474">
        <f>L33*J30+Cost_of_Debt*(1-K30)*F30+Cost_of_Preferred*H30</f>
        <v>9.5139119051935755E-2</v>
      </c>
    </row>
    <row r="38" spans="2:12" ht="16" x14ac:dyDescent="0.4">
      <c r="B38" s="473" t="s">
        <v>370</v>
      </c>
      <c r="C38" s="473"/>
      <c r="D38" s="473"/>
      <c r="E38" s="473"/>
      <c r="F38" s="473"/>
      <c r="G38" s="473"/>
      <c r="H38" s="473"/>
      <c r="I38" s="473"/>
      <c r="J38" s="473"/>
      <c r="K38" s="473"/>
      <c r="L38" s="474">
        <f>L34*J29+Cost_of_Debt*(1-K29)*F29+Cost_of_Preferred*H29</f>
        <v>0.10707100248500413</v>
      </c>
    </row>
    <row r="39" spans="2:12" ht="16" x14ac:dyDescent="0.4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2:12" ht="16" x14ac:dyDescent="0.4">
      <c r="B40" s="473" t="s">
        <v>371</v>
      </c>
      <c r="C40" s="473"/>
      <c r="D40" s="473"/>
      <c r="E40" s="473"/>
      <c r="F40" s="473"/>
      <c r="G40" s="473"/>
      <c r="H40" s="473"/>
      <c r="I40" s="473"/>
      <c r="J40" s="473"/>
      <c r="K40" s="473"/>
      <c r="L40" s="475">
        <f>AVERAGE(L36:L38)</f>
        <v>0.10282947090440868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D280B-81A4-4F97-8B97-7165836098F5}">
  <dimension ref="B2:V38"/>
  <sheetViews>
    <sheetView showGridLines="0" topLeftCell="A17" zoomScale="72" workbookViewId="0">
      <selection activeCell="F25" sqref="F25"/>
    </sheetView>
  </sheetViews>
  <sheetFormatPr defaultRowHeight="14.5" x14ac:dyDescent="0.35"/>
  <cols>
    <col min="2" max="2" width="55" bestFit="1" customWidth="1"/>
    <col min="3" max="3" width="9.7265625" bestFit="1" customWidth="1"/>
    <col min="4" max="4" width="10.1796875" bestFit="1" customWidth="1"/>
    <col min="5" max="5" width="11.54296875" bestFit="1" customWidth="1"/>
    <col min="6" max="6" width="10.1796875" bestFit="1" customWidth="1"/>
    <col min="7" max="7" width="9.453125" bestFit="1" customWidth="1"/>
    <col min="8" max="8" width="10.54296875" bestFit="1" customWidth="1"/>
    <col min="9" max="10" width="11.1796875" bestFit="1" customWidth="1"/>
    <col min="11" max="11" width="12.1796875" bestFit="1" customWidth="1"/>
    <col min="12" max="13" width="10.81640625" bestFit="1" customWidth="1"/>
    <col min="15" max="15" width="12.453125" bestFit="1" customWidth="1"/>
  </cols>
  <sheetData>
    <row r="2" spans="2:22" ht="18.5" x14ac:dyDescent="0.45">
      <c r="B2" s="434" t="str">
        <f>"Valuation Summary - "&amp;Company_Name</f>
        <v>Valuation Summary - Lam Research Corporation</v>
      </c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</row>
    <row r="3" spans="2:22" ht="16" x14ac:dyDescent="0.4">
      <c r="B3" s="19" t="s">
        <v>274</v>
      </c>
      <c r="C3" s="435"/>
      <c r="D3" s="435"/>
      <c r="E3" s="435"/>
      <c r="F3" s="435"/>
      <c r="G3" s="435"/>
      <c r="H3" s="435"/>
      <c r="I3" s="435"/>
      <c r="J3" s="435"/>
      <c r="K3" s="435"/>
      <c r="L3" s="435"/>
      <c r="M3" s="435"/>
    </row>
    <row r="4" spans="2:22" ht="16" x14ac:dyDescent="0.4"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</row>
    <row r="5" spans="2:22" ht="16" x14ac:dyDescent="0.4">
      <c r="B5" s="296" t="str">
        <f>"Valuation Statistics - "&amp;TEXT(Company_Name,"")</f>
        <v>Valuation Statistics - Lam Research Corporation</v>
      </c>
      <c r="C5" s="296" t="s">
        <v>386</v>
      </c>
      <c r="D5" s="296"/>
      <c r="E5" s="296"/>
      <c r="F5" s="296"/>
      <c r="G5" s="296"/>
      <c r="H5" s="296"/>
      <c r="I5" s="296" t="s">
        <v>387</v>
      </c>
      <c r="J5" s="296"/>
      <c r="K5" s="296"/>
      <c r="L5" s="296"/>
      <c r="M5" s="296"/>
    </row>
    <row r="6" spans="2:22" ht="16" x14ac:dyDescent="0.4">
      <c r="B6" s="299"/>
      <c r="C6" s="300"/>
      <c r="D6" s="297"/>
      <c r="E6" s="297"/>
      <c r="F6" s="298"/>
      <c r="G6" s="297"/>
      <c r="H6" s="297"/>
      <c r="I6" s="297"/>
      <c r="J6" s="297"/>
      <c r="K6" s="297"/>
      <c r="L6" s="297"/>
      <c r="M6" s="297"/>
    </row>
    <row r="7" spans="2:22" ht="16" x14ac:dyDescent="0.4">
      <c r="B7" s="299"/>
      <c r="C7" s="300"/>
      <c r="D7" s="300" t="s">
        <v>335</v>
      </c>
      <c r="E7" s="300"/>
      <c r="F7" s="300" t="s">
        <v>336</v>
      </c>
      <c r="G7" s="297"/>
      <c r="H7" s="300" t="s">
        <v>337</v>
      </c>
      <c r="I7" s="300"/>
      <c r="J7" s="300" t="s">
        <v>336</v>
      </c>
      <c r="K7" s="300"/>
      <c r="L7" s="300" t="s">
        <v>335</v>
      </c>
      <c r="M7" s="300"/>
    </row>
    <row r="8" spans="2:22" ht="16" x14ac:dyDescent="0.4">
      <c r="B8" s="299"/>
      <c r="C8" s="300" t="s">
        <v>299</v>
      </c>
      <c r="D8" s="300" t="s">
        <v>338</v>
      </c>
      <c r="E8" s="300" t="s">
        <v>301</v>
      </c>
      <c r="F8" s="300" t="s">
        <v>338</v>
      </c>
      <c r="G8" s="300" t="s">
        <v>303</v>
      </c>
      <c r="H8" s="300" t="s">
        <v>339</v>
      </c>
      <c r="I8" s="300" t="s">
        <v>303</v>
      </c>
      <c r="J8" s="300" t="s">
        <v>338</v>
      </c>
      <c r="K8" s="300" t="s">
        <v>301</v>
      </c>
      <c r="L8" s="300" t="s">
        <v>338</v>
      </c>
      <c r="M8" s="300" t="s">
        <v>299</v>
      </c>
    </row>
    <row r="9" spans="2:22" ht="16" x14ac:dyDescent="0.4">
      <c r="B9" s="296" t="s">
        <v>340</v>
      </c>
      <c r="C9" s="300" t="s">
        <v>341</v>
      </c>
      <c r="D9" s="300" t="s">
        <v>341</v>
      </c>
      <c r="E9" s="300" t="s">
        <v>341</v>
      </c>
      <c r="F9" s="300" t="s">
        <v>341</v>
      </c>
      <c r="G9" s="300" t="s">
        <v>341</v>
      </c>
      <c r="H9" s="300" t="s">
        <v>342</v>
      </c>
      <c r="I9" s="300" t="s">
        <v>341</v>
      </c>
      <c r="J9" s="300" t="s">
        <v>341</v>
      </c>
      <c r="K9" s="300" t="s">
        <v>341</v>
      </c>
      <c r="L9" s="300" t="s">
        <v>341</v>
      </c>
      <c r="M9" s="300" t="s">
        <v>341</v>
      </c>
    </row>
    <row r="11" spans="2:22" ht="16" x14ac:dyDescent="0.4">
      <c r="B11" s="163" t="s">
        <v>343</v>
      </c>
    </row>
    <row r="12" spans="2:22" ht="16" x14ac:dyDescent="0.4">
      <c r="B12" s="46" t="s">
        <v>344</v>
      </c>
      <c r="C12" s="438" cm="1">
        <f t="array" ref="C12:G20">TRANSPOSE(PubComps!N28:V32)</f>
        <v>8.2197757764203718</v>
      </c>
      <c r="D12" s="438">
        <v>9.9878482506288577</v>
      </c>
      <c r="E12" s="438">
        <v>8.8724494979038688</v>
      </c>
      <c r="F12" s="438">
        <v>16.627662544056388</v>
      </c>
      <c r="G12" s="438">
        <v>4.8962347928751084</v>
      </c>
      <c r="H12" s="439" cm="1">
        <f t="array" ref="H12:H20">TRANSPOSE(PubComps!N22:V22)</f>
        <v>15591.319999999998</v>
      </c>
      <c r="I12" s="437">
        <f>(I26+SUM($E$25:$E$31))/$E$34</f>
        <v>60.164807370775478</v>
      </c>
      <c r="J12" s="529">
        <f>(J26+SUM($E$25:$E$31))/$E$34</f>
        <v>201.38176816194593</v>
      </c>
      <c r="K12" s="529">
        <f t="shared" ref="K12:M12" si="0">(K26+SUM($E$25:$E$31))/$E$34</f>
        <v>108.02845773002363</v>
      </c>
      <c r="L12" s="529">
        <f t="shared" si="0"/>
        <v>121.45506063555871</v>
      </c>
      <c r="M12" s="529">
        <f t="shared" si="0"/>
        <v>100.17190341361646</v>
      </c>
      <c r="N12" s="104"/>
      <c r="O12" s="530"/>
      <c r="P12" s="104"/>
      <c r="Q12" s="104"/>
      <c r="R12" s="104"/>
      <c r="S12" s="104"/>
      <c r="T12" s="104"/>
      <c r="U12" s="104"/>
      <c r="V12" s="104"/>
    </row>
    <row r="13" spans="2:22" ht="16" x14ac:dyDescent="0.4">
      <c r="B13" s="46" t="str">
        <f>"CY "&amp;TEXT(EOMONTH(Hist_Year,12),"YY")&amp;" TEV / Revenue:"</f>
        <v>CY 25 TEV / Revenue:</v>
      </c>
      <c r="C13" s="438">
        <v>7.9193265879539423</v>
      </c>
      <c r="D13" s="438">
        <v>7.7133528300220746</v>
      </c>
      <c r="E13" s="438">
        <v>8.1429661212891897</v>
      </c>
      <c r="F13" s="438">
        <v>20.141013846752568</v>
      </c>
      <c r="G13" s="438">
        <v>4.5377523566961155</v>
      </c>
      <c r="H13" s="440">
        <v>16321.412999999999</v>
      </c>
      <c r="I13" s="437">
        <f t="shared" ref="I13:J13" si="1">(I27+SUM($E$25:$E$31))/$E$34</f>
        <v>58.407410502660227</v>
      </c>
      <c r="J13" s="529">
        <f t="shared" si="1"/>
        <v>255.0267560445383</v>
      </c>
      <c r="K13" s="529">
        <f t="shared" ref="K13:M13" si="2">(K27+SUM($E$25:$E$31))/$E$34</f>
        <v>103.83732087009174</v>
      </c>
      <c r="L13" s="529">
        <f t="shared" si="2"/>
        <v>98.423690891586105</v>
      </c>
      <c r="M13" s="529">
        <f t="shared" si="2"/>
        <v>101.01920116417709</v>
      </c>
      <c r="N13" s="104"/>
      <c r="O13" s="530"/>
      <c r="P13" s="104"/>
      <c r="Q13" s="104"/>
      <c r="R13" s="104"/>
      <c r="S13" s="104"/>
      <c r="T13" s="104"/>
      <c r="U13" s="104"/>
      <c r="V13" s="104"/>
    </row>
    <row r="14" spans="2:22" ht="16" x14ac:dyDescent="0.4">
      <c r="B14" s="46" t="str">
        <f>"CY "&amp;TEXT(EOMONTH(Hist_Year,24),"YY")&amp;" TEV / Revenue:"</f>
        <v>CY 26 TEV / Revenue:</v>
      </c>
      <c r="C14" s="438">
        <v>7.5523444228602559</v>
      </c>
      <c r="D14" s="438">
        <v>6.8112063001949315</v>
      </c>
      <c r="E14" s="438">
        <v>7.9754810198718822</v>
      </c>
      <c r="F14" s="438">
        <v>18.079904709831748</v>
      </c>
      <c r="G14" s="438">
        <v>4.0733863166033348</v>
      </c>
      <c r="H14" s="440">
        <v>17871.947235</v>
      </c>
      <c r="I14" s="437">
        <f t="shared" ref="I14:J14" si="3">(I28+SUM($E$25:$E$31))/$E$34</f>
        <v>57.4321512921302</v>
      </c>
      <c r="J14" s="529">
        <f t="shared" si="3"/>
        <v>250.69802505187573</v>
      </c>
      <c r="K14" s="529">
        <f t="shared" ref="K14:M14" si="4">(K28+SUM($E$25:$E$31))/$E$34</f>
        <v>111.27434969919956</v>
      </c>
      <c r="L14" s="529">
        <f t="shared" si="4"/>
        <v>95.20936019377514</v>
      </c>
      <c r="M14" s="529">
        <f t="shared" si="4"/>
        <v>105.43579211870095</v>
      </c>
      <c r="N14" s="436"/>
      <c r="O14" s="530"/>
      <c r="P14" s="436"/>
      <c r="Q14" s="436"/>
      <c r="R14" s="436"/>
      <c r="S14" s="436"/>
      <c r="T14" s="436"/>
      <c r="U14" s="436"/>
      <c r="V14" s="436"/>
    </row>
    <row r="15" spans="2:22" ht="16" x14ac:dyDescent="0.4">
      <c r="B15" s="46" t="s">
        <v>345</v>
      </c>
      <c r="C15" s="438">
        <v>27.046933829761475</v>
      </c>
      <c r="D15" s="438">
        <v>29.56032648641332</v>
      </c>
      <c r="E15" s="438">
        <v>21.142105807272969</v>
      </c>
      <c r="F15" s="438">
        <v>48.304314117282026</v>
      </c>
      <c r="G15" s="438">
        <v>16.277056313993171</v>
      </c>
      <c r="H15" s="440">
        <v>4971</v>
      </c>
      <c r="I15" s="437">
        <f t="shared" ref="I15:J15" si="5">(I29+SUM($E$25:$E$31))/$E$34</f>
        <v>63.696599782942073</v>
      </c>
      <c r="J15" s="529">
        <f t="shared" si="5"/>
        <v>186.6149220424241</v>
      </c>
      <c r="K15" s="529">
        <f t="shared" ref="K15:M15" si="6">(K29+SUM($E$25:$E$31))/$E$34</f>
        <v>82.36831139485183</v>
      </c>
      <c r="L15" s="529">
        <f t="shared" si="6"/>
        <v>114.67683960683478</v>
      </c>
      <c r="M15" s="529">
        <f t="shared" si="6"/>
        <v>105.03061855249204</v>
      </c>
      <c r="N15" s="104"/>
      <c r="O15" s="530"/>
      <c r="P15" s="104"/>
      <c r="Q15" s="104"/>
      <c r="R15" s="104"/>
      <c r="S15" s="104"/>
      <c r="T15" s="104"/>
      <c r="U15" s="104"/>
      <c r="V15" s="104"/>
    </row>
    <row r="16" spans="2:22" ht="16" x14ac:dyDescent="0.4">
      <c r="B16" s="46" t="str">
        <f>"CY "&amp;TEXT(EOMONTH(Hist_Year,12),"YY")&amp;" TEV / EBITDA:"</f>
        <v>CY 25 TEV / EBITDA:</v>
      </c>
      <c r="C16" s="438">
        <v>25.53507270733779</v>
      </c>
      <c r="D16" s="438">
        <v>22.686331853006102</v>
      </c>
      <c r="E16" s="438">
        <v>19.434286685654396</v>
      </c>
      <c r="F16" s="438">
        <v>60.302436666923853</v>
      </c>
      <c r="G16" s="438">
        <v>15.075589224904039</v>
      </c>
      <c r="H16" s="440">
        <v>5222.8521599999995</v>
      </c>
      <c r="I16" s="437">
        <f t="shared" ref="I16:J16" si="7">(I30+SUM($E$25:$E$31))/$E$34</f>
        <v>62.016841600768032</v>
      </c>
      <c r="J16" s="529">
        <f t="shared" si="7"/>
        <v>244.38841873575075</v>
      </c>
      <c r="K16" s="529">
        <f t="shared" ref="K16:M16" si="8">(K30+SUM($E$25:$E$31))/$E$34</f>
        <v>79.592741207530153</v>
      </c>
      <c r="L16" s="529">
        <f t="shared" si="8"/>
        <v>92.706204551276386</v>
      </c>
      <c r="M16" s="529">
        <f t="shared" si="8"/>
        <v>104.19339394955043</v>
      </c>
      <c r="N16" s="104"/>
      <c r="O16" s="530"/>
      <c r="P16" s="104"/>
      <c r="Q16" s="104"/>
      <c r="R16" s="104"/>
      <c r="S16" s="104"/>
      <c r="T16" s="104"/>
      <c r="U16" s="104"/>
      <c r="V16" s="104"/>
    </row>
    <row r="17" spans="2:15" ht="16" x14ac:dyDescent="0.4">
      <c r="B17" s="46" t="str">
        <f>"CY "&amp;TEXT(EOMONTH(Hist_Year,24),"YY")&amp;" TEV / EBITDA:"</f>
        <v>CY 26 TEV / EBITDA:</v>
      </c>
      <c r="C17" s="438">
        <v>24.274727540299864</v>
      </c>
      <c r="D17" s="438">
        <v>20.032959706455678</v>
      </c>
      <c r="E17" s="438">
        <v>19.034560906615475</v>
      </c>
      <c r="F17" s="438">
        <v>54.131451227041161</v>
      </c>
      <c r="G17" s="438">
        <v>13.532844905658918</v>
      </c>
      <c r="H17" s="440">
        <v>5719.0231151999997</v>
      </c>
      <c r="I17" s="437">
        <f t="shared" ref="I17:J17" si="9">(I31+SUM($E$25:$E$31))/$E$34</f>
        <v>60.980021177613175</v>
      </c>
      <c r="J17" s="529">
        <f t="shared" si="9"/>
        <v>240.24113155715182</v>
      </c>
      <c r="K17" s="529">
        <f t="shared" ref="K17:M17" si="10">(K31+SUM($E$25:$E$31))/$E$34</f>
        <v>85.272572294199605</v>
      </c>
      <c r="L17" s="529">
        <f t="shared" si="10"/>
        <v>89.680952129807238</v>
      </c>
      <c r="M17" s="529">
        <f t="shared" si="10"/>
        <v>108.4102652950881</v>
      </c>
      <c r="O17" s="530"/>
    </row>
    <row r="18" spans="2:15" ht="16" x14ac:dyDescent="0.4">
      <c r="B18" s="46" t="s">
        <v>306</v>
      </c>
      <c r="C18" s="438">
        <v>31.681430472342207</v>
      </c>
      <c r="D18" s="438">
        <v>38.392141244405948</v>
      </c>
      <c r="E18" s="438">
        <v>29.366255731625081</v>
      </c>
      <c r="F18" s="438">
        <v>54.429515572898183</v>
      </c>
      <c r="G18" s="438">
        <v>25.799239491150438</v>
      </c>
      <c r="H18" s="440">
        <v>4057</v>
      </c>
      <c r="I18" s="437">
        <f t="shared" ref="I18:J18" si="11">(I32+SUM($E$25:$E$31))/$E$34</f>
        <v>82.036406364581822</v>
      </c>
      <c r="J18" s="529">
        <f t="shared" si="11"/>
        <v>171.7139385894767</v>
      </c>
      <c r="K18" s="529">
        <f t="shared" ref="K18:M18" si="12">(K32+SUM($E$25:$E$31))/$E$34</f>
        <v>93.209236585936821</v>
      </c>
      <c r="L18" s="529">
        <f t="shared" si="12"/>
        <v>121.48067681304086</v>
      </c>
      <c r="M18" s="529">
        <f t="shared" si="12"/>
        <v>100.46097096754424</v>
      </c>
      <c r="O18" s="530"/>
    </row>
    <row r="19" spans="2:15" ht="16" x14ac:dyDescent="0.4">
      <c r="B19" s="46" t="str">
        <f>"CY "&amp;TEXT(EOMONTH(Hist_Year,12),"YY")&amp;" P / E:"</f>
        <v>CY 25 P / E:</v>
      </c>
      <c r="C19" s="438">
        <v>32.404996554122796</v>
      </c>
      <c r="D19" s="438">
        <v>27.085085705701577</v>
      </c>
      <c r="E19" s="438">
        <v>23.504669748438875</v>
      </c>
      <c r="F19" s="438">
        <v>44.473275885556603</v>
      </c>
      <c r="G19" s="438">
        <v>21.060603666245253</v>
      </c>
      <c r="H19" s="440">
        <v>4348.6080000000002</v>
      </c>
      <c r="I19" s="437">
        <f t="shared" ref="I19:J19" si="13">(I33+SUM($E$25:$E$31))/$E$34</f>
        <v>71.935339351206693</v>
      </c>
      <c r="J19" s="529">
        <f t="shared" si="13"/>
        <v>150.54109563717526</v>
      </c>
      <c r="K19" s="529">
        <f t="shared" ref="K19:M19" si="14">(K33+SUM($E$25:$E$31))/$E$34</f>
        <v>80.141052095318429</v>
      </c>
      <c r="L19" s="529">
        <f t="shared" si="14"/>
        <v>92.161948364768818</v>
      </c>
      <c r="M19" s="529">
        <f t="shared" si="14"/>
        <v>110.02302853951099</v>
      </c>
    </row>
    <row r="20" spans="2:15" ht="16" x14ac:dyDescent="0.4">
      <c r="B20" s="46" t="str">
        <f>"CY "&amp;TEXT(EOMONTH(Hist_Year,24),"YY")&amp;" P / E:"</f>
        <v>CY 26 P / E:</v>
      </c>
      <c r="C20" s="438">
        <v>30.738295432637887</v>
      </c>
      <c r="D20" s="438">
        <v>23.917239424332969</v>
      </c>
      <c r="E20" s="438">
        <v>17.619692465096605</v>
      </c>
      <c r="F20" s="438">
        <v>43.261941522914974</v>
      </c>
      <c r="G20" s="438">
        <v>20.48696854693118</v>
      </c>
      <c r="H20" s="440">
        <v>4940.018688000001</v>
      </c>
      <c r="I20" s="437">
        <f t="shared" ref="I20:J20" si="15">(I34+SUM($E$25:$E$31))/$E$34</f>
        <v>79.36390253646708</v>
      </c>
      <c r="J20" s="529">
        <f t="shared" si="15"/>
        <v>166.22785111707049</v>
      </c>
      <c r="K20" s="529">
        <f t="shared" ref="K20:M20" si="16">(K34+SUM($E$25:$E$31))/$E$34</f>
        <v>68.428086173413249</v>
      </c>
      <c r="L20" s="529">
        <f t="shared" si="16"/>
        <v>92.446986034584782</v>
      </c>
      <c r="M20" s="529">
        <f t="shared" si="16"/>
        <v>118.46255404406648</v>
      </c>
    </row>
    <row r="21" spans="2:15" ht="16" x14ac:dyDescent="0.4">
      <c r="B21" s="163" t="s">
        <v>348</v>
      </c>
    </row>
    <row r="22" spans="2:15" ht="16" x14ac:dyDescent="0.4">
      <c r="B22" s="46" t="s">
        <v>349</v>
      </c>
      <c r="I22" s="534">
        <f>DCF!P102</f>
        <v>75.448050133657972</v>
      </c>
      <c r="J22" s="534">
        <f>DCF!N100</f>
        <v>86.180971278140845</v>
      </c>
      <c r="K22" s="534">
        <f>DCF!K97</f>
        <v>109.99757882620675</v>
      </c>
      <c r="L22" s="534">
        <f>DCF!H94</f>
        <v>153.08553271849087</v>
      </c>
      <c r="M22" s="534">
        <f>DCF!F92</f>
        <v>208.37766885057769</v>
      </c>
    </row>
    <row r="24" spans="2:15" ht="16" x14ac:dyDescent="0.4">
      <c r="B24" s="513" t="s">
        <v>375</v>
      </c>
      <c r="C24" s="514"/>
      <c r="D24" s="514"/>
      <c r="E24" s="515">
        <f>I26</f>
        <v>76338.763450849525</v>
      </c>
    </row>
    <row r="25" spans="2:15" ht="16" x14ac:dyDescent="0.4">
      <c r="B25" s="105" t="str">
        <f>[3]DCF!I28</f>
        <v>(+) Cash and Investments:</v>
      </c>
      <c r="C25" s="19"/>
      <c r="D25" s="19"/>
      <c r="E25" s="516">
        <f>-DCF!G21</f>
        <v>6067.5</v>
      </c>
    </row>
    <row r="26" spans="2:15" ht="16" x14ac:dyDescent="0.4">
      <c r="B26" s="105" t="str">
        <f>[3]DCF!I29</f>
        <v>(+) Net Operating Losses:</v>
      </c>
      <c r="C26" s="5"/>
      <c r="D26" s="5"/>
      <c r="E26" s="516">
        <f>[3]DCF!L29</f>
        <v>0</v>
      </c>
      <c r="G26" s="435" t="s">
        <v>376</v>
      </c>
      <c r="H26" s="527"/>
      <c r="I26" s="197">
        <f t="shared" ref="I26:I34" si="17">G12*$H12</f>
        <v>76338.763450849525</v>
      </c>
      <c r="J26" s="197">
        <f t="shared" ref="J26:J34" si="18">F12*$H12</f>
        <v>259247.20757639722</v>
      </c>
      <c r="K26" s="197">
        <f t="shared" ref="K26:K34" si="19">E12*$H12</f>
        <v>138333.19930565852</v>
      </c>
      <c r="L26" s="197">
        <f t="shared" ref="L26:L34" si="20">D12*$H12</f>
        <v>155723.73818699471</v>
      </c>
      <c r="M26" s="197">
        <f t="shared" ref="M26:M34" si="21">C12*$H12</f>
        <v>128157.15445841846</v>
      </c>
    </row>
    <row r="27" spans="2:15" ht="16" x14ac:dyDescent="0.4">
      <c r="B27" s="105" t="str">
        <f>[3]DCF!I30</f>
        <v>(-)Debt and Finance Leases:</v>
      </c>
      <c r="C27" s="5"/>
      <c r="D27" s="5"/>
      <c r="E27" s="516">
        <f>-DCF!G23</f>
        <v>-4479</v>
      </c>
      <c r="G27" s="435" t="s">
        <v>376</v>
      </c>
      <c r="H27" s="5"/>
      <c r="I27" s="197">
        <f t="shared" si="17"/>
        <v>74062.530305360604</v>
      </c>
      <c r="J27" s="197">
        <f t="shared" si="18"/>
        <v>328729.80523156736</v>
      </c>
      <c r="K27" s="197">
        <f t="shared" si="19"/>
        <v>132904.71311056893</v>
      </c>
      <c r="L27" s="197">
        <f t="shared" si="20"/>
        <v>125892.81715350907</v>
      </c>
      <c r="M27" s="197">
        <f t="shared" si="21"/>
        <v>129254.5999238771</v>
      </c>
    </row>
    <row r="28" spans="2:15" ht="16" x14ac:dyDescent="0.4">
      <c r="B28" s="105" t="str">
        <f>[3]DCF!I31</f>
        <v>(-)Preferred Stock:</v>
      </c>
      <c r="C28" s="5"/>
      <c r="D28" s="5"/>
      <c r="E28" s="516">
        <v>0</v>
      </c>
      <c r="G28" s="435" t="s">
        <v>376</v>
      </c>
      <c r="H28" s="5"/>
      <c r="I28" s="197">
        <f t="shared" si="17"/>
        <v>72799.345318105799</v>
      </c>
      <c r="J28" s="197">
        <f t="shared" si="18"/>
        <v>323123.10298794101</v>
      </c>
      <c r="K28" s="197">
        <f t="shared" si="19"/>
        <v>142537.37596089425</v>
      </c>
      <c r="L28" s="197">
        <f t="shared" si="20"/>
        <v>121729.51960378338</v>
      </c>
      <c r="M28" s="197">
        <f t="shared" si="21"/>
        <v>134975.10102590502</v>
      </c>
    </row>
    <row r="29" spans="2:15" ht="16" x14ac:dyDescent="0.4">
      <c r="B29" s="105" t="str">
        <f>[3]DCF!I32</f>
        <v>(-) Operating Leases:</v>
      </c>
      <c r="C29" s="5"/>
      <c r="D29" s="5"/>
      <c r="E29" s="516">
        <v>0</v>
      </c>
      <c r="G29" s="435" t="s">
        <v>376</v>
      </c>
      <c r="H29" s="5"/>
      <c r="I29" s="197">
        <f t="shared" si="17"/>
        <v>80913.246936860058</v>
      </c>
      <c r="J29" s="197">
        <f t="shared" si="18"/>
        <v>240120.74547700895</v>
      </c>
      <c r="K29" s="197">
        <f t="shared" si="19"/>
        <v>105097.40796795393</v>
      </c>
      <c r="L29" s="197">
        <f t="shared" si="20"/>
        <v>146944.38296396061</v>
      </c>
      <c r="M29" s="197">
        <f t="shared" si="21"/>
        <v>134450.30806774428</v>
      </c>
    </row>
    <row r="30" spans="2:15" ht="16" x14ac:dyDescent="0.4">
      <c r="B30" s="105" t="str">
        <f>[3]DCF!I33</f>
        <v>(-) Noncontrolling Interests:</v>
      </c>
      <c r="C30" s="5"/>
      <c r="D30" s="5"/>
      <c r="E30" s="516">
        <v>0</v>
      </c>
      <c r="G30" s="435" t="s">
        <v>376</v>
      </c>
      <c r="H30" s="5"/>
      <c r="I30" s="197">
        <f t="shared" si="17"/>
        <v>78737.573746562775</v>
      </c>
      <c r="J30" s="197">
        <f t="shared" si="18"/>
        <v>314950.71159910643</v>
      </c>
      <c r="K30" s="197">
        <f t="shared" si="19"/>
        <v>101502.40619422929</v>
      </c>
      <c r="L30" s="197">
        <f t="shared" si="20"/>
        <v>118487.35732094971</v>
      </c>
      <c r="M30" s="197">
        <f t="shared" si="21"/>
        <v>133365.9096452762</v>
      </c>
    </row>
    <row r="31" spans="2:15" ht="16" x14ac:dyDescent="0.4">
      <c r="B31" s="105" t="str">
        <f>[3]DCF!I34</f>
        <v>(-)Unfunded Pensions:</v>
      </c>
      <c r="C31" s="5"/>
      <c r="D31" s="5"/>
      <c r="E31" s="517">
        <v>0</v>
      </c>
      <c r="G31" s="435" t="s">
        <v>376</v>
      </c>
      <c r="H31" s="5"/>
      <c r="I31" s="197">
        <f t="shared" si="17"/>
        <v>77394.652829879909</v>
      </c>
      <c r="J31" s="197">
        <f t="shared" si="18"/>
        <v>309579.02082676976</v>
      </c>
      <c r="K31" s="197">
        <f t="shared" si="19"/>
        <v>108859.09381261616</v>
      </c>
      <c r="L31" s="197">
        <f t="shared" si="20"/>
        <v>114568.95962709023</v>
      </c>
      <c r="M31" s="197">
        <f t="shared" si="21"/>
        <v>138827.72791815695</v>
      </c>
    </row>
    <row r="32" spans="2:15" ht="16" x14ac:dyDescent="0.4">
      <c r="B32" s="518" t="str">
        <f>[3]DCF!I36</f>
        <v xml:space="preserve">Implied Equity Value: </v>
      </c>
      <c r="C32" s="519"/>
      <c r="D32" s="519"/>
      <c r="E32" s="520">
        <f>SUM(E24:E31)</f>
        <v>77927.263450849525</v>
      </c>
      <c r="G32" s="435" t="s">
        <v>377</v>
      </c>
      <c r="H32" s="5"/>
      <c r="I32" s="197">
        <f t="shared" si="17"/>
        <v>104667.51461559732</v>
      </c>
      <c r="J32" s="197">
        <f t="shared" si="18"/>
        <v>220820.54467924792</v>
      </c>
      <c r="K32" s="197">
        <f t="shared" si="19"/>
        <v>119138.89950320295</v>
      </c>
      <c r="L32" s="197">
        <f t="shared" si="20"/>
        <v>155756.91702855492</v>
      </c>
      <c r="M32" s="197">
        <f t="shared" si="21"/>
        <v>128531.56342629233</v>
      </c>
    </row>
    <row r="33" spans="2:13" ht="16" x14ac:dyDescent="0.4">
      <c r="B33" s="5"/>
      <c r="C33" s="5"/>
      <c r="D33" s="5"/>
      <c r="E33" s="5"/>
      <c r="G33" s="435" t="s">
        <v>377</v>
      </c>
      <c r="H33" s="5"/>
      <c r="I33" s="197">
        <f t="shared" si="17"/>
        <v>91584.309587863449</v>
      </c>
      <c r="J33" s="197">
        <f t="shared" si="18"/>
        <v>193396.84330213853</v>
      </c>
      <c r="K33" s="197">
        <f t="shared" si="19"/>
        <v>102212.59490541929</v>
      </c>
      <c r="L33" s="197">
        <f t="shared" si="20"/>
        <v>117782.42038049952</v>
      </c>
      <c r="M33" s="197">
        <f t="shared" si="21"/>
        <v>140916.62725523082</v>
      </c>
    </row>
    <row r="34" spans="2:13" ht="16" x14ac:dyDescent="0.4">
      <c r="B34" s="19" t="s">
        <v>26</v>
      </c>
      <c r="C34" s="19"/>
      <c r="D34" s="19"/>
      <c r="E34" s="528">
        <f>DilutedShares</f>
        <v>1295.23</v>
      </c>
      <c r="G34" s="435" t="s">
        <v>377</v>
      </c>
      <c r="H34" s="5"/>
      <c r="I34" s="197">
        <f t="shared" si="17"/>
        <v>101206.00748230825</v>
      </c>
      <c r="J34" s="197">
        <f t="shared" si="18"/>
        <v>213714.7996023632</v>
      </c>
      <c r="K34" s="197">
        <f t="shared" si="19"/>
        <v>87041.610054390039</v>
      </c>
      <c r="L34" s="197">
        <f t="shared" si="20"/>
        <v>118151.60972157525</v>
      </c>
      <c r="M34" s="197">
        <f t="shared" si="21"/>
        <v>151847.75387449624</v>
      </c>
    </row>
    <row r="35" spans="2:13" ht="16" x14ac:dyDescent="0.4">
      <c r="B35" s="19"/>
      <c r="C35" s="19"/>
      <c r="D35" s="19"/>
      <c r="E35" s="19"/>
    </row>
    <row r="36" spans="2:13" ht="16" x14ac:dyDescent="0.4">
      <c r="B36" s="521" t="s">
        <v>158</v>
      </c>
      <c r="C36" s="522"/>
      <c r="D36" s="522"/>
      <c r="E36" s="523">
        <f>E32/E34</f>
        <v>60.164807370775478</v>
      </c>
    </row>
    <row r="37" spans="2:13" ht="16" x14ac:dyDescent="0.4">
      <c r="B37" s="524" t="s">
        <v>159</v>
      </c>
      <c r="C37" s="525"/>
      <c r="D37" s="525"/>
      <c r="E37" s="526">
        <f>E36/Share_Price-1</f>
        <v>-0.23112067257794922</v>
      </c>
      <c r="G37" s="435"/>
      <c r="I37" s="197"/>
      <c r="J37" s="197"/>
      <c r="K37" s="197"/>
      <c r="L37" s="197"/>
      <c r="M37" s="197"/>
    </row>
    <row r="38" spans="2:13" ht="16" x14ac:dyDescent="0.4">
      <c r="G38" s="435"/>
      <c r="I38" s="197"/>
      <c r="J38" s="197"/>
      <c r="K38" s="197"/>
      <c r="L38" s="197"/>
      <c r="M38" s="19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27</vt:i4>
      </vt:variant>
    </vt:vector>
  </HeadingPairs>
  <TitlesOfParts>
    <vt:vector size="40" baseType="lpstr">
      <vt:lpstr>Cover</vt:lpstr>
      <vt:lpstr>Summary</vt:lpstr>
      <vt:lpstr>Graphs</vt:lpstr>
      <vt:lpstr>Model</vt:lpstr>
      <vt:lpstr>Q3</vt:lpstr>
      <vt:lpstr>Debt</vt:lpstr>
      <vt:lpstr>DCF</vt:lpstr>
      <vt:lpstr>WACC</vt:lpstr>
      <vt:lpstr>ValSum</vt:lpstr>
      <vt:lpstr>ValGraph</vt:lpstr>
      <vt:lpstr>PubComps</vt:lpstr>
      <vt:lpstr>PubCompsData</vt:lpstr>
      <vt:lpstr>MAComps</vt:lpstr>
      <vt:lpstr>Company_Name</vt:lpstr>
      <vt:lpstr>Cost_of_Debt</vt:lpstr>
      <vt:lpstr>Cost_of_Preferred</vt:lpstr>
      <vt:lpstr>DilutedShares</vt:lpstr>
      <vt:lpstr>Discount_Rate</vt:lpstr>
      <vt:lpstr>Equity_Risk_Premium</vt:lpstr>
      <vt:lpstr>Forward_Year_1</vt:lpstr>
      <vt:lpstr>Forward_Year_2</vt:lpstr>
      <vt:lpstr>Forward_Year_3</vt:lpstr>
      <vt:lpstr>Hist_Year</vt:lpstr>
      <vt:lpstr>LTM</vt:lpstr>
      <vt:lpstr>Model_Paramas</vt:lpstr>
      <vt:lpstr>Model_Range</vt:lpstr>
      <vt:lpstr>Model_Years</vt:lpstr>
      <vt:lpstr>Next_Year</vt:lpstr>
      <vt:lpstr>Pub_Comps_Params</vt:lpstr>
      <vt:lpstr>Pub_Comps_Range</vt:lpstr>
      <vt:lpstr>Pub_Comps_Tickers</vt:lpstr>
      <vt:lpstr>Risk_Free_Rate</vt:lpstr>
      <vt:lpstr>Scenario</vt:lpstr>
      <vt:lpstr>Share_Price</vt:lpstr>
      <vt:lpstr>Tax_Rate</vt:lpstr>
      <vt:lpstr>Terminal_Growth_Rate</vt:lpstr>
      <vt:lpstr>Terminal_Multiple</vt:lpstr>
      <vt:lpstr>Ticker</vt:lpstr>
      <vt:lpstr>Units</vt:lpstr>
      <vt:lpstr>Valuation_Date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glenn Rentrop</dc:creator>
  <cp:lastModifiedBy>glenn Rentrop</cp:lastModifiedBy>
  <cp:lastPrinted>2024-12-10T17:06:27Z</cp:lastPrinted>
  <dcterms:created xsi:type="dcterms:W3CDTF">2024-11-29T02:46:42Z</dcterms:created>
  <dcterms:modified xsi:type="dcterms:W3CDTF">2025-10-17T20:15:47Z</dcterms:modified>
</cp:coreProperties>
</file>