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C:\Users\grent\Downloads\"/>
    </mc:Choice>
  </mc:AlternateContent>
  <xr:revisionPtr revIDLastSave="0" documentId="8_{33695855-C648-455A-9A73-411040C190F9}" xr6:coauthVersionLast="47" xr6:coauthVersionMax="47" xr10:uidLastSave="{00000000-0000-0000-0000-000000000000}"/>
  <bookViews>
    <workbookView xWindow="-110" yWindow="-110" windowWidth="19420" windowHeight="11500" firstSheet="7" activeTab="9" xr2:uid="{3A44353B-8A2B-4D32-AAE8-D4D526796A06}"/>
  </bookViews>
  <sheets>
    <sheet name="Cover" sheetId="14" r:id="rId1"/>
    <sheet name="Summary" sheetId="13" r:id="rId2"/>
    <sheet name="Graphs" sheetId="12" state="hidden" r:id="rId3"/>
    <sheet name="Model" sheetId="1" r:id="rId4"/>
    <sheet name="Drivers" sheetId="16" r:id="rId5"/>
    <sheet name="Q1" sheetId="11" r:id="rId6"/>
    <sheet name="NPV" sheetId="3" r:id="rId7"/>
    <sheet name="WACC" sheetId="9" r:id="rId8"/>
    <sheet name="ValSum" sheetId="8" r:id="rId9"/>
    <sheet name="ValGraph" sheetId="10" r:id="rId10"/>
    <sheet name="PubComps" sheetId="7" r:id="rId11"/>
    <sheet name="PubComps_Data" sheetId="17" r:id="rId12"/>
    <sheet name="MAComps" sheetId="6" r:id="rId13"/>
    <sheet name="PPT" sheetId="18" r:id="rId14"/>
  </sheets>
  <externalReferences>
    <externalReference r:id="rId15"/>
  </externalReferences>
  <definedNames>
    <definedName name="ASP">NPV!$H$6</definedName>
    <definedName name="Classpen">NPV!$H$7</definedName>
    <definedName name="Company_Name">Model!$G$5</definedName>
    <definedName name="Cost_of_Debt">WACC!$F$8</definedName>
    <definedName name="Cost_of_Preferred">WACC!$F$9</definedName>
    <definedName name="Diluted">Model!$G$8</definedName>
    <definedName name="Discount_Rate">NPV!$G$19</definedName>
    <definedName name="Equity_Risk_Premium">WACC!$F$7</definedName>
    <definedName name="Forward_Year_1">Model!$N$12</definedName>
    <definedName name="Forward_Year_2">Model!$N$13</definedName>
    <definedName name="Forward_Year_3">Model!$N$14</definedName>
    <definedName name="Hist_Year">Model!$N$5</definedName>
    <definedName name="IH">NPV!$D$7</definedName>
    <definedName name="Legal">NPV!$D$9</definedName>
    <definedName name="LTM">Model!$N$11</definedName>
    <definedName name="Model_Params">Model!$C$57:$C$181</definedName>
    <definedName name="Model_Range">Model!$C$57:$V$181</definedName>
    <definedName name="Model_Years">Model!$C$57:$V$57</definedName>
    <definedName name="Premium_Case">NPV!$G$7</definedName>
    <definedName name="Premium_Uplift">NPV!$D$22</definedName>
    <definedName name="Pub_Comps_Params">PubComps_Data!$C$3:$C$96</definedName>
    <definedName name="Pub_Comps_Range">PubComps_Data!$C$3:$AL$96</definedName>
    <definedName name="Pub_Comps_Tickers">PubComps_Data!$C$3:$AL$3</definedName>
    <definedName name="Risk_Free_Rate">WACC!$F$6</definedName>
    <definedName name="RoyaltyJ">NPV!$H$8</definedName>
    <definedName name="Royaltyxw">NPV!$H$9</definedName>
    <definedName name="Scenario">NPV!$D$6</definedName>
    <definedName name="Share_Price">Model!$G$7</definedName>
    <definedName name="Tax_Rate">Model!$G$10</definedName>
    <definedName name="Terminal_Growth_Rate">NPV!$Q$17</definedName>
    <definedName name="Ticker">Model!$G$6</definedName>
    <definedName name="Units">Model!$G$13</definedName>
    <definedName name="Vali">NPV!$D$8</definedName>
    <definedName name="Valuation_Date">Model!$N$8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0" i="1" l="1"/>
  <c r="O60" i="1"/>
  <c r="P60" i="1"/>
  <c r="Q60" i="1"/>
  <c r="R60" i="1"/>
  <c r="S60" i="1"/>
  <c r="T60" i="1"/>
  <c r="U60" i="1"/>
  <c r="V60" i="1"/>
  <c r="M60" i="1"/>
  <c r="AB2" i="18"/>
  <c r="H21" i="6"/>
  <c r="I21" i="6"/>
  <c r="J37" i="18"/>
  <c r="I37" i="18"/>
  <c r="H37" i="18"/>
  <c r="G37" i="18"/>
  <c r="F37" i="18"/>
  <c r="E37" i="18"/>
  <c r="E22" i="18"/>
  <c r="F22" i="18"/>
  <c r="G22" i="18"/>
  <c r="H22" i="18"/>
  <c r="I22" i="18"/>
  <c r="J22" i="18"/>
  <c r="D22" i="18"/>
  <c r="M28" i="8" l="1"/>
  <c r="L28" i="8"/>
  <c r="I28" i="8"/>
  <c r="J28" i="8"/>
  <c r="K28" i="8"/>
  <c r="H3" i="18"/>
  <c r="I3" i="18" s="1"/>
  <c r="J3" i="18" s="1"/>
  <c r="K3" i="18" s="1"/>
  <c r="L3" i="18" s="1"/>
  <c r="M3" i="18" s="1"/>
  <c r="N3" i="18" s="1"/>
  <c r="O3" i="18" s="1"/>
  <c r="G170" i="3"/>
  <c r="H170" i="3" s="1"/>
  <c r="I170" i="3" s="1"/>
  <c r="J170" i="3" s="1"/>
  <c r="K170" i="3" s="1"/>
  <c r="L170" i="3" s="1"/>
  <c r="M170" i="3" s="1"/>
  <c r="N170" i="3" s="1"/>
  <c r="O170" i="3" s="1"/>
  <c r="P170" i="3" s="1"/>
  <c r="E173" i="3"/>
  <c r="E174" i="3"/>
  <c r="E175" i="3"/>
  <c r="E176" i="3"/>
  <c r="E177" i="3"/>
  <c r="E178" i="3"/>
  <c r="E179" i="3"/>
  <c r="E180" i="3"/>
  <c r="E181" i="3"/>
  <c r="E172" i="3"/>
  <c r="H63" i="3"/>
  <c r="I63" i="3"/>
  <c r="J63" i="3"/>
  <c r="K63" i="3"/>
  <c r="L63" i="3"/>
  <c r="M63" i="3"/>
  <c r="P18" i="16"/>
  <c r="Q18" i="16"/>
  <c r="R18" i="16"/>
  <c r="S18" i="16"/>
  <c r="T18" i="16"/>
  <c r="U18" i="16"/>
  <c r="V18" i="16"/>
  <c r="W18" i="16"/>
  <c r="X18" i="16"/>
  <c r="Y18" i="16"/>
  <c r="Z18" i="16"/>
  <c r="O18" i="16"/>
  <c r="V8" i="3"/>
  <c r="H155" i="3"/>
  <c r="I155" i="3" s="1"/>
  <c r="J155" i="3" s="1"/>
  <c r="K155" i="3" s="1"/>
  <c r="L155" i="3" s="1"/>
  <c r="M155" i="3" s="1"/>
  <c r="N155" i="3" s="1"/>
  <c r="O155" i="3" s="1"/>
  <c r="P155" i="3" s="1"/>
  <c r="G155" i="3"/>
  <c r="N80" i="1"/>
  <c r="O80" i="1"/>
  <c r="P80" i="1"/>
  <c r="Q80" i="1"/>
  <c r="R80" i="1"/>
  <c r="S80" i="1"/>
  <c r="T80" i="1"/>
  <c r="U80" i="1"/>
  <c r="V80" i="1"/>
  <c r="M77" i="1"/>
  <c r="M80" i="1" s="1"/>
  <c r="G32" i="1"/>
  <c r="H28" i="1" s="1"/>
  <c r="H32" i="1" s="1"/>
  <c r="I28" i="1" s="1"/>
  <c r="I32" i="1" s="1"/>
  <c r="J28" i="1" s="1"/>
  <c r="J32" i="1" s="1"/>
  <c r="K28" i="1" s="1"/>
  <c r="K32" i="1" s="1"/>
  <c r="L28" i="1" s="1"/>
  <c r="L32" i="1" s="1"/>
  <c r="M28" i="1" s="1"/>
  <c r="N23" i="1" l="1"/>
  <c r="O23" i="1" s="1"/>
  <c r="P23" i="1" s="1"/>
  <c r="Q23" i="1" s="1"/>
  <c r="R23" i="1" s="1"/>
  <c r="S23" i="1" s="1"/>
  <c r="T23" i="1" s="1"/>
  <c r="U23" i="1" s="1"/>
  <c r="V23" i="1" s="1"/>
  <c r="N24" i="1"/>
  <c r="O24" i="1" s="1"/>
  <c r="P24" i="1" s="1"/>
  <c r="Q24" i="1" s="1"/>
  <c r="R24" i="1" s="1"/>
  <c r="S24" i="1" s="1"/>
  <c r="T24" i="1" s="1"/>
  <c r="U24" i="1" s="1"/>
  <c r="V24" i="1" s="1"/>
  <c r="O13" i="16"/>
  <c r="P13" i="16" s="1"/>
  <c r="Q13" i="16" s="1"/>
  <c r="R13" i="16" s="1"/>
  <c r="S13" i="16" s="1"/>
  <c r="T13" i="16" s="1"/>
  <c r="U13" i="16" s="1"/>
  <c r="V13" i="16" s="1"/>
  <c r="W13" i="16" s="1"/>
  <c r="X13" i="16" s="1"/>
  <c r="Y13" i="16" s="1"/>
  <c r="Z13" i="16" s="1"/>
  <c r="B3" i="11" l="1"/>
  <c r="I9" i="11"/>
  <c r="H35" i="10" l="1"/>
  <c r="G35" i="10"/>
  <c r="F35" i="10"/>
  <c r="D35" i="10"/>
  <c r="J35" i="10" s="1"/>
  <c r="E35" i="10"/>
  <c r="B36" i="13"/>
  <c r="B33" i="13"/>
  <c r="U5" i="7"/>
  <c r="H53" i="10"/>
  <c r="G53" i="10"/>
  <c r="F53" i="10"/>
  <c r="E53" i="10"/>
  <c r="D53" i="10"/>
  <c r="H24" i="8"/>
  <c r="D38" i="10" s="1"/>
  <c r="J38" i="10" s="1"/>
  <c r="H25" i="8"/>
  <c r="D37" i="10" s="1"/>
  <c r="J37" i="10" s="1"/>
  <c r="H23" i="8"/>
  <c r="H15" i="6"/>
  <c r="H14" i="6"/>
  <c r="N12" i="6"/>
  <c r="O12" i="6"/>
  <c r="P12" i="6"/>
  <c r="R13" i="3"/>
  <c r="E157" i="3"/>
  <c r="E158" i="3" s="1"/>
  <c r="E159" i="3" s="1"/>
  <c r="E160" i="3" s="1"/>
  <c r="E161" i="3" s="1"/>
  <c r="E162" i="3" s="1"/>
  <c r="E163" i="3" s="1"/>
  <c r="E164" i="3" s="1"/>
  <c r="E165" i="3" s="1"/>
  <c r="E166" i="3" s="1"/>
  <c r="G23" i="6"/>
  <c r="F23" i="6"/>
  <c r="E23" i="6"/>
  <c r="G22" i="6"/>
  <c r="F22" i="6"/>
  <c r="E22" i="6"/>
  <c r="G21" i="6"/>
  <c r="F21" i="6"/>
  <c r="E21" i="6"/>
  <c r="G20" i="6"/>
  <c r="F20" i="6"/>
  <c r="E20" i="6"/>
  <c r="G19" i="6"/>
  <c r="F19" i="6"/>
  <c r="E19" i="6"/>
  <c r="P16" i="6"/>
  <c r="O16" i="6"/>
  <c r="N16" i="6"/>
  <c r="I16" i="6"/>
  <c r="H16" i="6"/>
  <c r="P15" i="6"/>
  <c r="O15" i="6"/>
  <c r="N15" i="6"/>
  <c r="I15" i="6"/>
  <c r="P14" i="6"/>
  <c r="O14" i="6"/>
  <c r="N14" i="6"/>
  <c r="I14" i="6"/>
  <c r="P13" i="6"/>
  <c r="O13" i="6"/>
  <c r="N13" i="6"/>
  <c r="I13" i="6"/>
  <c r="H13" i="6"/>
  <c r="I12" i="6"/>
  <c r="H12" i="6"/>
  <c r="P11" i="6"/>
  <c r="O11" i="6"/>
  <c r="N11" i="6"/>
  <c r="I11" i="6"/>
  <c r="H11" i="6"/>
  <c r="B6" i="6"/>
  <c r="E40" i="8"/>
  <c r="I5" i="8"/>
  <c r="C5" i="8"/>
  <c r="B5" i="8"/>
  <c r="B2" i="8"/>
  <c r="C40" i="7"/>
  <c r="D21" i="7"/>
  <c r="C21" i="7"/>
  <c r="Q7" i="7"/>
  <c r="Q5" i="7"/>
  <c r="H25" i="17"/>
  <c r="H26" i="17"/>
  <c r="H27" i="17"/>
  <c r="H28" i="17"/>
  <c r="H29" i="17"/>
  <c r="H30" i="17"/>
  <c r="H35" i="17"/>
  <c r="H36" i="17"/>
  <c r="H15" i="17"/>
  <c r="Z45" i="16"/>
  <c r="Z61" i="16" s="1"/>
  <c r="Y45" i="16"/>
  <c r="Y61" i="16" s="1"/>
  <c r="X45" i="16"/>
  <c r="X61" i="16" s="1"/>
  <c r="W45" i="16"/>
  <c r="W61" i="16" s="1"/>
  <c r="V45" i="16"/>
  <c r="V61" i="16" s="1"/>
  <c r="U45" i="16"/>
  <c r="U61" i="16" s="1"/>
  <c r="T45" i="16"/>
  <c r="T61" i="16" s="1"/>
  <c r="S45" i="16"/>
  <c r="S61" i="16" s="1"/>
  <c r="R45" i="16"/>
  <c r="R61" i="16" s="1"/>
  <c r="Q45" i="16"/>
  <c r="Q61" i="16" s="1"/>
  <c r="P45" i="16"/>
  <c r="P61" i="16" s="1"/>
  <c r="O45" i="16"/>
  <c r="O61" i="16" s="1"/>
  <c r="N45" i="16"/>
  <c r="N61" i="16" s="1"/>
  <c r="Z40" i="16"/>
  <c r="Y40" i="16"/>
  <c r="X40" i="16"/>
  <c r="W40" i="16"/>
  <c r="V40" i="16"/>
  <c r="U40" i="16"/>
  <c r="T40" i="16"/>
  <c r="S40" i="16"/>
  <c r="R40" i="16"/>
  <c r="Q40" i="16"/>
  <c r="P40" i="16"/>
  <c r="O40" i="16"/>
  <c r="N40" i="16"/>
  <c r="Z28" i="16"/>
  <c r="Z57" i="16" s="1"/>
  <c r="Y28" i="16"/>
  <c r="Y57" i="16" s="1"/>
  <c r="X28" i="16"/>
  <c r="X57" i="16" s="1"/>
  <c r="W28" i="16"/>
  <c r="W57" i="16" s="1"/>
  <c r="V28" i="16"/>
  <c r="V57" i="16" s="1"/>
  <c r="U28" i="16"/>
  <c r="U57" i="16" s="1"/>
  <c r="T28" i="16"/>
  <c r="T57" i="16" s="1"/>
  <c r="S28" i="16"/>
  <c r="S57" i="16" s="1"/>
  <c r="R28" i="16"/>
  <c r="R57" i="16" s="1"/>
  <c r="Q28" i="16"/>
  <c r="Q57" i="16" s="1"/>
  <c r="P28" i="16"/>
  <c r="P57" i="16" s="1"/>
  <c r="O28" i="16"/>
  <c r="O57" i="16" s="1"/>
  <c r="N28" i="16"/>
  <c r="N57" i="16" s="1"/>
  <c r="W17" i="16"/>
  <c r="X17" i="16" s="1"/>
  <c r="Y17" i="16" s="1"/>
  <c r="Z17" i="16" s="1"/>
  <c r="P17" i="16"/>
  <c r="Q17" i="16"/>
  <c r="R17" i="16"/>
  <c r="S17" i="16"/>
  <c r="T17" i="16"/>
  <c r="U17" i="16"/>
  <c r="V17" i="16"/>
  <c r="O17" i="16"/>
  <c r="AL13" i="17"/>
  <c r="AL17" i="17" s="1"/>
  <c r="AL73" i="17" s="1"/>
  <c r="AL9" i="17"/>
  <c r="AG9" i="17"/>
  <c r="AB9" i="17"/>
  <c r="W9" i="17"/>
  <c r="R9" i="17"/>
  <c r="M9" i="17"/>
  <c r="R13" i="17"/>
  <c r="R17" i="17" s="1"/>
  <c r="R73" i="17" s="1"/>
  <c r="AB13" i="17"/>
  <c r="AG13" i="17"/>
  <c r="O6" i="17"/>
  <c r="J6" i="17"/>
  <c r="K6" i="17" s="1"/>
  <c r="P6" i="17" s="1"/>
  <c r="AL94" i="17"/>
  <c r="AG94" i="17"/>
  <c r="AB94" i="17"/>
  <c r="W94" i="17"/>
  <c r="R94" i="17"/>
  <c r="M94" i="17"/>
  <c r="H94" i="17"/>
  <c r="AL90" i="17"/>
  <c r="AG90" i="17"/>
  <c r="AB90" i="17"/>
  <c r="W90" i="17"/>
  <c r="R90" i="17"/>
  <c r="M90" i="17"/>
  <c r="H90" i="17"/>
  <c r="AL80" i="17"/>
  <c r="AG80" i="17"/>
  <c r="AB80" i="17"/>
  <c r="W80" i="17"/>
  <c r="R80" i="17"/>
  <c r="M80" i="17"/>
  <c r="AL79" i="17"/>
  <c r="AG79" i="17"/>
  <c r="AB79" i="17"/>
  <c r="W79" i="17"/>
  <c r="R79" i="17"/>
  <c r="M79" i="17"/>
  <c r="AL77" i="17"/>
  <c r="AG77" i="17"/>
  <c r="AB77" i="17"/>
  <c r="W77" i="17"/>
  <c r="R77" i="17"/>
  <c r="M77" i="17"/>
  <c r="AL76" i="17"/>
  <c r="AG76" i="17"/>
  <c r="AB76" i="17"/>
  <c r="W76" i="17"/>
  <c r="R76" i="17"/>
  <c r="M76" i="17"/>
  <c r="AL74" i="17"/>
  <c r="AL83" i="17" s="1"/>
  <c r="AG74" i="17"/>
  <c r="AG83" i="17" s="1"/>
  <c r="AB74" i="17"/>
  <c r="AB83" i="17" s="1"/>
  <c r="W74" i="17"/>
  <c r="W83" i="17" s="1"/>
  <c r="R74" i="17"/>
  <c r="R83" i="17" s="1"/>
  <c r="M74" i="17"/>
  <c r="M83" i="17" s="1"/>
  <c r="C73" i="17"/>
  <c r="AL72" i="17"/>
  <c r="AG72" i="17"/>
  <c r="AB72" i="17"/>
  <c r="W72" i="17"/>
  <c r="R72" i="17"/>
  <c r="R82" i="17" s="1"/>
  <c r="M72" i="17"/>
  <c r="E65" i="17"/>
  <c r="H62" i="17"/>
  <c r="AL54" i="17"/>
  <c r="AG54" i="17"/>
  <c r="AB54" i="17"/>
  <c r="W54" i="17"/>
  <c r="R54" i="17"/>
  <c r="M54" i="17"/>
  <c r="H54" i="17"/>
  <c r="AL51" i="17"/>
  <c r="AG51" i="17"/>
  <c r="AB51" i="17"/>
  <c r="W51" i="17"/>
  <c r="R51" i="17"/>
  <c r="M51" i="17"/>
  <c r="H51" i="17"/>
  <c r="AL50" i="17"/>
  <c r="AG50" i="17"/>
  <c r="AB50" i="17"/>
  <c r="W50" i="17"/>
  <c r="R50" i="17"/>
  <c r="M50" i="17"/>
  <c r="H50" i="17"/>
  <c r="AL47" i="17"/>
  <c r="AG47" i="17"/>
  <c r="AB47" i="17"/>
  <c r="W47" i="17"/>
  <c r="R47" i="17"/>
  <c r="M47" i="17"/>
  <c r="H47" i="17"/>
  <c r="AL46" i="17"/>
  <c r="AG46" i="17"/>
  <c r="AB46" i="17"/>
  <c r="W46" i="17"/>
  <c r="R46" i="17"/>
  <c r="M46" i="17"/>
  <c r="H46" i="17"/>
  <c r="AL45" i="17"/>
  <c r="AG45" i="17"/>
  <c r="AB45" i="17"/>
  <c r="W45" i="17"/>
  <c r="R45" i="17"/>
  <c r="M45" i="17"/>
  <c r="H45" i="17"/>
  <c r="AL44" i="17"/>
  <c r="AG44" i="17"/>
  <c r="AB44" i="17"/>
  <c r="W44" i="17"/>
  <c r="R44" i="17"/>
  <c r="M44" i="17"/>
  <c r="H44" i="17"/>
  <c r="AL43" i="17"/>
  <c r="AG43" i="17"/>
  <c r="AB43" i="17"/>
  <c r="W43" i="17"/>
  <c r="R43" i="17"/>
  <c r="M43" i="17"/>
  <c r="H43" i="17"/>
  <c r="AL42" i="17"/>
  <c r="AG42" i="17"/>
  <c r="AB42" i="17"/>
  <c r="W42" i="17"/>
  <c r="R42" i="17"/>
  <c r="M42" i="17"/>
  <c r="H42" i="17"/>
  <c r="AL41" i="17"/>
  <c r="AG41" i="17"/>
  <c r="AB41" i="17"/>
  <c r="W41" i="17"/>
  <c r="R41" i="17"/>
  <c r="M41" i="17"/>
  <c r="H41" i="17"/>
  <c r="AL40" i="17"/>
  <c r="AG40" i="17"/>
  <c r="AB40" i="17"/>
  <c r="W40" i="17"/>
  <c r="R40" i="17"/>
  <c r="M40" i="17"/>
  <c r="H40" i="17"/>
  <c r="AL39" i="17"/>
  <c r="AG39" i="17"/>
  <c r="AB39" i="17"/>
  <c r="W39" i="17"/>
  <c r="R39" i="17"/>
  <c r="M39" i="17"/>
  <c r="H39" i="17"/>
  <c r="M21" i="17"/>
  <c r="H21" i="17"/>
  <c r="AG17" i="17"/>
  <c r="AG73" i="17" s="1"/>
  <c r="AB17" i="17"/>
  <c r="AB73" i="17" s="1"/>
  <c r="W13" i="17"/>
  <c r="W17" i="17" s="1"/>
  <c r="W73" i="17" s="1"/>
  <c r="M13" i="17"/>
  <c r="M17" i="17" s="1"/>
  <c r="M73" i="17" s="1"/>
  <c r="T6" i="17"/>
  <c r="Y6" i="17" s="1"/>
  <c r="Y65" i="17" s="1"/>
  <c r="F6" i="17"/>
  <c r="F65" i="17" s="1"/>
  <c r="H4" i="17"/>
  <c r="H3" i="17"/>
  <c r="E20" i="9" s="1"/>
  <c r="H65" i="3"/>
  <c r="V17" i="3"/>
  <c r="O144" i="3"/>
  <c r="P144" i="3"/>
  <c r="Q144" i="3"/>
  <c r="R144" i="3"/>
  <c r="S144" i="3"/>
  <c r="T144" i="3"/>
  <c r="U144" i="3"/>
  <c r="V144" i="3"/>
  <c r="W144" i="3"/>
  <c r="X144" i="3"/>
  <c r="Y144" i="3"/>
  <c r="Z144" i="3"/>
  <c r="O122" i="3"/>
  <c r="P122" i="3"/>
  <c r="Q122" i="3"/>
  <c r="R122" i="3"/>
  <c r="S122" i="3"/>
  <c r="T122" i="3"/>
  <c r="U122" i="3"/>
  <c r="V122" i="3"/>
  <c r="W122" i="3"/>
  <c r="X122" i="3"/>
  <c r="Y122" i="3"/>
  <c r="Z122" i="3"/>
  <c r="O100" i="3"/>
  <c r="P100" i="3"/>
  <c r="Q100" i="3"/>
  <c r="R100" i="3"/>
  <c r="S100" i="3"/>
  <c r="T100" i="3"/>
  <c r="U100" i="3"/>
  <c r="V100" i="3"/>
  <c r="W100" i="3"/>
  <c r="X100" i="3"/>
  <c r="Y100" i="3"/>
  <c r="Z100" i="3"/>
  <c r="N144" i="3"/>
  <c r="N122" i="3"/>
  <c r="N100" i="3"/>
  <c r="O81" i="3"/>
  <c r="P81" i="3"/>
  <c r="Q81" i="3"/>
  <c r="R81" i="3"/>
  <c r="S81" i="3"/>
  <c r="T81" i="3"/>
  <c r="U81" i="3"/>
  <c r="V81" i="3"/>
  <c r="W81" i="3"/>
  <c r="X81" i="3"/>
  <c r="Y81" i="3"/>
  <c r="Z81" i="3"/>
  <c r="I57" i="3"/>
  <c r="J57" i="3"/>
  <c r="K57" i="3"/>
  <c r="L57" i="3"/>
  <c r="M57" i="3"/>
  <c r="N57" i="3"/>
  <c r="O57" i="3"/>
  <c r="P57" i="3"/>
  <c r="Q57" i="3"/>
  <c r="R57" i="3"/>
  <c r="S57" i="3"/>
  <c r="T57" i="3"/>
  <c r="U57" i="3"/>
  <c r="V57" i="3"/>
  <c r="W57" i="3"/>
  <c r="X57" i="3"/>
  <c r="Y57" i="3"/>
  <c r="Z57" i="3"/>
  <c r="J87" i="16"/>
  <c r="J55" i="3" s="1"/>
  <c r="K87" i="16"/>
  <c r="K55" i="3" s="1"/>
  <c r="L87" i="16"/>
  <c r="L55" i="3" s="1"/>
  <c r="M87" i="16"/>
  <c r="M55" i="3" s="1"/>
  <c r="Y87" i="16"/>
  <c r="Z87" i="16"/>
  <c r="I87" i="16"/>
  <c r="I55" i="3" s="1"/>
  <c r="N81" i="3"/>
  <c r="M48" i="3"/>
  <c r="L48" i="3"/>
  <c r="K48" i="3"/>
  <c r="J48" i="3"/>
  <c r="I48" i="3"/>
  <c r="H48" i="3"/>
  <c r="B26" i="14"/>
  <c r="J11" i="7" l="1"/>
  <c r="K11" i="7"/>
  <c r="E9" i="7"/>
  <c r="G9" i="7"/>
  <c r="B20" i="9"/>
  <c r="M9" i="7"/>
  <c r="D20" i="9"/>
  <c r="B14" i="7"/>
  <c r="D14" i="7"/>
  <c r="L11" i="7"/>
  <c r="I13" i="7"/>
  <c r="D27" i="7"/>
  <c r="F27" i="7"/>
  <c r="M27" i="7"/>
  <c r="B10" i="7"/>
  <c r="B12" i="7"/>
  <c r="D12" i="7"/>
  <c r="F12" i="7"/>
  <c r="G10" i="7"/>
  <c r="L12" i="7"/>
  <c r="B31" i="7"/>
  <c r="M12" i="7"/>
  <c r="J14" i="7"/>
  <c r="I10" i="7"/>
  <c r="F31" i="7"/>
  <c r="Q14" i="7"/>
  <c r="D13" i="7"/>
  <c r="M31" i="7"/>
  <c r="G11" i="7"/>
  <c r="E13" i="7"/>
  <c r="B21" i="7"/>
  <c r="D32" i="7"/>
  <c r="D28" i="7"/>
  <c r="D10" i="7"/>
  <c r="F28" i="7"/>
  <c r="E10" i="7"/>
  <c r="G14" i="7"/>
  <c r="M28" i="7"/>
  <c r="F10" i="7"/>
  <c r="D29" i="7"/>
  <c r="I14" i="7"/>
  <c r="B13" i="7"/>
  <c r="K10" i="7"/>
  <c r="H9" i="7"/>
  <c r="B9" i="7"/>
  <c r="H11" i="7"/>
  <c r="F13" i="7"/>
  <c r="F32" i="7"/>
  <c r="E14" i="7"/>
  <c r="F14" i="7"/>
  <c r="K12" i="7"/>
  <c r="H14" i="7"/>
  <c r="H10" i="7"/>
  <c r="D31" i="7"/>
  <c r="L14" i="7"/>
  <c r="M14" i="7"/>
  <c r="D9" i="7"/>
  <c r="I11" i="7"/>
  <c r="G13" i="7"/>
  <c r="B27" i="7"/>
  <c r="M32" i="7"/>
  <c r="B28" i="7"/>
  <c r="B32" i="7"/>
  <c r="F9" i="7"/>
  <c r="J10" i="7"/>
  <c r="E12" i="7"/>
  <c r="H13" i="7"/>
  <c r="K14" i="7"/>
  <c r="B29" i="7"/>
  <c r="L10" i="7"/>
  <c r="J13" i="7"/>
  <c r="J9" i="7"/>
  <c r="M10" i="7"/>
  <c r="H12" i="7"/>
  <c r="K13" i="7"/>
  <c r="D30" i="7"/>
  <c r="I20" i="9"/>
  <c r="K20" i="9"/>
  <c r="K9" i="7"/>
  <c r="B11" i="7"/>
  <c r="I12" i="7"/>
  <c r="L13" i="7"/>
  <c r="F30" i="7"/>
  <c r="G20" i="9"/>
  <c r="I9" i="7"/>
  <c r="G12" i="7"/>
  <c r="B30" i="7"/>
  <c r="L9" i="7"/>
  <c r="D11" i="7"/>
  <c r="J12" i="7"/>
  <c r="M13" i="7"/>
  <c r="M30" i="7"/>
  <c r="L21" i="7"/>
  <c r="Q9" i="7"/>
  <c r="L35" i="10"/>
  <c r="M35" i="10"/>
  <c r="N35" i="10"/>
  <c r="Q12" i="7"/>
  <c r="K35" i="10"/>
  <c r="N20" i="6"/>
  <c r="O20" i="6"/>
  <c r="N22" i="6"/>
  <c r="O22" i="6"/>
  <c r="N21" i="6"/>
  <c r="O23" i="6"/>
  <c r="P23" i="6"/>
  <c r="H20" i="6"/>
  <c r="I23" i="6"/>
  <c r="I20" i="6"/>
  <c r="H22" i="6"/>
  <c r="I22" i="6"/>
  <c r="H19" i="6"/>
  <c r="I19" i="6"/>
  <c r="P19" i="6"/>
  <c r="N19" i="6"/>
  <c r="O19" i="6"/>
  <c r="P22" i="6"/>
  <c r="P21" i="6"/>
  <c r="N23" i="6"/>
  <c r="P20" i="6"/>
  <c r="H23" i="6"/>
  <c r="O21" i="6"/>
  <c r="Q13" i="7"/>
  <c r="G21" i="7"/>
  <c r="H21" i="7"/>
  <c r="B40" i="7"/>
  <c r="Q10" i="7"/>
  <c r="J21" i="7"/>
  <c r="Q11" i="7"/>
  <c r="K21" i="7"/>
  <c r="W82" i="17"/>
  <c r="AL82" i="17"/>
  <c r="R56" i="17"/>
  <c r="R60" i="17" s="1"/>
  <c r="R61" i="17" s="1"/>
  <c r="Q68" i="17" s="1"/>
  <c r="R96" i="17" s="1"/>
  <c r="J65" i="17"/>
  <c r="AB82" i="17"/>
  <c r="M56" i="17"/>
  <c r="M60" i="17" s="1"/>
  <c r="M61" i="17" s="1"/>
  <c r="L68" i="17" s="1"/>
  <c r="M96" i="17" s="1"/>
  <c r="H56" i="17"/>
  <c r="H60" i="17" s="1"/>
  <c r="F40" i="7" s="1"/>
  <c r="W56" i="17"/>
  <c r="AG82" i="17"/>
  <c r="K65" i="17"/>
  <c r="O65" i="17"/>
  <c r="T65" i="17"/>
  <c r="K68" i="17"/>
  <c r="M92" i="17" s="1"/>
  <c r="U6" i="17"/>
  <c r="P65" i="17"/>
  <c r="G6" i="17"/>
  <c r="G65" i="17" s="1"/>
  <c r="L6" i="17"/>
  <c r="AD6" i="17"/>
  <c r="AB56" i="17"/>
  <c r="AB60" i="17" s="1"/>
  <c r="AB61" i="17" s="1"/>
  <c r="AG56" i="17"/>
  <c r="AG60" i="17" s="1"/>
  <c r="AG61" i="17" s="1"/>
  <c r="AL56" i="17"/>
  <c r="AL60" i="17" s="1"/>
  <c r="AL61" i="17" s="1"/>
  <c r="M82" i="17"/>
  <c r="M71" i="16"/>
  <c r="L71" i="16"/>
  <c r="K71" i="16"/>
  <c r="J71" i="16"/>
  <c r="I71" i="16"/>
  <c r="H71" i="16"/>
  <c r="Z50" i="16"/>
  <c r="Y50" i="16"/>
  <c r="X50" i="16"/>
  <c r="W50" i="16"/>
  <c r="V50" i="16"/>
  <c r="U50" i="16"/>
  <c r="T50" i="16"/>
  <c r="S50" i="16"/>
  <c r="R50" i="16"/>
  <c r="Q50" i="16"/>
  <c r="P50" i="16"/>
  <c r="O50" i="16"/>
  <c r="N69" i="16"/>
  <c r="N60" i="16"/>
  <c r="N68" i="16" s="1"/>
  <c r="Z33" i="16"/>
  <c r="Y33" i="16"/>
  <c r="X33" i="16"/>
  <c r="W33" i="16"/>
  <c r="V33" i="16"/>
  <c r="U33" i="16"/>
  <c r="T33" i="16"/>
  <c r="S33" i="16"/>
  <c r="R33" i="16"/>
  <c r="Q33" i="16"/>
  <c r="P33" i="16"/>
  <c r="O33" i="16"/>
  <c r="Z23" i="16"/>
  <c r="Y23" i="16"/>
  <c r="X23" i="16"/>
  <c r="W23" i="16"/>
  <c r="V23" i="16"/>
  <c r="U23" i="16"/>
  <c r="T23" i="16"/>
  <c r="S23" i="16"/>
  <c r="R23" i="16"/>
  <c r="Q23" i="16"/>
  <c r="P23" i="16"/>
  <c r="O23" i="16"/>
  <c r="N23" i="16"/>
  <c r="N56" i="16" s="1"/>
  <c r="O9" i="16"/>
  <c r="P9" i="16" s="1"/>
  <c r="Q9" i="16" s="1"/>
  <c r="R9" i="16" s="1"/>
  <c r="S9" i="16" s="1"/>
  <c r="T9" i="16" s="1"/>
  <c r="U9" i="16" s="1"/>
  <c r="V9" i="16" s="1"/>
  <c r="W9" i="16" s="1"/>
  <c r="X9" i="16" s="1"/>
  <c r="Y9" i="16" s="1"/>
  <c r="Z9" i="16" s="1"/>
  <c r="O6" i="16"/>
  <c r="P6" i="16" s="1"/>
  <c r="Q6" i="16" s="1"/>
  <c r="R6" i="16" s="1"/>
  <c r="S6" i="16" s="1"/>
  <c r="T6" i="16" s="1"/>
  <c r="U6" i="16" s="1"/>
  <c r="V6" i="16" s="1"/>
  <c r="W6" i="16" s="1"/>
  <c r="X6" i="16" s="1"/>
  <c r="Y6" i="16" s="1"/>
  <c r="Z6" i="16" s="1"/>
  <c r="R3" i="16"/>
  <c r="Q3" i="16"/>
  <c r="P3" i="16"/>
  <c r="O3" i="16"/>
  <c r="N3" i="16"/>
  <c r="M3" i="16"/>
  <c r="L3" i="16"/>
  <c r="K3" i="16"/>
  <c r="J3" i="16"/>
  <c r="I3" i="16"/>
  <c r="H3" i="16"/>
  <c r="B3" i="16"/>
  <c r="M27" i="3"/>
  <c r="E32" i="8" s="1"/>
  <c r="M28" i="3"/>
  <c r="E33" i="8" s="1"/>
  <c r="M29" i="3"/>
  <c r="E34" i="8" s="1"/>
  <c r="M31" i="3"/>
  <c r="E36" i="8" s="1"/>
  <c r="M32" i="3"/>
  <c r="E37" i="8" s="1"/>
  <c r="M36" i="3"/>
  <c r="M11" i="3"/>
  <c r="C23" i="8" l="1" a="1"/>
  <c r="C21" i="8" a="1"/>
  <c r="C21" i="8" s="1"/>
  <c r="J20" i="9"/>
  <c r="L20" i="9"/>
  <c r="D17" i="7"/>
  <c r="F20" i="9"/>
  <c r="D19" i="7"/>
  <c r="D18" i="7"/>
  <c r="D15" i="7"/>
  <c r="F21" i="7"/>
  <c r="H20" i="9"/>
  <c r="D16" i="7"/>
  <c r="E21" i="7"/>
  <c r="W60" i="17"/>
  <c r="F11" i="7" s="1"/>
  <c r="E11" i="7"/>
  <c r="W61" i="17"/>
  <c r="V68" i="17" s="1"/>
  <c r="W96" i="17" s="1"/>
  <c r="F29" i="7"/>
  <c r="Q16" i="7"/>
  <c r="Q17" i="7"/>
  <c r="Q15" i="7"/>
  <c r="Q18" i="7"/>
  <c r="Q19" i="7"/>
  <c r="N64" i="16"/>
  <c r="N69" i="3" s="1"/>
  <c r="N79" i="3" s="1"/>
  <c r="O67" i="17"/>
  <c r="R87" i="17" s="1"/>
  <c r="P67" i="17"/>
  <c r="R91" i="17" s="1"/>
  <c r="Q67" i="17"/>
  <c r="R95" i="17" s="1"/>
  <c r="O66" i="17"/>
  <c r="R86" i="17" s="1"/>
  <c r="O68" i="17"/>
  <c r="R88" i="17" s="1"/>
  <c r="P68" i="17"/>
  <c r="R92" i="17" s="1"/>
  <c r="L67" i="17"/>
  <c r="M95" i="17" s="1"/>
  <c r="J67" i="17"/>
  <c r="M87" i="17" s="1"/>
  <c r="K67" i="17"/>
  <c r="M91" i="17" s="1"/>
  <c r="J66" i="17"/>
  <c r="M86" i="17" s="1"/>
  <c r="J68" i="17"/>
  <c r="M88" i="17" s="1"/>
  <c r="AK68" i="17"/>
  <c r="AL96" i="17" s="1"/>
  <c r="AI66" i="17"/>
  <c r="AL86" i="17" s="1"/>
  <c r="AJ68" i="17"/>
  <c r="AL92" i="17" s="1"/>
  <c r="AI68" i="17"/>
  <c r="AL88" i="17" s="1"/>
  <c r="AK67" i="17"/>
  <c r="AL95" i="17" s="1"/>
  <c r="AJ67" i="17"/>
  <c r="AL91" i="17" s="1"/>
  <c r="AI67" i="17"/>
  <c r="AL87" i="17" s="1"/>
  <c r="AD67" i="17"/>
  <c r="AG87" i="17" s="1"/>
  <c r="AD66" i="17"/>
  <c r="AG86" i="17" s="1"/>
  <c r="AF68" i="17"/>
  <c r="AG96" i="17" s="1"/>
  <c r="AE68" i="17"/>
  <c r="AG92" i="17" s="1"/>
  <c r="AF67" i="17"/>
  <c r="AG95" i="17" s="1"/>
  <c r="AE67" i="17"/>
  <c r="AG91" i="17" s="1"/>
  <c r="AD68" i="17"/>
  <c r="AG88" i="17" s="1"/>
  <c r="AA67" i="17"/>
  <c r="AB95" i="17" s="1"/>
  <c r="Z67" i="17"/>
  <c r="AB91" i="17" s="1"/>
  <c r="Y67" i="17"/>
  <c r="AB87" i="17" s="1"/>
  <c r="Y66" i="17"/>
  <c r="AB86" i="17" s="1"/>
  <c r="AA68" i="17"/>
  <c r="AB96" i="17" s="1"/>
  <c r="Z68" i="17"/>
  <c r="AB92" i="17" s="1"/>
  <c r="Y68" i="17"/>
  <c r="AB88" i="17" s="1"/>
  <c r="AD65" i="17"/>
  <c r="AI6" i="17"/>
  <c r="AI65" i="17" s="1"/>
  <c r="Q6" i="17"/>
  <c r="L65" i="17"/>
  <c r="Z6" i="17"/>
  <c r="U65" i="17"/>
  <c r="O69" i="16"/>
  <c r="N56" i="3"/>
  <c r="O60" i="16"/>
  <c r="O68" i="16" s="1"/>
  <c r="O65" i="16"/>
  <c r="O56" i="16"/>
  <c r="O64" i="16" s="1"/>
  <c r="O69" i="3" s="1"/>
  <c r="O79" i="3" s="1"/>
  <c r="N110" i="3"/>
  <c r="N132" i="3"/>
  <c r="N65" i="16"/>
  <c r="P56" i="16"/>
  <c r="P64" i="16" s="1"/>
  <c r="P60" i="16"/>
  <c r="P68" i="16" s="1"/>
  <c r="P69" i="16"/>
  <c r="C23" i="8" l="1"/>
  <c r="M23" i="8" s="1"/>
  <c r="H39" i="10" s="1"/>
  <c r="I25" i="8"/>
  <c r="E37" i="10" s="1"/>
  <c r="K37" i="10" s="1"/>
  <c r="J25" i="8"/>
  <c r="F37" i="10" s="1"/>
  <c r="L37" i="10" s="1"/>
  <c r="L23" i="8"/>
  <c r="G39" i="10" s="1"/>
  <c r="I23" i="8"/>
  <c r="D39" i="10" s="1"/>
  <c r="J39" i="10" s="1"/>
  <c r="M24" i="8"/>
  <c r="K25" i="8"/>
  <c r="G37" i="10" s="1"/>
  <c r="M37" i="10" s="1"/>
  <c r="M25" i="8"/>
  <c r="J24" i="8"/>
  <c r="F38" i="10" s="1"/>
  <c r="K24" i="8"/>
  <c r="G38" i="10" s="1"/>
  <c r="M38" i="10" s="1"/>
  <c r="L24" i="8"/>
  <c r="H38" i="10" s="1"/>
  <c r="N38" i="10" s="1"/>
  <c r="L25" i="8"/>
  <c r="H37" i="10" s="1"/>
  <c r="N37" i="10" s="1"/>
  <c r="K23" i="8"/>
  <c r="F39" i="10" s="1"/>
  <c r="L39" i="10" s="1"/>
  <c r="I24" i="8"/>
  <c r="E38" i="10" s="1"/>
  <c r="K38" i="10" s="1"/>
  <c r="J23" i="8"/>
  <c r="E39" i="10" s="1"/>
  <c r="F17" i="7"/>
  <c r="F18" i="7"/>
  <c r="F15" i="7"/>
  <c r="F16" i="7"/>
  <c r="F19" i="7"/>
  <c r="F34" i="7"/>
  <c r="F38" i="7"/>
  <c r="F37" i="7"/>
  <c r="F35" i="7"/>
  <c r="F36" i="7"/>
  <c r="V67" i="17"/>
  <c r="W95" i="17" s="1"/>
  <c r="M29" i="7"/>
  <c r="M11" i="7"/>
  <c r="U67" i="17"/>
  <c r="W91" i="17" s="1"/>
  <c r="T67" i="17"/>
  <c r="W87" i="17" s="1"/>
  <c r="T68" i="17"/>
  <c r="W88" i="17" s="1"/>
  <c r="T66" i="17"/>
  <c r="W86" i="17" s="1"/>
  <c r="U68" i="17"/>
  <c r="W92" i="17" s="1"/>
  <c r="Z65" i="17"/>
  <c r="AE6" i="17"/>
  <c r="V6" i="17"/>
  <c r="Q65" i="17"/>
  <c r="P56" i="3"/>
  <c r="O56" i="3"/>
  <c r="P110" i="3"/>
  <c r="P120" i="3" s="1"/>
  <c r="O110" i="3"/>
  <c r="O88" i="3"/>
  <c r="O98" i="3" s="1"/>
  <c r="O132" i="3"/>
  <c r="P69" i="3"/>
  <c r="P79" i="3" s="1"/>
  <c r="N71" i="16"/>
  <c r="E7" i="17" s="1"/>
  <c r="N88" i="3"/>
  <c r="N98" i="3" s="1"/>
  <c r="P132" i="3"/>
  <c r="P142" i="3" s="1"/>
  <c r="P65" i="16"/>
  <c r="O71" i="16"/>
  <c r="Q69" i="16"/>
  <c r="Q60" i="16"/>
  <c r="Q68" i="16" s="1"/>
  <c r="Q56" i="16"/>
  <c r="Q64" i="16" s="1"/>
  <c r="L38" i="10" l="1"/>
  <c r="M39" i="10"/>
  <c r="K39" i="10"/>
  <c r="N39" i="10"/>
  <c r="M17" i="7"/>
  <c r="M16" i="7"/>
  <c r="M15" i="7"/>
  <c r="M19" i="7"/>
  <c r="M18" i="7"/>
  <c r="M38" i="7"/>
  <c r="M34" i="7"/>
  <c r="M35" i="7"/>
  <c r="M36" i="7"/>
  <c r="M37" i="7"/>
  <c r="O75" i="16"/>
  <c r="M5" i="13" s="1"/>
  <c r="M6" i="13" s="1"/>
  <c r="F7" i="17"/>
  <c r="AA6" i="17"/>
  <c r="V65" i="17"/>
  <c r="AJ6" i="17"/>
  <c r="AJ65" i="17" s="1"/>
  <c r="AE65" i="17"/>
  <c r="N85" i="16"/>
  <c r="N75" i="16"/>
  <c r="L5" i="13" s="1"/>
  <c r="Q56" i="3"/>
  <c r="Q69" i="3"/>
  <c r="Q79" i="3" s="1"/>
  <c r="Q110" i="3"/>
  <c r="Q120" i="3" s="1"/>
  <c r="O85" i="16"/>
  <c r="O80" i="16"/>
  <c r="O81" i="16"/>
  <c r="O84" i="16"/>
  <c r="N84" i="16"/>
  <c r="N80" i="16"/>
  <c r="N81" i="16"/>
  <c r="P71" i="16"/>
  <c r="P88" i="3"/>
  <c r="P98" i="3" s="1"/>
  <c r="Q132" i="3"/>
  <c r="Q142" i="3" s="1"/>
  <c r="Q65" i="16"/>
  <c r="R60" i="16"/>
  <c r="R68" i="16" s="1"/>
  <c r="R56" i="16"/>
  <c r="R64" i="16" s="1"/>
  <c r="R69" i="16"/>
  <c r="P75" i="16" l="1"/>
  <c r="N5" i="13" s="1"/>
  <c r="N6" i="13" s="1"/>
  <c r="G7" i="17"/>
  <c r="AA65" i="17"/>
  <c r="AF6" i="17"/>
  <c r="R56" i="3"/>
  <c r="P85" i="16"/>
  <c r="P84" i="16"/>
  <c r="P80" i="16"/>
  <c r="P81" i="16"/>
  <c r="R110" i="3"/>
  <c r="R120" i="3" s="1"/>
  <c r="R132" i="3"/>
  <c r="R142" i="3" s="1"/>
  <c r="R69" i="3"/>
  <c r="R79" i="3" s="1"/>
  <c r="Q71" i="16"/>
  <c r="Q75" i="16" s="1"/>
  <c r="O5" i="13" s="1"/>
  <c r="Q88" i="3"/>
  <c r="Q98" i="3" s="1"/>
  <c r="R65" i="16"/>
  <c r="S69" i="16"/>
  <c r="S60" i="16"/>
  <c r="S68" i="16" s="1"/>
  <c r="S56" i="16"/>
  <c r="S64" i="16" s="1"/>
  <c r="O6" i="13" l="1"/>
  <c r="AF65" i="17"/>
  <c r="AK6" i="17"/>
  <c r="AK65" i="17" s="1"/>
  <c r="S56" i="3"/>
  <c r="Q85" i="16"/>
  <c r="Q80" i="16"/>
  <c r="Q84" i="16"/>
  <c r="Q81" i="16"/>
  <c r="S69" i="3"/>
  <c r="S79" i="3" s="1"/>
  <c r="S110" i="3"/>
  <c r="S120" i="3" s="1"/>
  <c r="R88" i="3"/>
  <c r="R98" i="3" s="1"/>
  <c r="S132" i="3"/>
  <c r="S142" i="3" s="1"/>
  <c r="R71" i="16"/>
  <c r="R75" i="16" s="1"/>
  <c r="P5" i="13" s="1"/>
  <c r="P6" i="13" s="1"/>
  <c r="S65" i="16"/>
  <c r="T69" i="16"/>
  <c r="R85" i="16" l="1"/>
  <c r="R80" i="16"/>
  <c r="R84" i="16"/>
  <c r="R81" i="16"/>
  <c r="S88" i="3"/>
  <c r="S98" i="3" s="1"/>
  <c r="S71" i="16"/>
  <c r="S75" i="16" s="1"/>
  <c r="T132" i="3"/>
  <c r="T142" i="3" s="1"/>
  <c r="T65" i="16"/>
  <c r="U69" i="16"/>
  <c r="S85" i="16" l="1"/>
  <c r="S80" i="16"/>
  <c r="S84" i="16"/>
  <c r="S81" i="16"/>
  <c r="T88" i="3"/>
  <c r="T98" i="3" s="1"/>
  <c r="U132" i="3"/>
  <c r="U142" i="3" s="1"/>
  <c r="U65" i="16"/>
  <c r="V69" i="16"/>
  <c r="U88" i="3" l="1"/>
  <c r="U98" i="3" s="1"/>
  <c r="V132" i="3"/>
  <c r="V142" i="3" s="1"/>
  <c r="V65" i="16"/>
  <c r="V88" i="3" l="1"/>
  <c r="V98" i="3" s="1"/>
  <c r="I58" i="3" l="1"/>
  <c r="J58" i="3"/>
  <c r="K58" i="3"/>
  <c r="L58" i="3"/>
  <c r="M58" i="3"/>
  <c r="H58" i="3"/>
  <c r="H57" i="3"/>
  <c r="I49" i="3"/>
  <c r="J49" i="3"/>
  <c r="K49" i="3"/>
  <c r="L49" i="3"/>
  <c r="M49" i="3"/>
  <c r="H49" i="3"/>
  <c r="I47" i="3"/>
  <c r="J47" i="3"/>
  <c r="K47" i="3"/>
  <c r="L47" i="3"/>
  <c r="M47" i="3"/>
  <c r="H47" i="3"/>
  <c r="B42" i="3"/>
  <c r="O170" i="1" l="1"/>
  <c r="P170" i="1"/>
  <c r="Q170" i="1"/>
  <c r="R170" i="1"/>
  <c r="S170" i="1"/>
  <c r="T170" i="1"/>
  <c r="U170" i="1"/>
  <c r="V170" i="1"/>
  <c r="N170" i="1"/>
  <c r="N169" i="1"/>
  <c r="O169" i="1"/>
  <c r="P169" i="1"/>
  <c r="Q169" i="1"/>
  <c r="R169" i="1"/>
  <c r="S169" i="1"/>
  <c r="T169" i="1"/>
  <c r="U169" i="1"/>
  <c r="V169" i="1"/>
  <c r="M169" i="1"/>
  <c r="M170" i="1"/>
  <c r="M163" i="1"/>
  <c r="R16" i="3"/>
  <c r="V10" i="3"/>
  <c r="I45" i="3"/>
  <c r="J45" i="3"/>
  <c r="K45" i="3"/>
  <c r="L45" i="3"/>
  <c r="H45" i="3"/>
  <c r="B3" i="3"/>
  <c r="P171" i="1" l="1"/>
  <c r="N171" i="1"/>
  <c r="M171" i="1"/>
  <c r="O171" i="1"/>
  <c r="R171" i="1"/>
  <c r="V171" i="1"/>
  <c r="U171" i="1"/>
  <c r="Q171" i="1"/>
  <c r="T171" i="1"/>
  <c r="S171" i="1"/>
  <c r="I42" i="3"/>
  <c r="J42" i="3"/>
  <c r="K42" i="3"/>
  <c r="L42" i="3"/>
  <c r="M42" i="3"/>
  <c r="N42" i="3"/>
  <c r="O42" i="3"/>
  <c r="P42" i="3"/>
  <c r="Q42" i="3"/>
  <c r="R42" i="3"/>
  <c r="H42" i="3"/>
  <c r="S3" i="3"/>
  <c r="T3" i="3" l="1"/>
  <c r="T42" i="3" s="1"/>
  <c r="S3" i="16"/>
  <c r="H50" i="3"/>
  <c r="H52" i="3" s="1"/>
  <c r="H53" i="3" s="1"/>
  <c r="S42" i="3"/>
  <c r="L50" i="3"/>
  <c r="L52" i="3" s="1"/>
  <c r="K50" i="3"/>
  <c r="K52" i="3" s="1"/>
  <c r="J50" i="3"/>
  <c r="J52" i="3" s="1"/>
  <c r="I50" i="3"/>
  <c r="I52" i="3" s="1"/>
  <c r="U3" i="3" l="1"/>
  <c r="T3" i="16"/>
  <c r="Q45" i="3"/>
  <c r="H59" i="3"/>
  <c r="H60" i="3" s="1"/>
  <c r="I53" i="3"/>
  <c r="J53" i="3"/>
  <c r="K53" i="3"/>
  <c r="L53" i="3"/>
  <c r="Q47" i="3" l="1"/>
  <c r="Q71" i="3" s="1"/>
  <c r="V3" i="3"/>
  <c r="U3" i="16"/>
  <c r="U42" i="3"/>
  <c r="P45" i="3"/>
  <c r="O45" i="3"/>
  <c r="N45" i="3"/>
  <c r="N47" i="3" s="1"/>
  <c r="R45" i="3"/>
  <c r="R47" i="3" s="1"/>
  <c r="S45" i="3"/>
  <c r="S47" i="3" s="1"/>
  <c r="Q112" i="3" l="1"/>
  <c r="Q134" i="3"/>
  <c r="Q90" i="3"/>
  <c r="O47" i="3"/>
  <c r="O134" i="3" s="1"/>
  <c r="P47" i="3"/>
  <c r="P134" i="3" s="1"/>
  <c r="H79" i="17"/>
  <c r="R71" i="3"/>
  <c r="R90" i="3"/>
  <c r="R134" i="3"/>
  <c r="R112" i="3"/>
  <c r="N71" i="3"/>
  <c r="N90" i="3"/>
  <c r="N134" i="3"/>
  <c r="N112" i="3"/>
  <c r="S71" i="3"/>
  <c r="S90" i="3"/>
  <c r="S112" i="3"/>
  <c r="S134" i="3"/>
  <c r="W3" i="3"/>
  <c r="V3" i="16"/>
  <c r="V42" i="3"/>
  <c r="O71" i="3" l="1"/>
  <c r="O90" i="3"/>
  <c r="O112" i="3"/>
  <c r="P71" i="3"/>
  <c r="P90" i="3"/>
  <c r="P112" i="3"/>
  <c r="H76" i="17"/>
  <c r="H72" i="17"/>
  <c r="X3" i="3"/>
  <c r="W3" i="16"/>
  <c r="W42" i="3"/>
  <c r="H82" i="17" l="1"/>
  <c r="X3" i="16"/>
  <c r="X42" i="3"/>
  <c r="Y3" i="3"/>
  <c r="Y3" i="16" l="1"/>
  <c r="Y42" i="3"/>
  <c r="Z3" i="3"/>
  <c r="Z3" i="16" l="1"/>
  <c r="Z42" i="3"/>
  <c r="R102" i="12" l="1"/>
  <c r="Q54" i="12"/>
  <c r="H73" i="1"/>
  <c r="I73" i="1"/>
  <c r="J73" i="1"/>
  <c r="K73" i="1"/>
  <c r="D14" i="14"/>
  <c r="D10" i="14"/>
  <c r="B2" i="14"/>
  <c r="B30" i="13"/>
  <c r="M93" i="1"/>
  <c r="M92" i="1" s="1"/>
  <c r="N93" i="1"/>
  <c r="N92" i="1" s="1"/>
  <c r="O93" i="1"/>
  <c r="O92" i="1" s="1"/>
  <c r="P93" i="1"/>
  <c r="P92" i="1" s="1"/>
  <c r="Q93" i="1"/>
  <c r="Q92" i="1" s="1"/>
  <c r="R93" i="1"/>
  <c r="R92" i="1" s="1"/>
  <c r="S93" i="1"/>
  <c r="S92" i="1" s="1"/>
  <c r="T93" i="1"/>
  <c r="T92" i="1" s="1"/>
  <c r="U93" i="1"/>
  <c r="U92" i="1" s="1"/>
  <c r="V93" i="1"/>
  <c r="V92" i="1" s="1"/>
  <c r="L93" i="1"/>
  <c r="L92" i="1" s="1"/>
  <c r="F3" i="13"/>
  <c r="F19" i="13" s="1"/>
  <c r="B28" i="13"/>
  <c r="R43" i="12"/>
  <c r="U43" i="12"/>
  <c r="Q56" i="12"/>
  <c r="Q52" i="12"/>
  <c r="AB48" i="12"/>
  <c r="Y48" i="12"/>
  <c r="V48" i="12"/>
  <c r="S48" i="12"/>
  <c r="AB47" i="12"/>
  <c r="Y47" i="12"/>
  <c r="V47" i="12"/>
  <c r="S47" i="12"/>
  <c r="AB46" i="12"/>
  <c r="Y46" i="12"/>
  <c r="V46" i="12"/>
  <c r="S46" i="12"/>
  <c r="AB45" i="12"/>
  <c r="Y45" i="12"/>
  <c r="V45" i="12"/>
  <c r="S45" i="12"/>
  <c r="AB44" i="12"/>
  <c r="Y44" i="12"/>
  <c r="V44" i="12"/>
  <c r="S44" i="12"/>
  <c r="AB43" i="12"/>
  <c r="Y43" i="12"/>
  <c r="V43" i="12"/>
  <c r="B2" i="12"/>
  <c r="I29" i="11"/>
  <c r="I21" i="11"/>
  <c r="I15" i="11"/>
  <c r="I11" i="11"/>
  <c r="W1" i="10"/>
  <c r="B23" i="14"/>
  <c r="B31" i="14"/>
  <c r="B22" i="14"/>
  <c r="B29" i="14"/>
  <c r="B28" i="14"/>
  <c r="B33" i="14"/>
  <c r="B25" i="14"/>
  <c r="B34" i="14"/>
  <c r="B30" i="14"/>
  <c r="B24" i="14"/>
  <c r="B32" i="14"/>
  <c r="B27" i="14"/>
  <c r="I33" i="11" l="1"/>
  <c r="B26" i="9" l="1"/>
  <c r="G19" i="9"/>
  <c r="G18" i="9"/>
  <c r="G17" i="9"/>
  <c r="G16" i="9"/>
  <c r="G15" i="9"/>
  <c r="K18" i="9"/>
  <c r="K17" i="9"/>
  <c r="K16" i="9"/>
  <c r="K15" i="9"/>
  <c r="I19" i="9"/>
  <c r="I18" i="9"/>
  <c r="I17" i="9"/>
  <c r="I16" i="9"/>
  <c r="I15" i="9"/>
  <c r="E19" i="9"/>
  <c r="D19" i="9"/>
  <c r="E18" i="9"/>
  <c r="D18" i="9"/>
  <c r="E17" i="9"/>
  <c r="D17" i="9"/>
  <c r="E16" i="9"/>
  <c r="D16" i="9"/>
  <c r="E15" i="9"/>
  <c r="D15" i="9"/>
  <c r="B15" i="9"/>
  <c r="B2" i="9"/>
  <c r="C24" i="9"/>
  <c r="C29" i="9" s="1"/>
  <c r="B24" i="9"/>
  <c r="B19" i="9"/>
  <c r="B18" i="9"/>
  <c r="B17" i="9"/>
  <c r="B16" i="9"/>
  <c r="G16" i="3"/>
  <c r="M30" i="3" l="1"/>
  <c r="E35" i="8" s="1"/>
  <c r="G24" i="9"/>
  <c r="D24" i="9"/>
  <c r="L34" i="9" s="1"/>
  <c r="L18" i="9"/>
  <c r="D22" i="9"/>
  <c r="H19" i="9"/>
  <c r="J16" i="9"/>
  <c r="K22" i="9"/>
  <c r="F17" i="9"/>
  <c r="L17" i="9"/>
  <c r="J18" i="9"/>
  <c r="J15" i="9"/>
  <c r="J17" i="9"/>
  <c r="J19" i="9"/>
  <c r="L19" i="9"/>
  <c r="F19" i="9"/>
  <c r="L16" i="9"/>
  <c r="F16" i="9"/>
  <c r="H18" i="9"/>
  <c r="H15" i="9"/>
  <c r="F18" i="9"/>
  <c r="F15" i="9"/>
  <c r="H16" i="9"/>
  <c r="E22" i="9"/>
  <c r="H17" i="9"/>
  <c r="G22" i="9"/>
  <c r="L15" i="9"/>
  <c r="I22" i="9"/>
  <c r="J22" i="9" l="1"/>
  <c r="J30" i="9" s="1"/>
  <c r="I30" i="9" s="1"/>
  <c r="F22" i="9"/>
  <c r="F30" i="9" s="1"/>
  <c r="E30" i="9" s="1"/>
  <c r="H22" i="9"/>
  <c r="L22" i="9"/>
  <c r="D30" i="9" s="1"/>
  <c r="L30" i="9" l="1"/>
  <c r="L33" i="9" s="1"/>
  <c r="E24" i="9" l="1"/>
  <c r="I24" i="9"/>
  <c r="J24" i="9" l="1"/>
  <c r="H24" i="9"/>
  <c r="L24" i="9"/>
  <c r="D29" i="9" s="1"/>
  <c r="L29" i="9" s="1"/>
  <c r="L32" i="9" s="1"/>
  <c r="F24" i="9"/>
  <c r="M165" i="1" l="1"/>
  <c r="M106" i="1"/>
  <c r="K156" i="1"/>
  <c r="B139" i="1"/>
  <c r="B96" i="1"/>
  <c r="B57" i="1"/>
  <c r="M173" i="1"/>
  <c r="N173" i="1" s="1"/>
  <c r="M151" i="1"/>
  <c r="N151" i="1"/>
  <c r="O151" i="1"/>
  <c r="P151" i="1"/>
  <c r="Q151" i="1"/>
  <c r="R151" i="1"/>
  <c r="S151" i="1"/>
  <c r="T151" i="1"/>
  <c r="U151" i="1"/>
  <c r="V151" i="1"/>
  <c r="M122" i="1"/>
  <c r="M120" i="1"/>
  <c r="M116" i="1"/>
  <c r="M115" i="1"/>
  <c r="M102" i="1"/>
  <c r="M101" i="1"/>
  <c r="N100" i="1"/>
  <c r="O100" i="1" s="1"/>
  <c r="P100" i="1" s="1"/>
  <c r="Q100" i="1" s="1"/>
  <c r="R100" i="1" s="1"/>
  <c r="S100" i="1" s="1"/>
  <c r="T100" i="1" s="1"/>
  <c r="U100" i="1" s="1"/>
  <c r="V100" i="1" s="1"/>
  <c r="N87" i="16" l="1"/>
  <c r="N55" i="3" s="1"/>
  <c r="N99" i="3" s="1"/>
  <c r="M145" i="1"/>
  <c r="N101" i="1"/>
  <c r="N102" i="1"/>
  <c r="O102" i="1" s="1"/>
  <c r="P102" i="1" s="1"/>
  <c r="Q102" i="1" s="1"/>
  <c r="R102" i="1" s="1"/>
  <c r="S102" i="1" s="1"/>
  <c r="T102" i="1" s="1"/>
  <c r="U102" i="1" s="1"/>
  <c r="V102" i="1" s="1"/>
  <c r="N115" i="1"/>
  <c r="O115" i="1" s="1"/>
  <c r="P115" i="1" s="1"/>
  <c r="Q115" i="1" s="1"/>
  <c r="R115" i="1" s="1"/>
  <c r="S115" i="1" s="1"/>
  <c r="T115" i="1" s="1"/>
  <c r="U115" i="1" s="1"/>
  <c r="V115" i="1" s="1"/>
  <c r="V153" i="1" s="1"/>
  <c r="N116" i="1"/>
  <c r="O116" i="1" s="1"/>
  <c r="P116" i="1" s="1"/>
  <c r="Q116" i="1" s="1"/>
  <c r="R116" i="1" s="1"/>
  <c r="S116" i="1" s="1"/>
  <c r="T116" i="1" s="1"/>
  <c r="U116" i="1" s="1"/>
  <c r="V116" i="1" s="1"/>
  <c r="V154" i="1" s="1"/>
  <c r="N120" i="1"/>
  <c r="O120" i="1" s="1"/>
  <c r="P120" i="1" s="1"/>
  <c r="Q120" i="1" s="1"/>
  <c r="R120" i="1" s="1"/>
  <c r="S120" i="1" s="1"/>
  <c r="T120" i="1" s="1"/>
  <c r="U120" i="1" s="1"/>
  <c r="V120" i="1" s="1"/>
  <c r="N106" i="1"/>
  <c r="N122" i="1"/>
  <c r="O122" i="1" s="1"/>
  <c r="P122" i="1" s="1"/>
  <c r="Q122" i="1" s="1"/>
  <c r="R122" i="1" s="1"/>
  <c r="S122" i="1" s="1"/>
  <c r="T122" i="1" s="1"/>
  <c r="U122" i="1" s="1"/>
  <c r="V122" i="1" s="1"/>
  <c r="V155" i="1" s="1"/>
  <c r="R163" i="1"/>
  <c r="R165" i="1" s="1"/>
  <c r="O173" i="1"/>
  <c r="Q163" i="1"/>
  <c r="Q165" i="1" s="1"/>
  <c r="P163" i="1"/>
  <c r="P165" i="1" s="1"/>
  <c r="O163" i="1"/>
  <c r="O165" i="1" s="1"/>
  <c r="N163" i="1"/>
  <c r="N165" i="1" s="1"/>
  <c r="M154" i="1"/>
  <c r="V163" i="1"/>
  <c r="V165" i="1" s="1"/>
  <c r="M153" i="1"/>
  <c r="U163" i="1"/>
  <c r="U165" i="1" s="1"/>
  <c r="T163" i="1"/>
  <c r="T165" i="1" s="1"/>
  <c r="S163" i="1"/>
  <c r="S165" i="1" s="1"/>
  <c r="M155" i="1"/>
  <c r="M149" i="1"/>
  <c r="M150" i="1"/>
  <c r="O154" i="1" l="1"/>
  <c r="P154" i="1"/>
  <c r="N80" i="3"/>
  <c r="N143" i="3"/>
  <c r="N121" i="3"/>
  <c r="M65" i="1" s="1"/>
  <c r="P150" i="1"/>
  <c r="R150" i="1"/>
  <c r="S150" i="1"/>
  <c r="O150" i="1"/>
  <c r="V150" i="1"/>
  <c r="T150" i="1"/>
  <c r="O153" i="1"/>
  <c r="T153" i="1"/>
  <c r="Q154" i="1"/>
  <c r="Q150" i="1"/>
  <c r="U150" i="1"/>
  <c r="S154" i="1"/>
  <c r="O101" i="1"/>
  <c r="O149" i="1" s="1"/>
  <c r="O87" i="16"/>
  <c r="O55" i="3" s="1"/>
  <c r="N149" i="1"/>
  <c r="U153" i="1"/>
  <c r="Q153" i="1"/>
  <c r="N145" i="1"/>
  <c r="N153" i="1"/>
  <c r="U155" i="1"/>
  <c r="N155" i="1"/>
  <c r="Q155" i="1"/>
  <c r="R153" i="1"/>
  <c r="R155" i="1"/>
  <c r="S155" i="1"/>
  <c r="T155" i="1"/>
  <c r="O155" i="1"/>
  <c r="P155" i="1"/>
  <c r="N154" i="1"/>
  <c r="O106" i="1"/>
  <c r="O145" i="1" s="1"/>
  <c r="R154" i="1"/>
  <c r="T154" i="1"/>
  <c r="U154" i="1"/>
  <c r="P153" i="1"/>
  <c r="N150" i="1"/>
  <c r="S153" i="1"/>
  <c r="P173" i="1"/>
  <c r="O143" i="3" l="1"/>
  <c r="O80" i="3"/>
  <c r="O99" i="3"/>
  <c r="O121" i="3"/>
  <c r="P101" i="1"/>
  <c r="P87" i="16"/>
  <c r="P55" i="3" s="1"/>
  <c r="P106" i="1"/>
  <c r="P145" i="1" s="1"/>
  <c r="Q173" i="1"/>
  <c r="R173" i="1" s="1"/>
  <c r="N65" i="1" l="1"/>
  <c r="P143" i="3"/>
  <c r="P80" i="3"/>
  <c r="P99" i="3"/>
  <c r="P121" i="3"/>
  <c r="Q101" i="1"/>
  <c r="Q87" i="16"/>
  <c r="Q55" i="3" s="1"/>
  <c r="Q149" i="1"/>
  <c r="P149" i="1"/>
  <c r="Q106" i="1"/>
  <c r="Q145" i="1"/>
  <c r="S173" i="1"/>
  <c r="T173" i="1" s="1"/>
  <c r="O65" i="1" l="1"/>
  <c r="Q121" i="3"/>
  <c r="Q143" i="3"/>
  <c r="Q80" i="3"/>
  <c r="Q99" i="3"/>
  <c r="R101" i="1"/>
  <c r="R149" i="1" s="1"/>
  <c r="R87" i="16"/>
  <c r="R55" i="3" s="1"/>
  <c r="R106" i="1"/>
  <c r="R145" i="1" s="1"/>
  <c r="U173" i="1"/>
  <c r="P65" i="1" l="1"/>
  <c r="S101" i="1"/>
  <c r="S149" i="1" s="1"/>
  <c r="S87" i="16"/>
  <c r="S55" i="3" s="1"/>
  <c r="R121" i="3"/>
  <c r="R143" i="3"/>
  <c r="R80" i="3"/>
  <c r="R99" i="3"/>
  <c r="S106" i="1"/>
  <c r="V173" i="1"/>
  <c r="Q65" i="1" l="1"/>
  <c r="S121" i="3"/>
  <c r="S143" i="3"/>
  <c r="S99" i="3"/>
  <c r="S80" i="3"/>
  <c r="T101" i="1"/>
  <c r="T149" i="1" s="1"/>
  <c r="T87" i="16"/>
  <c r="T55" i="3" s="1"/>
  <c r="T106" i="1"/>
  <c r="S145" i="1"/>
  <c r="R65" i="1" l="1"/>
  <c r="U101" i="1"/>
  <c r="U149" i="1" s="1"/>
  <c r="U87" i="16"/>
  <c r="U55" i="3" s="1"/>
  <c r="U106" i="1"/>
  <c r="T145" i="1"/>
  <c r="V101" i="1" l="1"/>
  <c r="V149" i="1" s="1"/>
  <c r="V87" i="16"/>
  <c r="V55" i="3" s="1"/>
  <c r="V106" i="1"/>
  <c r="V145" i="1" s="1"/>
  <c r="U145" i="1"/>
  <c r="H52" i="1"/>
  <c r="I52" i="1"/>
  <c r="J52" i="1"/>
  <c r="K52" i="1"/>
  <c r="M42" i="1"/>
  <c r="N42" i="1" s="1"/>
  <c r="O42" i="1" s="1"/>
  <c r="P42" i="1" s="1"/>
  <c r="Q42" i="1" s="1"/>
  <c r="R42" i="1" s="1"/>
  <c r="S42" i="1" s="1"/>
  <c r="T42" i="1" s="1"/>
  <c r="U42" i="1" s="1"/>
  <c r="V42" i="1" s="1"/>
  <c r="M41" i="1"/>
  <c r="N41" i="1" s="1"/>
  <c r="O41" i="1" s="1"/>
  <c r="P41" i="1" s="1"/>
  <c r="Q41" i="1" s="1"/>
  <c r="R41" i="1" s="1"/>
  <c r="S41" i="1" s="1"/>
  <c r="T41" i="1" s="1"/>
  <c r="U41" i="1" s="1"/>
  <c r="V41" i="1" s="1"/>
  <c r="W87" i="16" l="1"/>
  <c r="W55" i="3" s="1"/>
  <c r="X87" i="16"/>
  <c r="M108" i="1"/>
  <c r="M117" i="1"/>
  <c r="L117" i="1"/>
  <c r="X55" i="3" l="1"/>
  <c r="N108" i="1"/>
  <c r="N152" i="1" s="1"/>
  <c r="M152" i="1"/>
  <c r="N117" i="1"/>
  <c r="Y55" i="3" l="1"/>
  <c r="O108" i="1"/>
  <c r="O152" i="1" s="1"/>
  <c r="O117" i="1"/>
  <c r="Z55" i="3" l="1"/>
  <c r="P108" i="1"/>
  <c r="P152" i="1" s="1"/>
  <c r="P117" i="1"/>
  <c r="Q108" i="1" l="1"/>
  <c r="Q152" i="1" s="1"/>
  <c r="Q117" i="1"/>
  <c r="Q123" i="1" s="1"/>
  <c r="R108" i="1" l="1"/>
  <c r="R152" i="1" s="1"/>
  <c r="R117" i="1"/>
  <c r="R123" i="1" s="1"/>
  <c r="S108" i="1" l="1"/>
  <c r="S152" i="1" s="1"/>
  <c r="S117" i="1"/>
  <c r="S123" i="1" s="1"/>
  <c r="T108" i="1" l="1"/>
  <c r="T152" i="1" s="1"/>
  <c r="T117" i="1"/>
  <c r="T123" i="1" s="1"/>
  <c r="U108" i="1" l="1"/>
  <c r="U152" i="1" s="1"/>
  <c r="V117" i="1"/>
  <c r="V123" i="1" s="1"/>
  <c r="U117" i="1"/>
  <c r="U123" i="1" s="1"/>
  <c r="V108" i="1" l="1"/>
  <c r="V152" i="1" l="1"/>
  <c r="G14" i="3" l="1"/>
  <c r="G13" i="3"/>
  <c r="B17" i="1"/>
  <c r="H17" i="1"/>
  <c r="G3" i="13" s="1"/>
  <c r="K171" i="1"/>
  <c r="J171" i="1"/>
  <c r="I171" i="1"/>
  <c r="H171" i="1"/>
  <c r="F16" i="13"/>
  <c r="K165" i="1"/>
  <c r="J165" i="1"/>
  <c r="I165" i="1"/>
  <c r="H165" i="1"/>
  <c r="F15" i="13"/>
  <c r="J156" i="1"/>
  <c r="I156" i="1"/>
  <c r="H156" i="1"/>
  <c r="F14" i="13"/>
  <c r="H139" i="1"/>
  <c r="I139" i="1" s="1"/>
  <c r="J139" i="1" s="1"/>
  <c r="K139" i="1" s="1"/>
  <c r="L139" i="1" s="1"/>
  <c r="M139" i="1" s="1"/>
  <c r="N139" i="1" s="1"/>
  <c r="O139" i="1" s="1"/>
  <c r="P139" i="1" s="1"/>
  <c r="Q139" i="1" s="1"/>
  <c r="R139" i="1" s="1"/>
  <c r="S139" i="1" s="1"/>
  <c r="T139" i="1" s="1"/>
  <c r="U139" i="1" s="1"/>
  <c r="V139" i="1" s="1"/>
  <c r="H132" i="1"/>
  <c r="I132" i="1"/>
  <c r="J132" i="1"/>
  <c r="K132" i="1"/>
  <c r="H117" i="1"/>
  <c r="H123" i="1" s="1"/>
  <c r="I117" i="1"/>
  <c r="I123" i="1" s="1"/>
  <c r="J117" i="1"/>
  <c r="J123" i="1" s="1"/>
  <c r="K117" i="1"/>
  <c r="K123" i="1" s="1"/>
  <c r="H96" i="1"/>
  <c r="H80" i="1"/>
  <c r="J80" i="1"/>
  <c r="I80" i="1"/>
  <c r="K80" i="1"/>
  <c r="H62" i="1"/>
  <c r="H67" i="1" s="1"/>
  <c r="I62" i="1"/>
  <c r="I67" i="1" s="1"/>
  <c r="J62" i="1"/>
  <c r="J67" i="1" s="1"/>
  <c r="K62" i="1"/>
  <c r="K67" i="1" s="1"/>
  <c r="H57" i="1"/>
  <c r="I57" i="1" s="1"/>
  <c r="J57" i="1" s="1"/>
  <c r="K57" i="1" s="1"/>
  <c r="B3" i="1"/>
  <c r="N12" i="1"/>
  <c r="G18" i="3"/>
  <c r="N6" i="1"/>
  <c r="H3" i="1"/>
  <c r="I3" i="1" s="1"/>
  <c r="J3" i="1" s="1"/>
  <c r="K3" i="1" s="1"/>
  <c r="L3" i="1" s="1"/>
  <c r="M3" i="1" s="1"/>
  <c r="N3" i="1" s="1"/>
  <c r="O3" i="1" s="1"/>
  <c r="P3" i="1" s="1"/>
  <c r="Q3" i="1" s="1"/>
  <c r="R3" i="1" s="1"/>
  <c r="S3" i="1" s="1"/>
  <c r="T3" i="1" s="1"/>
  <c r="U3" i="1" s="1"/>
  <c r="V3" i="1" s="1"/>
  <c r="B16" i="8" l="1"/>
  <c r="B12" i="8"/>
  <c r="N8" i="7"/>
  <c r="C88" i="17"/>
  <c r="N23" i="7" s="1"/>
  <c r="C87" i="17"/>
  <c r="R23" i="7" s="1"/>
  <c r="C86" i="17"/>
  <c r="Q23" i="7" s="1"/>
  <c r="C72" i="17"/>
  <c r="C74" i="17"/>
  <c r="R5" i="7" s="1"/>
  <c r="K53" i="1"/>
  <c r="K68" i="1"/>
  <c r="K75" i="1"/>
  <c r="F6" i="13"/>
  <c r="F5" i="13"/>
  <c r="G16" i="13"/>
  <c r="G15" i="13"/>
  <c r="G14" i="13"/>
  <c r="G5" i="13"/>
  <c r="G19" i="13"/>
  <c r="H63" i="1"/>
  <c r="G6" i="13" s="1"/>
  <c r="I17" i="1"/>
  <c r="G21" i="3"/>
  <c r="L57" i="1"/>
  <c r="M57" i="1" s="1"/>
  <c r="N57" i="1" s="1"/>
  <c r="O57" i="1" s="1"/>
  <c r="P57" i="1" s="1"/>
  <c r="Q57" i="1" s="1"/>
  <c r="R57" i="1" s="1"/>
  <c r="S57" i="1" s="1"/>
  <c r="T57" i="1" s="1"/>
  <c r="U57" i="1" s="1"/>
  <c r="V57" i="1" s="1"/>
  <c r="K41" i="1"/>
  <c r="I96" i="1"/>
  <c r="J96" i="1" s="1"/>
  <c r="K96" i="1" s="1"/>
  <c r="H44" i="1"/>
  <c r="H20" i="1"/>
  <c r="H21" i="1"/>
  <c r="H23" i="1"/>
  <c r="K20" i="1"/>
  <c r="K21" i="1"/>
  <c r="K23" i="1"/>
  <c r="N13" i="1"/>
  <c r="K175" i="1"/>
  <c r="K177" i="1" s="1"/>
  <c r="J175" i="1"/>
  <c r="J177" i="1" s="1"/>
  <c r="H175" i="1"/>
  <c r="H177" i="1" s="1"/>
  <c r="I175" i="1"/>
  <c r="I177" i="1" s="1"/>
  <c r="K134" i="1"/>
  <c r="J134" i="1"/>
  <c r="H134" i="1"/>
  <c r="I134" i="1"/>
  <c r="N5" i="7" l="1"/>
  <c r="N12" i="7" s="1"/>
  <c r="B21" i="8"/>
  <c r="B17" i="8"/>
  <c r="B13" i="8"/>
  <c r="N26" i="7"/>
  <c r="R26" i="7" s="1"/>
  <c r="R8" i="7"/>
  <c r="O8" i="7"/>
  <c r="C90" i="17"/>
  <c r="C91" i="17"/>
  <c r="S23" i="7" s="1"/>
  <c r="C77" i="17"/>
  <c r="S5" i="7" s="1"/>
  <c r="C92" i="17"/>
  <c r="O23" i="7" s="1"/>
  <c r="C76" i="17"/>
  <c r="O5" i="7" s="1"/>
  <c r="R12" i="7"/>
  <c r="R14" i="7"/>
  <c r="R9" i="7"/>
  <c r="R11" i="7"/>
  <c r="R13" i="7"/>
  <c r="R10" i="7"/>
  <c r="J53" i="1"/>
  <c r="J75" i="1"/>
  <c r="I53" i="1"/>
  <c r="I75" i="1"/>
  <c r="K82" i="1"/>
  <c r="K85" i="1" s="1"/>
  <c r="J17" i="1"/>
  <c r="H3" i="13"/>
  <c r="X33" i="12"/>
  <c r="Q64" i="12"/>
  <c r="Q63" i="12"/>
  <c r="Q60" i="12"/>
  <c r="Q61" i="12"/>
  <c r="K99" i="1"/>
  <c r="L176" i="1"/>
  <c r="L96" i="1"/>
  <c r="M96" i="1" s="1"/>
  <c r="N96" i="1" s="1"/>
  <c r="O96" i="1" s="1"/>
  <c r="P96" i="1" s="1"/>
  <c r="Q96" i="1" s="1"/>
  <c r="R96" i="1" s="1"/>
  <c r="S96" i="1" s="1"/>
  <c r="T96" i="1" s="1"/>
  <c r="U96" i="1" s="1"/>
  <c r="V96" i="1" s="1"/>
  <c r="K42" i="1"/>
  <c r="K44" i="1"/>
  <c r="I99" i="1"/>
  <c r="I103" i="1" s="1"/>
  <c r="J59" i="3" s="1"/>
  <c r="J60" i="3" s="1"/>
  <c r="J26" i="1"/>
  <c r="H99" i="1"/>
  <c r="I26" i="1"/>
  <c r="H26" i="1"/>
  <c r="J99" i="1"/>
  <c r="J103" i="1" s="1"/>
  <c r="K59" i="3" s="1"/>
  <c r="K60" i="3" s="1"/>
  <c r="K26" i="1"/>
  <c r="N14" i="1"/>
  <c r="R33" i="12"/>
  <c r="U33" i="12"/>
  <c r="N21" i="7" l="1"/>
  <c r="N9" i="7"/>
  <c r="N14" i="7"/>
  <c r="N11" i="7"/>
  <c r="N10" i="7"/>
  <c r="N13" i="7"/>
  <c r="B18" i="8"/>
  <c r="B14" i="8"/>
  <c r="S8" i="7"/>
  <c r="P8" i="7"/>
  <c r="O26" i="7"/>
  <c r="S26" i="7" s="1"/>
  <c r="R15" i="7"/>
  <c r="R18" i="7"/>
  <c r="R19" i="7"/>
  <c r="R16" i="7"/>
  <c r="R17" i="7"/>
  <c r="C94" i="17"/>
  <c r="C79" i="17"/>
  <c r="P5" i="7" s="1"/>
  <c r="C96" i="17"/>
  <c r="P23" i="7" s="1"/>
  <c r="C95" i="17"/>
  <c r="T23" i="7" s="1"/>
  <c r="C80" i="17"/>
  <c r="T5" i="7" s="1"/>
  <c r="J87" i="1"/>
  <c r="K65" i="3" s="1"/>
  <c r="J82" i="1"/>
  <c r="J85" i="1" s="1"/>
  <c r="J40" i="1" s="1"/>
  <c r="F9" i="13"/>
  <c r="H75" i="1"/>
  <c r="H68" i="1"/>
  <c r="G9" i="13" s="1"/>
  <c r="K40" i="1"/>
  <c r="F8" i="13"/>
  <c r="G8" i="13"/>
  <c r="I87" i="1"/>
  <c r="J65" i="3" s="1"/>
  <c r="I82" i="1"/>
  <c r="I85" i="1" s="1"/>
  <c r="H11" i="13" s="1"/>
  <c r="H103" i="1"/>
  <c r="G20" i="13"/>
  <c r="AA33" i="12"/>
  <c r="H19" i="13"/>
  <c r="H16" i="13"/>
  <c r="H15" i="13"/>
  <c r="H14" i="13"/>
  <c r="H20" i="13"/>
  <c r="H8" i="13"/>
  <c r="H5" i="13"/>
  <c r="F20" i="13"/>
  <c r="K17" i="1"/>
  <c r="I3" i="13"/>
  <c r="K103" i="1"/>
  <c r="L59" i="3" s="1"/>
  <c r="L60" i="3" s="1"/>
  <c r="Y33" i="12"/>
  <c r="J110" i="1"/>
  <c r="J136" i="1" s="1"/>
  <c r="I110" i="1"/>
  <c r="I136" i="1" s="1"/>
  <c r="L26" i="1"/>
  <c r="L80" i="1" s="1"/>
  <c r="S33" i="12"/>
  <c r="N19" i="7" l="1"/>
  <c r="N18" i="7"/>
  <c r="N15" i="7"/>
  <c r="N16" i="7"/>
  <c r="N17" i="7"/>
  <c r="N30" i="7"/>
  <c r="Q30" i="7"/>
  <c r="S31" i="7"/>
  <c r="R32" i="7"/>
  <c r="O29" i="7"/>
  <c r="O31" i="7"/>
  <c r="Q32" i="7"/>
  <c r="O30" i="7"/>
  <c r="N31" i="7"/>
  <c r="O32" i="7"/>
  <c r="P30" i="7"/>
  <c r="P32" i="7"/>
  <c r="P31" i="7"/>
  <c r="P29" i="7"/>
  <c r="T8" i="7"/>
  <c r="P26" i="7"/>
  <c r="T26" i="7" s="1"/>
  <c r="Q31" i="7"/>
  <c r="T30" i="7"/>
  <c r="T31" i="7"/>
  <c r="T32" i="7"/>
  <c r="T29" i="7"/>
  <c r="U21" i="7"/>
  <c r="I30" i="13" s="1"/>
  <c r="Q29" i="7"/>
  <c r="N32" i="7"/>
  <c r="N29" i="7"/>
  <c r="S29" i="7"/>
  <c r="S30" i="7"/>
  <c r="R30" i="7"/>
  <c r="R29" i="7"/>
  <c r="S32" i="7"/>
  <c r="R31" i="7"/>
  <c r="S13" i="7"/>
  <c r="O9" i="7"/>
  <c r="S10" i="7"/>
  <c r="R27" i="7"/>
  <c r="O11" i="7"/>
  <c r="P27" i="7"/>
  <c r="P9" i="7"/>
  <c r="P14" i="7"/>
  <c r="O27" i="7"/>
  <c r="P13" i="7"/>
  <c r="T28" i="7"/>
  <c r="O10" i="7"/>
  <c r="P21" i="7"/>
  <c r="U9" i="7"/>
  <c r="U14" i="7"/>
  <c r="Q27" i="7"/>
  <c r="Q28" i="7"/>
  <c r="T12" i="7"/>
  <c r="O12" i="7"/>
  <c r="P12" i="7"/>
  <c r="T13" i="7"/>
  <c r="T27" i="7"/>
  <c r="P11" i="7"/>
  <c r="U11" i="7"/>
  <c r="T11" i="7"/>
  <c r="S11" i="7"/>
  <c r="U10" i="7"/>
  <c r="O21" i="7"/>
  <c r="O28" i="7"/>
  <c r="N27" i="7"/>
  <c r="O14" i="7"/>
  <c r="S27" i="7"/>
  <c r="U12" i="7"/>
  <c r="U13" i="7"/>
  <c r="N28" i="7"/>
  <c r="T10" i="7"/>
  <c r="S14" i="7"/>
  <c r="S12" i="7"/>
  <c r="P10" i="7"/>
  <c r="R28" i="7"/>
  <c r="O13" i="7"/>
  <c r="S28" i="7"/>
  <c r="T14" i="7"/>
  <c r="S9" i="7"/>
  <c r="P28" i="7"/>
  <c r="T9" i="7"/>
  <c r="H110" i="1"/>
  <c r="H136" i="1" s="1"/>
  <c r="I59" i="3"/>
  <c r="I60" i="3" s="1"/>
  <c r="V33" i="12"/>
  <c r="V38" i="12" s="1"/>
  <c r="H22" i="13"/>
  <c r="H23" i="13" s="1"/>
  <c r="I40" i="1"/>
  <c r="H53" i="1"/>
  <c r="I20" i="13"/>
  <c r="I19" i="13"/>
  <c r="I18" i="13"/>
  <c r="I16" i="13"/>
  <c r="I15" i="13"/>
  <c r="I14" i="13"/>
  <c r="I8" i="13"/>
  <c r="I22" i="13"/>
  <c r="I5" i="13"/>
  <c r="I11" i="13"/>
  <c r="L17" i="1"/>
  <c r="J3" i="13"/>
  <c r="X43" i="12"/>
  <c r="Y37" i="12"/>
  <c r="AA43" i="12"/>
  <c r="AA44" i="12" s="1"/>
  <c r="AB33" i="12"/>
  <c r="AB36" i="12" s="1"/>
  <c r="G136" i="1"/>
  <c r="F18" i="13"/>
  <c r="H18" i="13"/>
  <c r="U37" i="12"/>
  <c r="R47" i="12"/>
  <c r="U45" i="12"/>
  <c r="R38" i="12"/>
  <c r="R46" i="12"/>
  <c r="R48" i="12"/>
  <c r="AA34" i="12"/>
  <c r="AA35" i="12"/>
  <c r="X37" i="12"/>
  <c r="U35" i="12"/>
  <c r="S37" i="12"/>
  <c r="R37" i="12"/>
  <c r="K110" i="1"/>
  <c r="K136" i="1" s="1"/>
  <c r="AA37" i="12"/>
  <c r="V34" i="12"/>
  <c r="U46" i="12"/>
  <c r="R45" i="12"/>
  <c r="X38" i="12"/>
  <c r="R44" i="12"/>
  <c r="U36" i="12"/>
  <c r="S34" i="12"/>
  <c r="AA36" i="12"/>
  <c r="S36" i="12"/>
  <c r="U44" i="12"/>
  <c r="X34" i="12"/>
  <c r="S35" i="12"/>
  <c r="U38" i="12"/>
  <c r="S38" i="12"/>
  <c r="X35" i="12"/>
  <c r="U48" i="12"/>
  <c r="R35" i="12"/>
  <c r="R36" i="12"/>
  <c r="AA38" i="12"/>
  <c r="X36" i="12"/>
  <c r="U47" i="12"/>
  <c r="R34" i="12"/>
  <c r="U34" i="12"/>
  <c r="I23" i="13" l="1"/>
  <c r="P17" i="7"/>
  <c r="P18" i="7"/>
  <c r="P15" i="7"/>
  <c r="P19" i="7"/>
  <c r="P16" i="7"/>
  <c r="Q38" i="7"/>
  <c r="Q35" i="7"/>
  <c r="Q37" i="7"/>
  <c r="Q36" i="7"/>
  <c r="I32" i="13" s="1"/>
  <c r="Q34" i="7"/>
  <c r="N36" i="7"/>
  <c r="N34" i="7"/>
  <c r="N37" i="7"/>
  <c r="N35" i="7"/>
  <c r="N38" i="7"/>
  <c r="U18" i="7"/>
  <c r="U19" i="7"/>
  <c r="U15" i="7"/>
  <c r="U17" i="7"/>
  <c r="I29" i="13" s="1"/>
  <c r="U16" i="7"/>
  <c r="R37" i="7"/>
  <c r="R35" i="7"/>
  <c r="R38" i="7"/>
  <c r="R36" i="7"/>
  <c r="R34" i="7"/>
  <c r="O35" i="7"/>
  <c r="O34" i="7"/>
  <c r="O37" i="7"/>
  <c r="O36" i="7"/>
  <c r="O38" i="7"/>
  <c r="S15" i="7"/>
  <c r="S16" i="7"/>
  <c r="S18" i="7"/>
  <c r="S19" i="7"/>
  <c r="S17" i="7"/>
  <c r="S36" i="7"/>
  <c r="S37" i="7"/>
  <c r="S34" i="7"/>
  <c r="S35" i="7"/>
  <c r="S38" i="7"/>
  <c r="P35" i="7"/>
  <c r="P34" i="7"/>
  <c r="P38" i="7"/>
  <c r="P37" i="7"/>
  <c r="P36" i="7"/>
  <c r="T38" i="7"/>
  <c r="T36" i="7"/>
  <c r="T35" i="7"/>
  <c r="T37" i="7"/>
  <c r="T34" i="7"/>
  <c r="O18" i="7"/>
  <c r="O19" i="7"/>
  <c r="O17" i="7"/>
  <c r="O15" i="7"/>
  <c r="O16" i="7"/>
  <c r="T15" i="7"/>
  <c r="T16" i="7"/>
  <c r="T19" i="7"/>
  <c r="T17" i="7"/>
  <c r="T18" i="7"/>
  <c r="G18" i="13"/>
  <c r="V36" i="12"/>
  <c r="V37" i="12"/>
  <c r="V35" i="12"/>
  <c r="AA46" i="12"/>
  <c r="Y36" i="12"/>
  <c r="Y35" i="12"/>
  <c r="AA47" i="12"/>
  <c r="Y34" i="12"/>
  <c r="AA45" i="12"/>
  <c r="F11" i="13"/>
  <c r="H82" i="1"/>
  <c r="H85" i="1" s="1"/>
  <c r="G11" i="13" s="1"/>
  <c r="H87" i="1"/>
  <c r="I65" i="3" s="1"/>
  <c r="AB34" i="12"/>
  <c r="Y38" i="12"/>
  <c r="AA48" i="12"/>
  <c r="AB37" i="12"/>
  <c r="X46" i="12"/>
  <c r="X44" i="12"/>
  <c r="AB35" i="12"/>
  <c r="J8" i="13"/>
  <c r="J20" i="13"/>
  <c r="J19" i="13"/>
  <c r="J18" i="13"/>
  <c r="J16" i="13"/>
  <c r="J15" i="13"/>
  <c r="J14" i="13"/>
  <c r="J11" i="13"/>
  <c r="J9" i="13"/>
  <c r="J5" i="13"/>
  <c r="X48" i="12"/>
  <c r="M17" i="1"/>
  <c r="K3" i="13"/>
  <c r="X47" i="12"/>
  <c r="AB38" i="12"/>
  <c r="X45" i="12"/>
  <c r="I27" i="13" l="1" a="1"/>
  <c r="I27" i="13" s="1"/>
  <c r="I35" i="13" a="1"/>
  <c r="I35" i="13" s="1"/>
  <c r="C12" i="8" a="1"/>
  <c r="G22" i="13"/>
  <c r="G23" i="13" s="1"/>
  <c r="H40" i="1"/>
  <c r="F22" i="13"/>
  <c r="F23" i="13" s="1"/>
  <c r="M8" i="3"/>
  <c r="K19" i="13"/>
  <c r="N17" i="1"/>
  <c r="L3" i="13"/>
  <c r="C12" i="8" l="1"/>
  <c r="L19" i="13"/>
  <c r="L15" i="13"/>
  <c r="J26" i="13"/>
  <c r="O17" i="1"/>
  <c r="M3" i="13"/>
  <c r="M19" i="13" l="1"/>
  <c r="M15" i="13"/>
  <c r="K26" i="13"/>
  <c r="P17" i="1"/>
  <c r="N3" i="13"/>
  <c r="N19" i="13" l="1"/>
  <c r="N15" i="13"/>
  <c r="L26" i="13"/>
  <c r="Q17" i="1"/>
  <c r="O3" i="13"/>
  <c r="O62" i="1"/>
  <c r="N62" i="1"/>
  <c r="N66" i="1" l="1"/>
  <c r="N67" i="1" s="1"/>
  <c r="O66" i="1"/>
  <c r="O67" i="1" s="1"/>
  <c r="O63" i="1"/>
  <c r="O19" i="13"/>
  <c r="O15" i="13"/>
  <c r="R17" i="1"/>
  <c r="S17" i="1" s="1"/>
  <c r="T17" i="1" s="1"/>
  <c r="U17" i="1" s="1"/>
  <c r="V17" i="1" s="1"/>
  <c r="P3" i="13"/>
  <c r="Q7" i="12" a="1"/>
  <c r="O71" i="1"/>
  <c r="P48" i="3" s="1"/>
  <c r="O70" i="1"/>
  <c r="N70" i="1"/>
  <c r="P62" i="1"/>
  <c r="N71" i="1"/>
  <c r="O48" i="3" s="1"/>
  <c r="P49" i="3" l="1"/>
  <c r="P73" i="3" s="1"/>
  <c r="G18" i="17"/>
  <c r="O49" i="3"/>
  <c r="O73" i="3" s="1"/>
  <c r="F18" i="17"/>
  <c r="P72" i="3"/>
  <c r="P135" i="3"/>
  <c r="P113" i="3"/>
  <c r="P91" i="3"/>
  <c r="O135" i="3"/>
  <c r="O113" i="3"/>
  <c r="O72" i="3"/>
  <c r="O91" i="3"/>
  <c r="O68" i="1"/>
  <c r="N9" i="13" s="1"/>
  <c r="N73" i="1"/>
  <c r="O73" i="1"/>
  <c r="P63" i="1"/>
  <c r="P66" i="1"/>
  <c r="P67" i="1" s="1"/>
  <c r="Q7" i="12"/>
  <c r="Q24" i="12" s="1"/>
  <c r="Q27" i="12"/>
  <c r="Q26" i="12"/>
  <c r="Q30" i="12" s="1"/>
  <c r="Q25" i="12"/>
  <c r="P15" i="13"/>
  <c r="P19" i="13"/>
  <c r="Y39" i="12"/>
  <c r="X49" i="12"/>
  <c r="N16" i="13"/>
  <c r="N123" i="1"/>
  <c r="O123" i="1"/>
  <c r="Q62" i="1"/>
  <c r="P71" i="1"/>
  <c r="Q48" i="3" s="1"/>
  <c r="P70" i="1"/>
  <c r="Q49" i="3" s="1"/>
  <c r="O136" i="3" l="1"/>
  <c r="O114" i="3"/>
  <c r="O115" i="3" s="1"/>
  <c r="O117" i="3" s="1"/>
  <c r="O118" i="3" s="1"/>
  <c r="O92" i="3"/>
  <c r="O93" i="3" s="1"/>
  <c r="O95" i="3" s="1"/>
  <c r="O96" i="3" s="1"/>
  <c r="O50" i="3"/>
  <c r="O52" i="3" s="1"/>
  <c r="O53" i="3" s="1"/>
  <c r="P50" i="3"/>
  <c r="P52" i="3" s="1"/>
  <c r="P53" i="3" s="1"/>
  <c r="P114" i="3"/>
  <c r="P115" i="3" s="1"/>
  <c r="P117" i="3" s="1"/>
  <c r="P118" i="3" s="1"/>
  <c r="P92" i="3"/>
  <c r="P93" i="3" s="1"/>
  <c r="P95" i="3" s="1"/>
  <c r="P96" i="3" s="1"/>
  <c r="P136" i="3"/>
  <c r="H77" i="17"/>
  <c r="S21" i="7" s="1"/>
  <c r="H80" i="17"/>
  <c r="T21" i="7" s="1"/>
  <c r="Q73" i="3"/>
  <c r="Q92" i="3"/>
  <c r="Q114" i="3"/>
  <c r="Q136" i="3"/>
  <c r="Q72" i="3"/>
  <c r="Q113" i="3"/>
  <c r="Q135" i="3"/>
  <c r="Q91" i="3"/>
  <c r="P68" i="1"/>
  <c r="O9" i="13" s="1"/>
  <c r="Q50" i="3"/>
  <c r="O75" i="1"/>
  <c r="P73" i="1"/>
  <c r="Q63" i="1"/>
  <c r="Q66" i="1"/>
  <c r="Q67" i="1" s="1"/>
  <c r="N8" i="13"/>
  <c r="R5" i="13"/>
  <c r="O16" i="13"/>
  <c r="P16" i="13"/>
  <c r="O144" i="1"/>
  <c r="P123" i="1"/>
  <c r="Q70" i="1"/>
  <c r="R49" i="3" s="1"/>
  <c r="R62" i="1"/>
  <c r="Q71" i="1"/>
  <c r="R48" i="3" s="1"/>
  <c r="P137" i="3" l="1"/>
  <c r="P139" i="3" s="1"/>
  <c r="P140" i="3" s="1"/>
  <c r="Q93" i="3"/>
  <c r="Q95" i="3" s="1"/>
  <c r="Q96" i="3" s="1"/>
  <c r="Q115" i="3"/>
  <c r="Q117" i="3" s="1"/>
  <c r="Q118" i="3" s="1"/>
  <c r="R73" i="3"/>
  <c r="R92" i="3"/>
  <c r="R114" i="3"/>
  <c r="R136" i="3"/>
  <c r="R91" i="3"/>
  <c r="R72" i="3"/>
  <c r="R135" i="3"/>
  <c r="R113" i="3"/>
  <c r="Q52" i="3"/>
  <c r="Q53" i="3" s="1"/>
  <c r="Q68" i="1"/>
  <c r="P9" i="13" s="1"/>
  <c r="R50" i="3"/>
  <c r="P75" i="1"/>
  <c r="Q73" i="1"/>
  <c r="R63" i="1"/>
  <c r="R66" i="1"/>
  <c r="R67" i="1" s="1"/>
  <c r="O8" i="13"/>
  <c r="O82" i="1"/>
  <c r="P144" i="1"/>
  <c r="Q137" i="3" s="1"/>
  <c r="R71" i="1"/>
  <c r="S48" i="3" s="1"/>
  <c r="R70" i="1"/>
  <c r="S49" i="3" s="1"/>
  <c r="R115" i="3" l="1"/>
  <c r="R117" i="3" s="1"/>
  <c r="R118" i="3" s="1"/>
  <c r="R93" i="3"/>
  <c r="R95" i="3" s="1"/>
  <c r="R96" i="3" s="1"/>
  <c r="S73" i="3"/>
  <c r="S92" i="3"/>
  <c r="S114" i="3"/>
  <c r="S136" i="3"/>
  <c r="S113" i="3"/>
  <c r="S91" i="3"/>
  <c r="S72" i="3"/>
  <c r="S135" i="3"/>
  <c r="Q139" i="3"/>
  <c r="Q140" i="3" s="1"/>
  <c r="R52" i="3"/>
  <c r="R53" i="3" s="1"/>
  <c r="R68" i="1"/>
  <c r="S50" i="3"/>
  <c r="P8" i="13"/>
  <c r="R8" i="13" s="1"/>
  <c r="Q75" i="1"/>
  <c r="R73" i="1"/>
  <c r="P82" i="1"/>
  <c r="Q144" i="1"/>
  <c r="R137" i="3" s="1"/>
  <c r="S93" i="3" l="1"/>
  <c r="S95" i="3" s="1"/>
  <c r="S96" i="3" s="1"/>
  <c r="S115" i="3"/>
  <c r="S117" i="3" s="1"/>
  <c r="S118" i="3" s="1"/>
  <c r="R139" i="3"/>
  <c r="R140" i="3" s="1"/>
  <c r="S52" i="3"/>
  <c r="S53" i="3" s="1"/>
  <c r="R75" i="1"/>
  <c r="Q82" i="1"/>
  <c r="R144" i="1"/>
  <c r="S137" i="3" s="1"/>
  <c r="S139" i="3" l="1"/>
  <c r="S140" i="3" s="1"/>
  <c r="R82" i="1"/>
  <c r="M62" i="1" l="1"/>
  <c r="M71" i="1" l="1"/>
  <c r="N48" i="3" s="1"/>
  <c r="H21" i="8"/>
  <c r="J40" i="8" s="1"/>
  <c r="M66" i="1"/>
  <c r="M67" i="1" s="1"/>
  <c r="N63" i="1"/>
  <c r="M70" i="1"/>
  <c r="I40" i="8" l="1"/>
  <c r="L40" i="8"/>
  <c r="M40" i="8"/>
  <c r="K40" i="8"/>
  <c r="N49" i="3"/>
  <c r="N50" i="3" s="1"/>
  <c r="E18" i="17"/>
  <c r="N135" i="3"/>
  <c r="N113" i="3"/>
  <c r="N72" i="3"/>
  <c r="N91" i="3"/>
  <c r="M73" i="1"/>
  <c r="X39" i="12"/>
  <c r="R39" i="12"/>
  <c r="M16" i="13"/>
  <c r="M123" i="1"/>
  <c r="N73" i="3" l="1"/>
  <c r="N74" i="3" s="1"/>
  <c r="N76" i="3" s="1"/>
  <c r="N77" i="3" s="1"/>
  <c r="N136" i="3"/>
  <c r="N137" i="3" s="1"/>
  <c r="N139" i="3" s="1"/>
  <c r="N140" i="3" s="1"/>
  <c r="N114" i="3"/>
  <c r="N115" i="3" s="1"/>
  <c r="N117" i="3" s="1"/>
  <c r="N118" i="3" s="1"/>
  <c r="N92" i="3"/>
  <c r="N93" i="3" s="1"/>
  <c r="N95" i="3" s="1"/>
  <c r="N96" i="3" s="1"/>
  <c r="H74" i="17"/>
  <c r="N52" i="3"/>
  <c r="N53" i="3" s="1"/>
  <c r="N68" i="1"/>
  <c r="M9" i="13" s="1"/>
  <c r="N75" i="1"/>
  <c r="M8" i="13"/>
  <c r="S39" i="12"/>
  <c r="M144" i="1"/>
  <c r="H83" i="17" l="1"/>
  <c r="R21" i="7"/>
  <c r="N144" i="1"/>
  <c r="O137" i="3" s="1"/>
  <c r="O139" i="3" l="1"/>
  <c r="O140" i="3" s="1"/>
  <c r="N82" i="1"/>
  <c r="K87" i="1" l="1"/>
  <c r="L65" i="3" s="1"/>
  <c r="J22" i="13" l="1"/>
  <c r="J23" i="13" s="1"/>
  <c r="M143" i="1"/>
  <c r="N58" i="3" s="1"/>
  <c r="N145" i="3" l="1"/>
  <c r="N146" i="3" s="1"/>
  <c r="N101" i="3"/>
  <c r="N102" i="3" s="1"/>
  <c r="N106" i="3" s="1"/>
  <c r="N82" i="3"/>
  <c r="N83" i="3" s="1"/>
  <c r="N123" i="3"/>
  <c r="N124" i="3" s="1"/>
  <c r="M105" i="1"/>
  <c r="N84" i="3" l="1"/>
  <c r="N103" i="3"/>
  <c r="N125" i="3"/>
  <c r="N128" i="3"/>
  <c r="N147" i="3"/>
  <c r="N150" i="3"/>
  <c r="N143" i="1"/>
  <c r="O58" i="3" l="1"/>
  <c r="N105" i="1"/>
  <c r="O143" i="1" s="1"/>
  <c r="O105" i="1" l="1"/>
  <c r="P143" i="1" s="1"/>
  <c r="Q58" i="3" s="1"/>
  <c r="P58" i="3"/>
  <c r="O123" i="3"/>
  <c r="O124" i="3" s="1"/>
  <c r="O82" i="3"/>
  <c r="O145" i="3"/>
  <c r="O146" i="3" s="1"/>
  <c r="O101" i="3"/>
  <c r="O102" i="3" s="1"/>
  <c r="O106" i="3" s="1"/>
  <c r="N87" i="1"/>
  <c r="O103" i="3" l="1"/>
  <c r="O87" i="1"/>
  <c r="P65" i="3" s="1"/>
  <c r="P105" i="1"/>
  <c r="O147" i="3"/>
  <c r="O150" i="3"/>
  <c r="O125" i="3"/>
  <c r="O128" i="3"/>
  <c r="P145" i="3"/>
  <c r="P146" i="3" s="1"/>
  <c r="P101" i="3"/>
  <c r="P102" i="3" s="1"/>
  <c r="P106" i="3" s="1"/>
  <c r="P82" i="3"/>
  <c r="P123" i="3"/>
  <c r="P124" i="3" s="1"/>
  <c r="Q101" i="3"/>
  <c r="Q102" i="3" s="1"/>
  <c r="Q106" i="3" s="1"/>
  <c r="Q123" i="3"/>
  <c r="Q124" i="3" s="1"/>
  <c r="Q82" i="3"/>
  <c r="Q145" i="3"/>
  <c r="Q146" i="3" s="1"/>
  <c r="M22" i="13"/>
  <c r="M23" i="13" s="1"/>
  <c r="O65" i="3"/>
  <c r="M9" i="3"/>
  <c r="Q143" i="1"/>
  <c r="R58" i="3" s="1"/>
  <c r="Q103" i="3" l="1"/>
  <c r="P103" i="3"/>
  <c r="N22" i="13"/>
  <c r="N23" i="13" s="1"/>
  <c r="P125" i="3"/>
  <c r="P128" i="3"/>
  <c r="Q147" i="3"/>
  <c r="Q150" i="3"/>
  <c r="Q125" i="3"/>
  <c r="Q128" i="3"/>
  <c r="R101" i="3"/>
  <c r="R102" i="3" s="1"/>
  <c r="R106" i="3" s="1"/>
  <c r="R123" i="3"/>
  <c r="R124" i="3" s="1"/>
  <c r="R82" i="3"/>
  <c r="R145" i="3"/>
  <c r="R146" i="3" s="1"/>
  <c r="P150" i="3"/>
  <c r="P147" i="3"/>
  <c r="AB39" i="12"/>
  <c r="AA49" i="12"/>
  <c r="Q105" i="1"/>
  <c r="R143" i="1" s="1"/>
  <c r="S58" i="3" s="1"/>
  <c r="P87" i="1"/>
  <c r="Q65" i="3" s="1"/>
  <c r="R103" i="3" l="1"/>
  <c r="R147" i="3"/>
  <c r="R150" i="3"/>
  <c r="R125" i="3"/>
  <c r="R128" i="3"/>
  <c r="S123" i="3"/>
  <c r="S124" i="3" s="1"/>
  <c r="S145" i="3"/>
  <c r="S146" i="3" s="1"/>
  <c r="S82" i="3"/>
  <c r="S101" i="3"/>
  <c r="S102" i="3" s="1"/>
  <c r="S106" i="3" s="1"/>
  <c r="V39" i="12"/>
  <c r="O22" i="13"/>
  <c r="O23" i="13" s="1"/>
  <c r="Q87" i="1"/>
  <c r="R65" i="3" s="1"/>
  <c r="R105" i="1"/>
  <c r="S103" i="3" l="1"/>
  <c r="S147" i="3"/>
  <c r="S150" i="3"/>
  <c r="S125" i="3"/>
  <c r="S128" i="3"/>
  <c r="P22" i="13"/>
  <c r="P23" i="13" s="1"/>
  <c r="S143" i="1"/>
  <c r="T58" i="3" s="1"/>
  <c r="R87" i="1" l="1"/>
  <c r="S65" i="3" s="1"/>
  <c r="S105" i="1"/>
  <c r="T143" i="1" l="1"/>
  <c r="U58" i="3" s="1"/>
  <c r="T105" i="1" l="1"/>
  <c r="U143" i="1" l="1"/>
  <c r="V58" i="3" s="1"/>
  <c r="U105" i="1" l="1"/>
  <c r="V143" i="1" l="1"/>
  <c r="W58" i="3" s="1"/>
  <c r="X58" i="3" s="1"/>
  <c r="Y58" i="3" s="1"/>
  <c r="Z58" i="3" s="1"/>
  <c r="V105" i="1" l="1"/>
  <c r="L36" i="9" l="1"/>
  <c r="L37" i="9"/>
  <c r="L38" i="9"/>
  <c r="L40" i="9" l="1"/>
  <c r="G11" i="1" l="1"/>
  <c r="R7" i="12" a="1"/>
  <c r="R25" i="12" s="1"/>
  <c r="L62" i="1"/>
  <c r="M45" i="3"/>
  <c r="M50" i="3" s="1"/>
  <c r="M52" i="3" s="1"/>
  <c r="M63" i="1" l="1"/>
  <c r="L67" i="1"/>
  <c r="R24" i="12"/>
  <c r="R27" i="12"/>
  <c r="R7" i="12"/>
  <c r="M53" i="3"/>
  <c r="K5" i="13"/>
  <c r="L73" i="1"/>
  <c r="L63" i="1"/>
  <c r="R26" i="12"/>
  <c r="L6" i="13" l="1"/>
  <c r="K6" i="13"/>
  <c r="R49" i="12"/>
  <c r="L16" i="13"/>
  <c r="L171" i="1"/>
  <c r="K16" i="13" s="1"/>
  <c r="L123" i="1"/>
  <c r="L8" i="13"/>
  <c r="M75" i="1"/>
  <c r="M68" i="1"/>
  <c r="L9" i="13" s="1"/>
  <c r="L75" i="1" l="1"/>
  <c r="L68" i="1"/>
  <c r="K9" i="13" s="1"/>
  <c r="K8" i="13"/>
  <c r="M87" i="1"/>
  <c r="N65" i="3" s="1"/>
  <c r="M82" i="1"/>
  <c r="M30" i="1" l="1"/>
  <c r="M32" i="1" s="1"/>
  <c r="N28" i="1" s="1"/>
  <c r="L22" i="13"/>
  <c r="L87" i="1"/>
  <c r="M65" i="3" s="1"/>
  <c r="L82" i="1"/>
  <c r="N30" i="1" l="1"/>
  <c r="N34" i="1" s="1"/>
  <c r="N35" i="1" s="1"/>
  <c r="N84" i="1" s="1"/>
  <c r="N85" i="1" s="1"/>
  <c r="M34" i="1"/>
  <c r="M35" i="1" s="1"/>
  <c r="M84" i="1" s="1"/>
  <c r="M85" i="1" s="1"/>
  <c r="E12" i="17" s="1"/>
  <c r="E13" i="17" s="1"/>
  <c r="R22" i="13"/>
  <c r="L23" i="13"/>
  <c r="L85" i="1"/>
  <c r="S7" i="12" a="1"/>
  <c r="K22" i="13"/>
  <c r="K23" i="13" s="1"/>
  <c r="L11" i="13" l="1"/>
  <c r="M91" i="1"/>
  <c r="M90" i="1" s="1"/>
  <c r="M142" i="1"/>
  <c r="M130" i="1" s="1"/>
  <c r="F12" i="17"/>
  <c r="F13" i="17" s="1"/>
  <c r="M11" i="13"/>
  <c r="N91" i="1"/>
  <c r="N90" i="1" s="1"/>
  <c r="O74" i="3" s="1"/>
  <c r="O76" i="3" s="1"/>
  <c r="O77" i="3" s="1"/>
  <c r="O83" i="3" s="1"/>
  <c r="N142" i="1"/>
  <c r="N156" i="1" s="1"/>
  <c r="N32" i="1"/>
  <c r="O28" i="1" s="1"/>
  <c r="O30" i="1" s="1"/>
  <c r="L142" i="1"/>
  <c r="L91" i="1"/>
  <c r="L90" i="1" s="1"/>
  <c r="K11" i="13"/>
  <c r="U39" i="12"/>
  <c r="AA39" i="12"/>
  <c r="T7" i="12" a="1"/>
  <c r="S27" i="12"/>
  <c r="S26" i="12"/>
  <c r="S7" i="12"/>
  <c r="S25" i="12"/>
  <c r="S24" i="12"/>
  <c r="O84" i="3" l="1"/>
  <c r="M156" i="1"/>
  <c r="M175" i="1" s="1"/>
  <c r="O32" i="1"/>
  <c r="P28" i="1" s="1"/>
  <c r="P30" i="1" s="1"/>
  <c r="O34" i="1"/>
  <c r="O35" i="1" s="1"/>
  <c r="O84" i="1" s="1"/>
  <c r="O85" i="1" s="1"/>
  <c r="N175" i="1"/>
  <c r="M14" i="13"/>
  <c r="N130" i="1"/>
  <c r="U49" i="12"/>
  <c r="T26" i="12"/>
  <c r="T24" i="12"/>
  <c r="T7" i="12"/>
  <c r="T27" i="12"/>
  <c r="T25" i="12"/>
  <c r="L156" i="1"/>
  <c r="L14" i="13" l="1"/>
  <c r="G12" i="17"/>
  <c r="G13" i="17" s="1"/>
  <c r="O91" i="1"/>
  <c r="O90" i="1" s="1"/>
  <c r="P74" i="3" s="1"/>
  <c r="P76" i="3" s="1"/>
  <c r="P77" i="3" s="1"/>
  <c r="P83" i="3" s="1"/>
  <c r="O142" i="1"/>
  <c r="O156" i="1" s="1"/>
  <c r="N11" i="13"/>
  <c r="P32" i="1"/>
  <c r="Q28" i="1" s="1"/>
  <c r="Q30" i="1" s="1"/>
  <c r="P34" i="1"/>
  <c r="P35" i="1" s="1"/>
  <c r="P84" i="1" s="1"/>
  <c r="P85" i="1" s="1"/>
  <c r="K14" i="13"/>
  <c r="L132" i="1"/>
  <c r="L134" i="1" s="1"/>
  <c r="P84" i="3" l="1"/>
  <c r="O11" i="13"/>
  <c r="P142" i="1"/>
  <c r="P156" i="1" s="1"/>
  <c r="P91" i="1"/>
  <c r="P90" i="1" s="1"/>
  <c r="Q74" i="3" s="1"/>
  <c r="Q76" i="3" s="1"/>
  <c r="Q77" i="3" s="1"/>
  <c r="Q83" i="3" s="1"/>
  <c r="Q84" i="3" s="1"/>
  <c r="O175" i="1"/>
  <c r="N14" i="13"/>
  <c r="Q32" i="1"/>
  <c r="R28" i="1" s="1"/>
  <c r="R30" i="1" s="1"/>
  <c r="Q34" i="1"/>
  <c r="Q35" i="1" s="1"/>
  <c r="Q84" i="1" s="1"/>
  <c r="Q85" i="1" s="1"/>
  <c r="O130" i="1"/>
  <c r="M132" i="1"/>
  <c r="M134" i="1" s="1"/>
  <c r="P130" i="1" l="1"/>
  <c r="R32" i="1"/>
  <c r="S28" i="1" s="1"/>
  <c r="R34" i="1"/>
  <c r="R35" i="1" s="1"/>
  <c r="R84" i="1" s="1"/>
  <c r="R85" i="1" s="1"/>
  <c r="P11" i="13"/>
  <c r="R11" i="13" s="1"/>
  <c r="Q142" i="1"/>
  <c r="Q156" i="1" s="1"/>
  <c r="Q91" i="1"/>
  <c r="Q90" i="1" s="1"/>
  <c r="R74" i="3" s="1"/>
  <c r="R76" i="3" s="1"/>
  <c r="R77" i="3" s="1"/>
  <c r="R83" i="3" s="1"/>
  <c r="R84" i="3" s="1"/>
  <c r="P175" i="1"/>
  <c r="O14" i="13"/>
  <c r="N132" i="1"/>
  <c r="N134" i="1" s="1"/>
  <c r="Q175" i="1" l="1"/>
  <c r="P14" i="13"/>
  <c r="R14" i="13" s="1"/>
  <c r="Q130" i="1"/>
  <c r="R142" i="1"/>
  <c r="R156" i="1" s="1"/>
  <c r="R175" i="1" s="1"/>
  <c r="R91" i="1"/>
  <c r="R90" i="1" s="1"/>
  <c r="S74" i="3" s="1"/>
  <c r="S76" i="3" s="1"/>
  <c r="S77" i="3" s="1"/>
  <c r="S83" i="3" s="1"/>
  <c r="S84" i="3" s="1"/>
  <c r="O132" i="1"/>
  <c r="O134" i="1" s="1"/>
  <c r="R130" i="1" l="1"/>
  <c r="P132" i="1"/>
  <c r="P134" i="1" s="1"/>
  <c r="Q132" i="1" l="1"/>
  <c r="Q134" i="1" s="1"/>
  <c r="R132" i="1" l="1"/>
  <c r="R134" i="1" s="1"/>
  <c r="L165" i="1" l="1"/>
  <c r="L175" i="1" s="1"/>
  <c r="L177" i="1" s="1"/>
  <c r="M176" i="1" l="1"/>
  <c r="M177" i="1" s="1"/>
  <c r="M99" i="1" s="1"/>
  <c r="L99" i="1"/>
  <c r="G22" i="3" s="1"/>
  <c r="H24" i="17" s="1"/>
  <c r="I21" i="7" s="1"/>
  <c r="K15" i="13"/>
  <c r="H61" i="17" l="1"/>
  <c r="M26" i="3"/>
  <c r="E31" i="8" s="1"/>
  <c r="G29" i="3"/>
  <c r="N176" i="1"/>
  <c r="N177" i="1" s="1"/>
  <c r="O176" i="1" s="1"/>
  <c r="O177" i="1" s="1"/>
  <c r="L103" i="1"/>
  <c r="K20" i="13"/>
  <c r="L20" i="13"/>
  <c r="M103" i="1"/>
  <c r="M21" i="7" l="1"/>
  <c r="M40" i="7"/>
  <c r="M21" i="8"/>
  <c r="H41" i="10" s="1"/>
  <c r="I21" i="8"/>
  <c r="D41" i="10" s="1"/>
  <c r="J41" i="10" s="1"/>
  <c r="K21" i="8"/>
  <c r="F41" i="10" s="1"/>
  <c r="L21" i="8"/>
  <c r="G41" i="10" s="1"/>
  <c r="J21" i="8"/>
  <c r="E41" i="10" s="1"/>
  <c r="G68" i="17"/>
  <c r="H96" i="17" s="1"/>
  <c r="P40" i="7" s="1"/>
  <c r="F68" i="17"/>
  <c r="H92" i="17" s="1"/>
  <c r="O40" i="7" s="1"/>
  <c r="E68" i="17"/>
  <c r="H88" i="17" s="1"/>
  <c r="N40" i="7" s="1"/>
  <c r="F67" i="17"/>
  <c r="H91" i="17" s="1"/>
  <c r="S40" i="7" s="1"/>
  <c r="G67" i="17"/>
  <c r="H95" i="17" s="1"/>
  <c r="T40" i="7" s="1"/>
  <c r="E67" i="17"/>
  <c r="H87" i="17" s="1"/>
  <c r="R40" i="7" s="1"/>
  <c r="M110" i="1"/>
  <c r="M136" i="1" s="1"/>
  <c r="N59" i="3"/>
  <c r="L110" i="1"/>
  <c r="L136" i="1" s="1"/>
  <c r="M59" i="3"/>
  <c r="N99" i="1"/>
  <c r="N103" i="1" s="1"/>
  <c r="O99" i="1"/>
  <c r="P176" i="1"/>
  <c r="P177" i="1" s="1"/>
  <c r="N63" i="3" l="1"/>
  <c r="M41" i="10"/>
  <c r="K41" i="10"/>
  <c r="L41" i="10"/>
  <c r="N41" i="10"/>
  <c r="I28" i="13" a="1"/>
  <c r="I28" i="13" s="1"/>
  <c r="I36" i="13" a="1"/>
  <c r="I36" i="13" s="1"/>
  <c r="N60" i="3"/>
  <c r="K18" i="13"/>
  <c r="L18" i="13"/>
  <c r="N110" i="1"/>
  <c r="N136" i="1" s="1"/>
  <c r="O59" i="3"/>
  <c r="O63" i="3" s="1"/>
  <c r="M60" i="3"/>
  <c r="M20" i="13"/>
  <c r="Q176" i="1"/>
  <c r="Q177" i="1" s="1"/>
  <c r="P99" i="1"/>
  <c r="O103" i="1"/>
  <c r="N20" i="13"/>
  <c r="O60" i="3" l="1"/>
  <c r="M18" i="13"/>
  <c r="O110" i="1"/>
  <c r="N18" i="13" s="1"/>
  <c r="P59" i="3"/>
  <c r="P63" i="3" s="1"/>
  <c r="Q99" i="1"/>
  <c r="R176" i="1"/>
  <c r="R177" i="1" s="1"/>
  <c r="P103" i="1"/>
  <c r="O20" i="13"/>
  <c r="O136" i="1" l="1"/>
  <c r="P110" i="1"/>
  <c r="O18" i="13" s="1"/>
  <c r="Q59" i="3"/>
  <c r="Q63" i="3" s="1"/>
  <c r="P60" i="3"/>
  <c r="R99" i="1"/>
  <c r="R103" i="1" s="1"/>
  <c r="S176" i="1"/>
  <c r="P20" i="13"/>
  <c r="R20" i="13" s="1"/>
  <c r="Q103" i="1"/>
  <c r="Q60" i="3" l="1"/>
  <c r="Q110" i="1"/>
  <c r="Q136" i="1" s="1"/>
  <c r="R59" i="3"/>
  <c r="R63" i="3" s="1"/>
  <c r="R110" i="1"/>
  <c r="R136" i="1" s="1"/>
  <c r="S59" i="3"/>
  <c r="S63" i="3" s="1"/>
  <c r="P136" i="1"/>
  <c r="S60" i="3" l="1"/>
  <c r="P18" i="13"/>
  <c r="R18" i="13" s="1"/>
  <c r="R60" i="3"/>
  <c r="W16" i="16" l="1"/>
  <c r="X16" i="16" s="1"/>
  <c r="W65" i="16"/>
  <c r="W88" i="3" s="1"/>
  <c r="W98" i="3" s="1"/>
  <c r="Y16" i="16" l="1"/>
  <c r="X65" i="16"/>
  <c r="X88" i="3" s="1"/>
  <c r="X98" i="3" s="1"/>
  <c r="X69" i="16"/>
  <c r="X132" i="3" s="1"/>
  <c r="X142" i="3" s="1"/>
  <c r="W69" i="16"/>
  <c r="Z16" i="16" l="1"/>
  <c r="Y65" i="16"/>
  <c r="Y88" i="3" s="1"/>
  <c r="Y98" i="3" s="1"/>
  <c r="Y69" i="16"/>
  <c r="Y132" i="3" s="1"/>
  <c r="Y142" i="3" s="1"/>
  <c r="W132" i="3"/>
  <c r="W142" i="3" s="1"/>
  <c r="T56" i="16"/>
  <c r="T64" i="16" s="1"/>
  <c r="Z65" i="16" l="1"/>
  <c r="Z88" i="3" s="1"/>
  <c r="Z98" i="3" s="1"/>
  <c r="Z69" i="16"/>
  <c r="Z132" i="3" s="1"/>
  <c r="Z142" i="3" s="1"/>
  <c r="T60" i="16"/>
  <c r="T68" i="16" s="1"/>
  <c r="T71" i="16" s="1"/>
  <c r="T69" i="3"/>
  <c r="T79" i="3" s="1"/>
  <c r="U56" i="16" l="1"/>
  <c r="U64" i="16" s="1"/>
  <c r="U60" i="16"/>
  <c r="U68" i="16" s="1"/>
  <c r="T75" i="16"/>
  <c r="S62" i="1"/>
  <c r="T45" i="3"/>
  <c r="T81" i="16"/>
  <c r="T85" i="16"/>
  <c r="T80" i="16"/>
  <c r="T56" i="3"/>
  <c r="T110" i="3"/>
  <c r="T120" i="3" s="1"/>
  <c r="T84" i="16"/>
  <c r="U69" i="3" l="1"/>
  <c r="U79" i="3" s="1"/>
  <c r="U71" i="16"/>
  <c r="U80" i="16" s="1"/>
  <c r="T123" i="3"/>
  <c r="T121" i="3"/>
  <c r="T80" i="3"/>
  <c r="T82" i="3"/>
  <c r="T145" i="3"/>
  <c r="T143" i="3"/>
  <c r="T99" i="3"/>
  <c r="T101" i="3"/>
  <c r="T47" i="3"/>
  <c r="S63" i="1"/>
  <c r="S66" i="1"/>
  <c r="S70" i="1"/>
  <c r="S71" i="1"/>
  <c r="T48" i="3" s="1"/>
  <c r="V60" i="16"/>
  <c r="V68" i="16" s="1"/>
  <c r="V56" i="16"/>
  <c r="V64" i="16" s="1"/>
  <c r="U110" i="3"/>
  <c r="U120" i="3" s="1"/>
  <c r="U56" i="3"/>
  <c r="S65" i="1" l="1"/>
  <c r="S67" i="1" s="1"/>
  <c r="S68" i="1" s="1"/>
  <c r="U84" i="16"/>
  <c r="U121" i="3" s="1"/>
  <c r="T134" i="3"/>
  <c r="T90" i="3"/>
  <c r="T71" i="3"/>
  <c r="T112" i="3"/>
  <c r="W56" i="16"/>
  <c r="W64" i="16" s="1"/>
  <c r="W60" i="16"/>
  <c r="W68" i="16" s="1"/>
  <c r="V69" i="3"/>
  <c r="V79" i="3" s="1"/>
  <c r="V71" i="16"/>
  <c r="V80" i="16" s="1"/>
  <c r="V56" i="3"/>
  <c r="V110" i="3"/>
  <c r="V120" i="3" s="1"/>
  <c r="T135" i="3"/>
  <c r="T113" i="3"/>
  <c r="T72" i="3"/>
  <c r="T91" i="3"/>
  <c r="S73" i="1"/>
  <c r="S144" i="1" s="1"/>
  <c r="T49" i="3"/>
  <c r="U82" i="3"/>
  <c r="U80" i="3"/>
  <c r="T62" i="1"/>
  <c r="U75" i="16"/>
  <c r="U85" i="16"/>
  <c r="U45" i="3"/>
  <c r="U81" i="16"/>
  <c r="U123" i="3" l="1"/>
  <c r="T70" i="1"/>
  <c r="T71" i="1"/>
  <c r="U48" i="3" s="1"/>
  <c r="T66" i="1"/>
  <c r="T63" i="1"/>
  <c r="V80" i="3"/>
  <c r="V82" i="3"/>
  <c r="V85" i="16"/>
  <c r="V81" i="16"/>
  <c r="V45" i="3"/>
  <c r="U62" i="1"/>
  <c r="V75" i="16"/>
  <c r="T73" i="3"/>
  <c r="T74" i="3" s="1"/>
  <c r="T114" i="3"/>
  <c r="T115" i="3" s="1"/>
  <c r="T92" i="3"/>
  <c r="T93" i="3" s="1"/>
  <c r="T136" i="3"/>
  <c r="T137" i="3" s="1"/>
  <c r="T50" i="3"/>
  <c r="W110" i="3"/>
  <c r="W120" i="3" s="1"/>
  <c r="W56" i="3"/>
  <c r="W69" i="3"/>
  <c r="W79" i="3" s="1"/>
  <c r="W71" i="16"/>
  <c r="X56" i="16"/>
  <c r="X64" i="16" s="1"/>
  <c r="X60" i="16"/>
  <c r="X68" i="16" s="1"/>
  <c r="S75" i="1"/>
  <c r="U99" i="3"/>
  <c r="U101" i="3"/>
  <c r="U47" i="3"/>
  <c r="U145" i="3"/>
  <c r="U143" i="3"/>
  <c r="T65" i="1" s="1"/>
  <c r="V84" i="16"/>
  <c r="T67" i="1" l="1"/>
  <c r="T68" i="1" s="1"/>
  <c r="T76" i="3"/>
  <c r="T77" i="3" s="1"/>
  <c r="T83" i="3" s="1"/>
  <c r="S82" i="1"/>
  <c r="S87" i="1"/>
  <c r="T65" i="3" s="1"/>
  <c r="T139" i="3"/>
  <c r="T140" i="3" s="1"/>
  <c r="T146" i="3" s="1"/>
  <c r="V121" i="3"/>
  <c r="V123" i="3"/>
  <c r="X56" i="3"/>
  <c r="X110" i="3"/>
  <c r="X120" i="3" s="1"/>
  <c r="Y56" i="16"/>
  <c r="Y64" i="16" s="1"/>
  <c r="Y60" i="16"/>
  <c r="Y68" i="16" s="1"/>
  <c r="X69" i="3"/>
  <c r="X79" i="3" s="1"/>
  <c r="X71" i="16"/>
  <c r="X84" i="16" s="1"/>
  <c r="U70" i="1"/>
  <c r="U71" i="1"/>
  <c r="V48" i="3" s="1"/>
  <c r="U63" i="1"/>
  <c r="U66" i="1"/>
  <c r="W45" i="3"/>
  <c r="W81" i="16"/>
  <c r="W75" i="16"/>
  <c r="W85" i="16"/>
  <c r="V62" i="1"/>
  <c r="V47" i="3"/>
  <c r="T95" i="3"/>
  <c r="T96" i="3" s="1"/>
  <c r="T102" i="3" s="1"/>
  <c r="T106" i="3" s="1"/>
  <c r="W80" i="16"/>
  <c r="V99" i="3"/>
  <c r="V101" i="3"/>
  <c r="V145" i="3"/>
  <c r="V143" i="3"/>
  <c r="U134" i="3"/>
  <c r="U90" i="3"/>
  <c r="U71" i="3"/>
  <c r="U112" i="3"/>
  <c r="W84" i="16"/>
  <c r="T52" i="3"/>
  <c r="T53" i="3" s="1"/>
  <c r="T59" i="3" s="1"/>
  <c r="T63" i="3" s="1"/>
  <c r="T117" i="3"/>
  <c r="T118" i="3" s="1"/>
  <c r="T124" i="3" s="1"/>
  <c r="U135" i="3"/>
  <c r="U113" i="3"/>
  <c r="U91" i="3"/>
  <c r="U72" i="3"/>
  <c r="U49" i="3"/>
  <c r="T73" i="1"/>
  <c r="T144" i="1" s="1"/>
  <c r="U65" i="1" l="1"/>
  <c r="U67" i="1" s="1"/>
  <c r="U68" i="1" s="1"/>
  <c r="T103" i="3"/>
  <c r="S30" i="1"/>
  <c r="S32" i="1" s="1"/>
  <c r="T28" i="1" s="1"/>
  <c r="T84" i="3"/>
  <c r="T60" i="3"/>
  <c r="W143" i="3"/>
  <c r="W145" i="3"/>
  <c r="Z60" i="16"/>
  <c r="Z68" i="16" s="1"/>
  <c r="Z56" i="16"/>
  <c r="U73" i="3"/>
  <c r="U74" i="3" s="1"/>
  <c r="U136" i="3"/>
  <c r="U137" i="3" s="1"/>
  <c r="U92" i="3"/>
  <c r="U93" i="3" s="1"/>
  <c r="U114" i="3"/>
  <c r="U115" i="3" s="1"/>
  <c r="U50" i="3"/>
  <c r="W101" i="3"/>
  <c r="W99" i="3"/>
  <c r="X121" i="3"/>
  <c r="X123" i="3"/>
  <c r="W47" i="3"/>
  <c r="T150" i="3"/>
  <c r="T147" i="3"/>
  <c r="T128" i="3"/>
  <c r="T125" i="3"/>
  <c r="V113" i="3"/>
  <c r="V91" i="3"/>
  <c r="V72" i="3"/>
  <c r="V135" i="3"/>
  <c r="W82" i="3"/>
  <c r="W80" i="3"/>
  <c r="V49" i="3"/>
  <c r="U73" i="1"/>
  <c r="U144" i="1" s="1"/>
  <c r="X81" i="16"/>
  <c r="X85" i="16"/>
  <c r="X45" i="3"/>
  <c r="X75" i="16"/>
  <c r="X80" i="16"/>
  <c r="W123" i="3"/>
  <c r="W121" i="3"/>
  <c r="T75" i="1"/>
  <c r="V71" i="3"/>
  <c r="V112" i="3"/>
  <c r="V134" i="3"/>
  <c r="V90" i="3"/>
  <c r="Y56" i="3"/>
  <c r="Y110" i="3"/>
  <c r="Y120" i="3" s="1"/>
  <c r="V63" i="1"/>
  <c r="V70" i="1"/>
  <c r="V71" i="1"/>
  <c r="W48" i="3" s="1"/>
  <c r="V66" i="1"/>
  <c r="Y71" i="16"/>
  <c r="Y84" i="16" s="1"/>
  <c r="Y69" i="3"/>
  <c r="Y79" i="3" s="1"/>
  <c r="V65" i="1" l="1"/>
  <c r="V67" i="1" s="1"/>
  <c r="V68" i="1" s="1"/>
  <c r="S34" i="1"/>
  <c r="S35" i="1" s="1"/>
  <c r="S84" i="1" s="1"/>
  <c r="S85" i="1" s="1"/>
  <c r="S91" i="1" s="1"/>
  <c r="S90" i="1" s="1"/>
  <c r="Z64" i="16"/>
  <c r="Z69" i="3" s="1"/>
  <c r="Z79" i="3" s="1"/>
  <c r="U139" i="3"/>
  <c r="U140" i="3" s="1"/>
  <c r="U146" i="3" s="1"/>
  <c r="U76" i="3"/>
  <c r="U77" i="3" s="1"/>
  <c r="U83" i="3" s="1"/>
  <c r="X49" i="3"/>
  <c r="X47" i="3"/>
  <c r="X48" i="3"/>
  <c r="X143" i="3"/>
  <c r="X145" i="3"/>
  <c r="X101" i="3"/>
  <c r="X99" i="3"/>
  <c r="Z110" i="3"/>
  <c r="Z120" i="3" s="1"/>
  <c r="Z56" i="3"/>
  <c r="V136" i="3"/>
  <c r="V137" i="3" s="1"/>
  <c r="V73" i="3"/>
  <c r="V74" i="3" s="1"/>
  <c r="V92" i="3"/>
  <c r="V93" i="3" s="1"/>
  <c r="V114" i="3"/>
  <c r="V115" i="3" s="1"/>
  <c r="T87" i="1"/>
  <c r="U65" i="3" s="1"/>
  <c r="T82" i="1"/>
  <c r="W113" i="3"/>
  <c r="W91" i="3"/>
  <c r="W72" i="3"/>
  <c r="W135" i="3"/>
  <c r="V50" i="3"/>
  <c r="U75" i="1"/>
  <c r="W49" i="3"/>
  <c r="V73" i="1"/>
  <c r="V144" i="1" s="1"/>
  <c r="Y121" i="3"/>
  <c r="Y123" i="3"/>
  <c r="W112" i="3"/>
  <c r="W90" i="3"/>
  <c r="W134" i="3"/>
  <c r="W71" i="3"/>
  <c r="Y85" i="16"/>
  <c r="Y81" i="16"/>
  <c r="Y75" i="16"/>
  <c r="Y45" i="3"/>
  <c r="Y80" i="16"/>
  <c r="U95" i="3"/>
  <c r="U96" i="3" s="1"/>
  <c r="U102" i="3" s="1"/>
  <c r="U106" i="3" s="1"/>
  <c r="X80" i="3"/>
  <c r="X82" i="3"/>
  <c r="U52" i="3"/>
  <c r="U53" i="3" s="1"/>
  <c r="U59" i="3" s="1"/>
  <c r="U63" i="3" s="1"/>
  <c r="U117" i="3"/>
  <c r="U118" i="3" s="1"/>
  <c r="U124" i="3" s="1"/>
  <c r="U103" i="3" l="1"/>
  <c r="S142" i="1"/>
  <c r="S130" i="1" s="1"/>
  <c r="T30" i="1"/>
  <c r="T32" i="1" s="1"/>
  <c r="U28" i="1" s="1"/>
  <c r="Z71" i="16"/>
  <c r="Z84" i="16" s="1"/>
  <c r="Z123" i="3" s="1"/>
  <c r="H8" i="17"/>
  <c r="H22" i="8" s="1"/>
  <c r="H7" i="17"/>
  <c r="V76" i="3"/>
  <c r="V77" i="3" s="1"/>
  <c r="V83" i="3" s="1"/>
  <c r="V139" i="3"/>
  <c r="V140" i="3" s="1"/>
  <c r="V146" i="3" s="1"/>
  <c r="U147" i="3"/>
  <c r="U150" i="3"/>
  <c r="Y80" i="3"/>
  <c r="Y82" i="3"/>
  <c r="X135" i="3"/>
  <c r="X113" i="3"/>
  <c r="X91" i="3"/>
  <c r="X72" i="3"/>
  <c r="Y47" i="3"/>
  <c r="Y49" i="3"/>
  <c r="Y48" i="3"/>
  <c r="W114" i="3"/>
  <c r="W115" i="3" s="1"/>
  <c r="W73" i="3"/>
  <c r="W74" i="3" s="1"/>
  <c r="W136" i="3"/>
  <c r="W137" i="3" s="1"/>
  <c r="W92" i="3"/>
  <c r="W93" i="3" s="1"/>
  <c r="X50" i="3"/>
  <c r="U82" i="1"/>
  <c r="U87" i="1"/>
  <c r="V65" i="3" s="1"/>
  <c r="X134" i="3"/>
  <c r="X71" i="3"/>
  <c r="X112" i="3"/>
  <c r="X90" i="3"/>
  <c r="Y101" i="3"/>
  <c r="Y99" i="3"/>
  <c r="V52" i="3"/>
  <c r="V53" i="3" s="1"/>
  <c r="V59" i="3" s="1"/>
  <c r="V63" i="3" s="1"/>
  <c r="X136" i="3"/>
  <c r="X73" i="3"/>
  <c r="X92" i="3"/>
  <c r="X114" i="3"/>
  <c r="Y145" i="3"/>
  <c r="Y143" i="3"/>
  <c r="U128" i="3"/>
  <c r="U125" i="3"/>
  <c r="V117" i="3"/>
  <c r="V118" i="3" s="1"/>
  <c r="V124" i="3" s="1"/>
  <c r="W50" i="3"/>
  <c r="U84" i="3"/>
  <c r="U60" i="3"/>
  <c r="V95" i="3"/>
  <c r="V96" i="3" s="1"/>
  <c r="V102" i="3" s="1"/>
  <c r="V106" i="3" s="1"/>
  <c r="V75" i="1"/>
  <c r="V60" i="3" l="1"/>
  <c r="V103" i="3"/>
  <c r="S156" i="1"/>
  <c r="S175" i="1" s="1"/>
  <c r="S177" i="1" s="1"/>
  <c r="T176" i="1" s="1"/>
  <c r="Z80" i="16"/>
  <c r="Z82" i="3" s="1"/>
  <c r="Z45" i="3"/>
  <c r="Z48" i="3" s="1"/>
  <c r="Z75" i="16"/>
  <c r="Z81" i="16"/>
  <c r="Z99" i="3" s="1"/>
  <c r="U30" i="1"/>
  <c r="U32" i="1" s="1"/>
  <c r="V28" i="1" s="1"/>
  <c r="T34" i="1"/>
  <c r="T35" i="1" s="1"/>
  <c r="T84" i="1" s="1"/>
  <c r="T85" i="1" s="1"/>
  <c r="T142" i="1" s="1"/>
  <c r="T156" i="1" s="1"/>
  <c r="T175" i="1" s="1"/>
  <c r="Z85" i="16"/>
  <c r="Z143" i="3" s="1"/>
  <c r="J41" i="8"/>
  <c r="J22" i="8" s="1"/>
  <c r="E40" i="10" s="1"/>
  <c r="I41" i="8"/>
  <c r="I22" i="8" s="1"/>
  <c r="D40" i="10" s="1"/>
  <c r="J40" i="10" s="1"/>
  <c r="M41" i="8"/>
  <c r="M22" i="8" s="1"/>
  <c r="H40" i="10" s="1"/>
  <c r="K41" i="8"/>
  <c r="K22" i="8" s="1"/>
  <c r="F40" i="10" s="1"/>
  <c r="L41" i="8"/>
  <c r="L22" i="8" s="1"/>
  <c r="G40" i="10" s="1"/>
  <c r="X137" i="3"/>
  <c r="X139" i="3" s="1"/>
  <c r="X140" i="3" s="1"/>
  <c r="X146" i="3" s="1"/>
  <c r="X74" i="3"/>
  <c r="X76" i="3" s="1"/>
  <c r="Z121" i="3"/>
  <c r="V84" i="3"/>
  <c r="V125" i="3"/>
  <c r="V128" i="3"/>
  <c r="W76" i="3"/>
  <c r="W77" i="3" s="1"/>
  <c r="W83" i="3" s="1"/>
  <c r="Y134" i="3"/>
  <c r="Y71" i="3"/>
  <c r="Y90" i="3"/>
  <c r="Y112" i="3"/>
  <c r="Y50" i="3"/>
  <c r="W117" i="3"/>
  <c r="W118" i="3" s="1"/>
  <c r="W124" i="3" s="1"/>
  <c r="W95" i="3"/>
  <c r="W96" i="3" s="1"/>
  <c r="W102" i="3" s="1"/>
  <c r="W106" i="3" s="1"/>
  <c r="X52" i="3"/>
  <c r="X53" i="3" s="1"/>
  <c r="X59" i="3" s="1"/>
  <c r="X63" i="3" s="1"/>
  <c r="W139" i="3"/>
  <c r="W140" i="3" s="1"/>
  <c r="W146" i="3" s="1"/>
  <c r="W52" i="3"/>
  <c r="W53" i="3" s="1"/>
  <c r="W59" i="3" s="1"/>
  <c r="W63" i="3" s="1"/>
  <c r="S132" i="1"/>
  <c r="S134" i="1" s="1"/>
  <c r="V150" i="3"/>
  <c r="V147" i="3"/>
  <c r="Y135" i="3"/>
  <c r="Y113" i="3"/>
  <c r="Y72" i="3"/>
  <c r="Y91" i="3"/>
  <c r="X93" i="3"/>
  <c r="Y114" i="3"/>
  <c r="Y73" i="3"/>
  <c r="Y136" i="3"/>
  <c r="Y92" i="3"/>
  <c r="V82" i="1"/>
  <c r="V87" i="1"/>
  <c r="W65" i="3" s="1"/>
  <c r="X65" i="3" s="1"/>
  <c r="Y65" i="3" s="1"/>
  <c r="X115" i="3"/>
  <c r="Z47" i="3" l="1"/>
  <c r="Z90" i="3" s="1"/>
  <c r="X60" i="3"/>
  <c r="Z65" i="3"/>
  <c r="Z101" i="3"/>
  <c r="Z49" i="3"/>
  <c r="Z80" i="3"/>
  <c r="Z145" i="3"/>
  <c r="W103" i="3"/>
  <c r="S99" i="1"/>
  <c r="S103" i="1" s="1"/>
  <c r="S110" i="1" s="1"/>
  <c r="S136" i="1" s="1"/>
  <c r="T91" i="1"/>
  <c r="T90" i="1" s="1"/>
  <c r="U34" i="1"/>
  <c r="U35" i="1" s="1"/>
  <c r="U84" i="1" s="1"/>
  <c r="U85" i="1" s="1"/>
  <c r="U91" i="1" s="1"/>
  <c r="U90" i="1" s="1"/>
  <c r="V30" i="1"/>
  <c r="V32" i="1" s="1"/>
  <c r="L40" i="10"/>
  <c r="M40" i="10"/>
  <c r="N40" i="10"/>
  <c r="K40" i="10"/>
  <c r="X77" i="3"/>
  <c r="X83" i="3" s="1"/>
  <c r="X84" i="3" s="1"/>
  <c r="T130" i="1"/>
  <c r="T132" i="1" s="1"/>
  <c r="T134" i="1" s="1"/>
  <c r="Y115" i="3"/>
  <c r="Y117" i="3" s="1"/>
  <c r="Y93" i="3"/>
  <c r="Y95" i="3" s="1"/>
  <c r="Y96" i="3" s="1"/>
  <c r="Y102" i="3" s="1"/>
  <c r="Y106" i="3" s="1"/>
  <c r="Y74" i="3"/>
  <c r="Y76" i="3" s="1"/>
  <c r="T177" i="1"/>
  <c r="T99" i="1" s="1"/>
  <c r="T103" i="1" s="1"/>
  <c r="T110" i="1" s="1"/>
  <c r="W125" i="3"/>
  <c r="W128" i="3"/>
  <c r="W84" i="3"/>
  <c r="Z113" i="3"/>
  <c r="Z135" i="3"/>
  <c r="Z91" i="3"/>
  <c r="Z72" i="3"/>
  <c r="H9" i="17"/>
  <c r="W60" i="3"/>
  <c r="W147" i="3"/>
  <c r="W150" i="3"/>
  <c r="Y52" i="3"/>
  <c r="Y53" i="3" s="1"/>
  <c r="Y59" i="3" s="1"/>
  <c r="Y63" i="3" s="1"/>
  <c r="X95" i="3"/>
  <c r="X96" i="3" s="1"/>
  <c r="X102" i="3" s="1"/>
  <c r="X106" i="3" s="1"/>
  <c r="X150" i="3"/>
  <c r="X147" i="3"/>
  <c r="X117" i="3"/>
  <c r="X118" i="3" s="1"/>
  <c r="X124" i="3" s="1"/>
  <c r="Y137" i="3"/>
  <c r="Z112" i="3" l="1"/>
  <c r="Z134" i="3"/>
  <c r="Z71" i="3"/>
  <c r="Z50" i="3"/>
  <c r="M17" i="3"/>
  <c r="M20" i="3" s="1"/>
  <c r="Z114" i="3"/>
  <c r="Z92" i="3"/>
  <c r="Z93" i="3" s="1"/>
  <c r="Z136" i="3"/>
  <c r="Z73" i="3"/>
  <c r="X103" i="3"/>
  <c r="Y103" i="3"/>
  <c r="U142" i="1"/>
  <c r="U156" i="1" s="1"/>
  <c r="U175" i="1" s="1"/>
  <c r="V34" i="1"/>
  <c r="V35" i="1" s="1"/>
  <c r="V84" i="1" s="1"/>
  <c r="V85" i="1" s="1"/>
  <c r="H13" i="17" s="1"/>
  <c r="H17" i="17" s="1"/>
  <c r="Q21" i="7" s="1"/>
  <c r="H12" i="8" s="1" a="1"/>
  <c r="J38" i="8" s="1"/>
  <c r="U176" i="1"/>
  <c r="Y118" i="3"/>
  <c r="Y124" i="3" s="1"/>
  <c r="Y128" i="3" s="1"/>
  <c r="Y77" i="3"/>
  <c r="Y83" i="3" s="1"/>
  <c r="Y84" i="3" s="1"/>
  <c r="Y60" i="3"/>
  <c r="Z52" i="3"/>
  <c r="Z53" i="3" s="1"/>
  <c r="Z59" i="3" s="1"/>
  <c r="X125" i="3"/>
  <c r="X128" i="3"/>
  <c r="T136" i="1"/>
  <c r="Y139" i="3"/>
  <c r="Y140" i="3" s="1"/>
  <c r="Y146" i="3" s="1"/>
  <c r="Z137" i="3" l="1"/>
  <c r="Z139" i="3" s="1"/>
  <c r="Z140" i="3" s="1"/>
  <c r="Z146" i="3" s="1"/>
  <c r="Z147" i="3" s="1"/>
  <c r="Z115" i="3"/>
  <c r="Z117" i="3" s="1"/>
  <c r="Z118" i="3" s="1"/>
  <c r="Z124" i="3" s="1"/>
  <c r="Z74" i="3"/>
  <c r="Z76" i="3" s="1"/>
  <c r="Z77" i="3" s="1"/>
  <c r="Z83" i="3" s="1"/>
  <c r="Z63" i="3"/>
  <c r="R8" i="3" s="1"/>
  <c r="R14" i="3" s="1"/>
  <c r="R17" i="3" s="1"/>
  <c r="R18" i="3" s="1"/>
  <c r="V9" i="3"/>
  <c r="V11" i="3" s="1"/>
  <c r="E170" i="3" s="1"/>
  <c r="M18" i="3"/>
  <c r="U130" i="1"/>
  <c r="U132" i="1" s="1"/>
  <c r="U134" i="1" s="1"/>
  <c r="J18" i="8"/>
  <c r="E44" i="10" s="1"/>
  <c r="V91" i="1"/>
  <c r="V90" i="1" s="1"/>
  <c r="H73" i="17"/>
  <c r="V142" i="1"/>
  <c r="V156" i="1" s="1"/>
  <c r="V175" i="1" s="1"/>
  <c r="U177" i="1"/>
  <c r="V176" i="1" s="1"/>
  <c r="E66" i="17"/>
  <c r="H86" i="17" s="1"/>
  <c r="Q40" i="7" s="1"/>
  <c r="I33" i="13" s="1"/>
  <c r="K36" i="8"/>
  <c r="L37" i="8"/>
  <c r="I38" i="8"/>
  <c r="J34" i="8"/>
  <c r="K35" i="8"/>
  <c r="L35" i="8"/>
  <c r="I34" i="8"/>
  <c r="J33" i="8"/>
  <c r="L34" i="8"/>
  <c r="M37" i="8"/>
  <c r="L33" i="8"/>
  <c r="M34" i="8"/>
  <c r="M36" i="8"/>
  <c r="J37" i="8"/>
  <c r="J35" i="8"/>
  <c r="M35" i="8"/>
  <c r="I35" i="8"/>
  <c r="I36" i="8"/>
  <c r="I33" i="8"/>
  <c r="J36" i="8"/>
  <c r="K33" i="8"/>
  <c r="L36" i="8"/>
  <c r="K37" i="8"/>
  <c r="I37" i="8"/>
  <c r="L38" i="8"/>
  <c r="M33" i="8"/>
  <c r="M38" i="8"/>
  <c r="K38" i="8"/>
  <c r="H12" i="8"/>
  <c r="L32" i="8" s="1"/>
  <c r="K34" i="8"/>
  <c r="Z60" i="3"/>
  <c r="Y125" i="3"/>
  <c r="Y147" i="3"/>
  <c r="Y150" i="3"/>
  <c r="Z95" i="3"/>
  <c r="Z96" i="3" s="1"/>
  <c r="Z102" i="3" s="1"/>
  <c r="Z106" i="3" s="1"/>
  <c r="Z150" i="3" l="1"/>
  <c r="M21" i="3"/>
  <c r="M22" i="3" s="1"/>
  <c r="M24" i="3" s="1"/>
  <c r="V12" i="3"/>
  <c r="Z103" i="3"/>
  <c r="V130" i="1"/>
  <c r="V132" i="1" s="1"/>
  <c r="V134" i="1" s="1"/>
  <c r="V177" i="1"/>
  <c r="V99" i="1" s="1"/>
  <c r="V103" i="1" s="1"/>
  <c r="V110" i="1" s="1"/>
  <c r="U99" i="1"/>
  <c r="U103" i="1" s="1"/>
  <c r="U110" i="1" s="1"/>
  <c r="U136" i="1" s="1"/>
  <c r="L16" i="8"/>
  <c r="G46" i="10" s="1"/>
  <c r="J13" i="8"/>
  <c r="E49" i="10" s="1"/>
  <c r="K49" i="10" s="1"/>
  <c r="K13" i="8"/>
  <c r="F49" i="10" s="1"/>
  <c r="L49" i="10" s="1"/>
  <c r="I14" i="8"/>
  <c r="D48" i="10" s="1"/>
  <c r="J48" i="10" s="1"/>
  <c r="J16" i="8"/>
  <c r="E46" i="10" s="1"/>
  <c r="L15" i="8"/>
  <c r="I13" i="8"/>
  <c r="D49" i="10" s="1"/>
  <c r="J49" i="10" s="1"/>
  <c r="K15" i="8"/>
  <c r="I16" i="8"/>
  <c r="D46" i="10" s="1"/>
  <c r="J46" i="10" s="1"/>
  <c r="J14" i="8"/>
  <c r="E48" i="10" s="1"/>
  <c r="K48" i="10" s="1"/>
  <c r="I15" i="8"/>
  <c r="D47" i="10" s="1"/>
  <c r="J47" i="10" s="1"/>
  <c r="I18" i="8"/>
  <c r="D44" i="10" s="1"/>
  <c r="K14" i="8"/>
  <c r="F48" i="10" s="1"/>
  <c r="L48" i="10" s="1"/>
  <c r="M15" i="8"/>
  <c r="H47" i="10" s="1"/>
  <c r="L17" i="8"/>
  <c r="G45" i="10" s="1"/>
  <c r="J15" i="8"/>
  <c r="K16" i="8"/>
  <c r="F46" i="10" s="1"/>
  <c r="K18" i="8"/>
  <c r="F44" i="10" s="1"/>
  <c r="L44" i="10" s="1"/>
  <c r="J17" i="8"/>
  <c r="E45" i="10" s="1"/>
  <c r="M18" i="8"/>
  <c r="H44" i="10" s="1"/>
  <c r="M16" i="8"/>
  <c r="H46" i="10" s="1"/>
  <c r="M13" i="8"/>
  <c r="H49" i="10" s="1"/>
  <c r="N49" i="10" s="1"/>
  <c r="M14" i="8"/>
  <c r="H48" i="10" s="1"/>
  <c r="N48" i="10" s="1"/>
  <c r="L18" i="8"/>
  <c r="G44" i="10" s="1"/>
  <c r="L13" i="8"/>
  <c r="G49" i="10" s="1"/>
  <c r="M49" i="10" s="1"/>
  <c r="I17" i="8"/>
  <c r="D45" i="10" s="1"/>
  <c r="J45" i="10" s="1"/>
  <c r="M17" i="8"/>
  <c r="H45" i="10" s="1"/>
  <c r="K17" i="8"/>
  <c r="F45" i="10" s="1"/>
  <c r="L14" i="8"/>
  <c r="G48" i="10" s="1"/>
  <c r="M48" i="10" s="1"/>
  <c r="L12" i="8"/>
  <c r="G50" i="10" s="1"/>
  <c r="M50" i="10" s="1"/>
  <c r="M32" i="8"/>
  <c r="I32" i="8"/>
  <c r="K32" i="8"/>
  <c r="J32" i="8"/>
  <c r="Z84" i="3"/>
  <c r="Z128" i="3"/>
  <c r="V16" i="3" s="1"/>
  <c r="Z125" i="3"/>
  <c r="G47" i="10" l="1"/>
  <c r="E47" i="10"/>
  <c r="F47" i="10"/>
  <c r="M34" i="3"/>
  <c r="M38" i="3" s="1"/>
  <c r="M39" i="3" s="1"/>
  <c r="V18" i="3"/>
  <c r="E155" i="3" s="1"/>
  <c r="V136" i="1"/>
  <c r="M44" i="10"/>
  <c r="L47" i="10"/>
  <c r="L46" i="10"/>
  <c r="M46" i="10"/>
  <c r="K45" i="10"/>
  <c r="N46" i="10"/>
  <c r="N45" i="10"/>
  <c r="J44" i="10"/>
  <c r="K44" i="10"/>
  <c r="N44" i="10"/>
  <c r="K46" i="10"/>
  <c r="K47" i="10"/>
  <c r="M45" i="10"/>
  <c r="L45" i="10"/>
  <c r="J12" i="8"/>
  <c r="E30" i="8"/>
  <c r="E38" i="8" s="1"/>
  <c r="E42" i="8" s="1"/>
  <c r="E43" i="8" s="1"/>
  <c r="K12" i="8"/>
  <c r="F50" i="10" s="1"/>
  <c r="L50" i="10" s="1"/>
  <c r="I12" i="8"/>
  <c r="D50" i="10" s="1"/>
  <c r="J50" i="10" s="1"/>
  <c r="M12" i="8"/>
  <c r="H50" i="10" s="1"/>
  <c r="N50" i="10" s="1"/>
  <c r="M47" i="10" l="1"/>
  <c r="N47" i="10"/>
  <c r="E50" i="10"/>
  <c r="K50" i="10" s="1"/>
  <c r="V19" i="3"/>
  <c r="O1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glenn Rentrop</author>
  </authors>
  <commentList>
    <comment ref="C79" authorId="0" shapeId="0" xr:uid="{5013634E-3DED-4B22-B71C-06D18ABACEDC}">
      <text>
        <r>
          <rPr>
            <b/>
            <sz val="9"/>
            <color indexed="81"/>
            <rFont val="Tahoma"/>
            <family val="2"/>
          </rPr>
          <t>glenn Rentrop:</t>
        </r>
        <r>
          <rPr>
            <sz val="9"/>
            <color indexed="81"/>
            <rFont val="Tahoma"/>
            <family val="2"/>
          </rPr>
          <t xml:space="preserve">
Consolidated Interest Expense (N/A), Gain from release of certain liabilities, loss on deconsolidation of subsidiary, Other </t>
        </r>
      </text>
    </comment>
    <comment ref="C105" authorId="0" shapeId="0" xr:uid="{5BED3441-7A31-4BE4-8151-E2B6A546DF76}">
      <text>
        <r>
          <rPr>
            <b/>
            <sz val="9"/>
            <color indexed="81"/>
            <rFont val="Tahoma"/>
            <family val="2"/>
          </rPr>
          <t>glenn Rentrop:</t>
        </r>
        <r>
          <rPr>
            <sz val="9"/>
            <color indexed="81"/>
            <rFont val="Tahoma"/>
            <family val="2"/>
          </rPr>
          <t xml:space="preserve">
consolidated PP&amp;E and intangible assets
</t>
        </r>
      </text>
    </comment>
    <comment ref="C108" authorId="0" shapeId="0" xr:uid="{7D20AF4E-474E-4C28-85FB-ECBA1D5877CB}">
      <text>
        <r>
          <rPr>
            <b/>
            <sz val="9"/>
            <color indexed="81"/>
            <rFont val="Tahoma"/>
            <family val="2"/>
          </rPr>
          <t>glenn Rentrop:</t>
        </r>
        <r>
          <rPr>
            <sz val="9"/>
            <color indexed="81"/>
            <rFont val="Tahoma"/>
            <family val="2"/>
          </rPr>
          <t xml:space="preserve">
Legacy Item</t>
        </r>
      </text>
    </comment>
    <comment ref="C109" authorId="0" shapeId="0" xr:uid="{1F2B1F3B-0949-4075-BBA0-1793F4B54E99}">
      <text>
        <r>
          <rPr>
            <b/>
            <sz val="9"/>
            <color indexed="81"/>
            <rFont val="Tahoma"/>
            <family val="2"/>
          </rPr>
          <t>glenn Rentrop:</t>
        </r>
        <r>
          <rPr>
            <sz val="9"/>
            <color indexed="81"/>
            <rFont val="Tahoma"/>
            <family val="2"/>
          </rPr>
          <t xml:space="preserve">
Consolidated long &amp; short term portions, prepaid expenses
</t>
        </r>
      </text>
    </comment>
    <comment ref="C119" authorId="0" shapeId="0" xr:uid="{DC60407D-E514-40DA-AF59-8628DB9AC907}">
      <text>
        <r>
          <rPr>
            <b/>
            <sz val="9"/>
            <color indexed="81"/>
            <rFont val="Tahoma"/>
            <family val="2"/>
          </rPr>
          <t>glenn Rentrop:</t>
        </r>
        <r>
          <rPr>
            <sz val="9"/>
            <color indexed="81"/>
            <rFont val="Tahoma"/>
            <family val="2"/>
          </rPr>
          <t xml:space="preserve">
consolidated long &amp; short term portions</t>
        </r>
      </text>
    </comment>
    <comment ref="C120" authorId="0" shapeId="0" xr:uid="{9A4C91D7-F57B-42CE-A72F-273A4FAC2E52}">
      <text>
        <r>
          <rPr>
            <b/>
            <sz val="9"/>
            <color indexed="81"/>
            <rFont val="Tahoma"/>
            <family val="2"/>
          </rPr>
          <t>glenn Rentrop:</t>
        </r>
        <r>
          <rPr>
            <sz val="9"/>
            <color indexed="81"/>
            <rFont val="Tahoma"/>
            <family val="2"/>
          </rPr>
          <t xml:space="preserve">
Consolidated long &amp; short term portions</t>
        </r>
      </text>
    </comment>
    <comment ref="C122" authorId="0" shapeId="0" xr:uid="{D7B69857-1121-4B4C-AD78-E4184095744C}">
      <text>
        <r>
          <rPr>
            <b/>
            <sz val="9"/>
            <color indexed="81"/>
            <rFont val="Tahoma"/>
            <family val="2"/>
          </rPr>
          <t>glenn Rentrop:</t>
        </r>
        <r>
          <rPr>
            <sz val="9"/>
            <color indexed="81"/>
            <rFont val="Tahoma"/>
            <family val="2"/>
          </rPr>
          <t xml:space="preserve">
Consolidated long &amp; short term portions
</t>
        </r>
      </text>
    </comment>
    <comment ref="C146" authorId="0" shapeId="0" xr:uid="{1506474C-5D8E-4B0D-BE17-C1EB52A1A32E}">
      <text>
        <r>
          <rPr>
            <b/>
            <sz val="9"/>
            <color indexed="81"/>
            <rFont val="Tahoma"/>
            <family val="2"/>
          </rPr>
          <t>glenn Rentrop:</t>
        </r>
        <r>
          <rPr>
            <sz val="9"/>
            <color indexed="81"/>
            <rFont val="Tahoma"/>
            <family val="2"/>
          </rPr>
          <t xml:space="preserve">
Loss on extinguishment of debt, amortization of debt discount and debt issuance costs, changes in deferred taxes, remeasurement of acquisition-related contingent consideration, remeasurement of financing-related contingent consideraton, gain on the disposition of hospital products, loss on deconsolidation of subsidiary, gain on the release of certain liabilities,deferred revenue, earn-out payments for contingent consideration in excess of acquisition-date fair value, royalty payments for contingent consideration payable in excess of original fair value</t>
        </r>
      </text>
    </comment>
    <comment ref="C170" authorId="0" shapeId="0" xr:uid="{631638F0-B129-4821-85E4-9E63B6D4555C}">
      <text>
        <r>
          <rPr>
            <b/>
            <sz val="9"/>
            <color indexed="81"/>
            <rFont val="Tahoma"/>
            <family val="2"/>
          </rPr>
          <t>glenn Rentrop:</t>
        </r>
        <r>
          <rPr>
            <sz val="9"/>
            <color indexed="81"/>
            <rFont val="Tahoma"/>
            <family val="2"/>
          </rPr>
          <t xml:space="preserve">
Proceeds from Feb 2020 private placement, may 2020 public offering, April 2023 public offering, royalty purchase agreement, ordingary shares issuance, stock option exercises, employee share purchase plan, feb 2023 notes, october 2023 notes, debt issuance costs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glenn Rentrop</author>
  </authors>
  <commentList>
    <comment ref="C6" authorId="0" shapeId="0" xr:uid="{2260C20A-06DB-47DD-9857-0E1A980FAAD7}">
      <text>
        <r>
          <rPr>
            <b/>
            <sz val="9"/>
            <color indexed="81"/>
            <rFont val="Tahoma"/>
            <family val="2"/>
          </rPr>
          <t>glenn Rentrop:</t>
        </r>
        <r>
          <rPr>
            <sz val="9"/>
            <color indexed="81"/>
            <rFont val="Tahoma"/>
            <family val="2"/>
          </rPr>
          <t xml:space="preserve">
Prevalance 25-50 per 100K
https://karger.com/ned/article/56/5/319/828663/Heterogeneity-in-Estimates-of-Incidence-and?utm_source=chatgpt.com</t>
        </r>
      </text>
    </comment>
    <comment ref="C9" authorId="0" shapeId="0" xr:uid="{9A04A7D0-7DB6-4845-B82F-816D76949D85}">
      <text>
        <r>
          <rPr>
            <b/>
            <sz val="9"/>
            <color indexed="81"/>
            <rFont val="Tahoma"/>
            <family val="2"/>
          </rPr>
          <t>glenn Rentrop:</t>
        </r>
        <r>
          <rPr>
            <sz val="9"/>
            <color indexed="81"/>
            <rFont val="Tahoma"/>
            <family val="2"/>
          </rPr>
          <t xml:space="preserve">
Prevalence globally - 10,3 per 100K
https://www.sciencedirect.com/science/article/pii/S1389945724002284?utm_source=chatgpt.com</t>
        </r>
      </text>
    </comment>
    <comment ref="C13" authorId="0" shapeId="0" xr:uid="{6FDA5A82-EB42-46EC-8FB0-B9462C253026}">
      <text>
        <r>
          <rPr>
            <b/>
            <sz val="9"/>
            <color indexed="81"/>
            <rFont val="Tahoma"/>
            <family val="2"/>
          </rPr>
          <t>glenn Rentrop:</t>
        </r>
        <r>
          <rPr>
            <sz val="9"/>
            <color indexed="81"/>
            <rFont val="Tahoma"/>
            <family val="2"/>
          </rPr>
          <t xml:space="preserve">
per Management (16500 Switches, 16500 Discontinued, 20000 New to Oxybate)
</t>
        </r>
      </text>
    </comment>
    <comment ref="C14" authorId="0" shapeId="0" xr:uid="{E0E813A1-59F5-49F4-817E-74202AC7D4EC}">
      <text>
        <r>
          <rPr>
            <b/>
            <sz val="9"/>
            <color indexed="81"/>
            <rFont val="Tahoma"/>
            <family val="2"/>
          </rPr>
          <t>glenn Rentrop:</t>
        </r>
        <r>
          <rPr>
            <sz val="9"/>
            <color indexed="81"/>
            <rFont val="Tahoma"/>
            <family val="2"/>
          </rPr>
          <t xml:space="preserve">
Growth at rate of U.S. Population growth
https://www.cbo.gov/publication/61164?utm_source=chatgpt.com</t>
        </r>
      </text>
    </comment>
    <comment ref="C16" authorId="0" shapeId="0" xr:uid="{55BCE43C-A5EA-460A-AA83-76592F3EF839}">
      <text>
        <r>
          <rPr>
            <b/>
            <sz val="9"/>
            <color indexed="81"/>
            <rFont val="Tahoma"/>
            <family val="2"/>
          </rPr>
          <t xml:space="preserve">glenn Rentrop: per Bloomberg
</t>
        </r>
      </text>
    </comment>
    <comment ref="C21" authorId="0" shapeId="0" xr:uid="{C3486940-506B-4521-956F-12B5C8950FE0}">
      <text>
        <r>
          <rPr>
            <b/>
            <sz val="9"/>
            <color indexed="81"/>
            <rFont val="Tahoma"/>
            <family val="2"/>
          </rPr>
          <t>glenn Rentrop:</t>
        </r>
        <r>
          <rPr>
            <sz val="9"/>
            <color indexed="81"/>
            <rFont val="Tahoma"/>
            <family val="2"/>
          </rPr>
          <t xml:space="preserve">
Patent Expiration 2037</t>
        </r>
      </text>
    </comment>
    <comment ref="C38" authorId="0" shapeId="0" xr:uid="{55E49CA3-3BB9-4F2A-BD95-140CBADCA364}">
      <text>
        <r>
          <rPr>
            <b/>
            <sz val="9"/>
            <color indexed="81"/>
            <rFont val="Tahoma"/>
            <family val="2"/>
          </rPr>
          <t>glenn Rentrop:</t>
        </r>
        <r>
          <rPr>
            <sz val="9"/>
            <color indexed="81"/>
            <rFont val="Tahoma"/>
            <family val="2"/>
          </rPr>
          <t xml:space="preserve">
Patent expiration 2035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glenn Rentrop</author>
  </authors>
  <commentList>
    <comment ref="V8" authorId="0" shapeId="0" xr:uid="{B688092D-FBAD-46CC-9D2C-6331E578CB54}">
      <text>
        <r>
          <rPr>
            <b/>
            <sz val="9"/>
            <color indexed="81"/>
            <rFont val="Tahoma"/>
            <charset val="1"/>
          </rPr>
          <t>glenn Rentrop:</t>
        </r>
        <r>
          <rPr>
            <sz val="9"/>
            <color indexed="81"/>
            <rFont val="Tahoma"/>
            <charset val="1"/>
          </rPr>
          <t xml:space="preserve">
blended POS of all assets
</t>
        </r>
      </text>
    </comment>
    <comment ref="R9" authorId="0" shapeId="0" xr:uid="{58128DF4-BD4D-4AD5-BEF9-FF0C5687C4FE}">
      <text>
        <r>
          <rPr>
            <b/>
            <sz val="9"/>
            <color indexed="81"/>
            <rFont val="Tahoma"/>
            <family val="2"/>
          </rPr>
          <t>glenn Rentrop:</t>
        </r>
        <r>
          <rPr>
            <sz val="9"/>
            <color indexed="81"/>
            <rFont val="Tahoma"/>
            <family val="2"/>
          </rPr>
          <t xml:space="preserve">
Field force scale, persistency ops, hub throughput.
</t>
        </r>
      </text>
    </comment>
    <comment ref="R10" authorId="0" shapeId="0" xr:uid="{E2966F1A-6061-4CFA-9B46-2C41C7525567}">
      <text>
        <r>
          <rPr>
            <b/>
            <sz val="9"/>
            <color indexed="81"/>
            <rFont val="Tahoma"/>
            <family val="2"/>
          </rPr>
          <t>glenn Rentrop:</t>
        </r>
        <r>
          <rPr>
            <sz val="9"/>
            <color indexed="81"/>
            <rFont val="Tahoma"/>
            <family val="2"/>
          </rPr>
          <t xml:space="preserve">
Net price/GTN, access drag; keep main price curve in ops.</t>
        </r>
      </text>
    </comment>
    <comment ref="R11" authorId="0" shapeId="0" xr:uid="{CDCF1845-5301-4235-A063-BC08C87FC9C6}">
      <text>
        <r>
          <rPr>
            <b/>
            <sz val="9"/>
            <color indexed="81"/>
            <rFont val="Tahoma"/>
            <family val="2"/>
          </rPr>
          <t>glenn Rentrop:</t>
        </r>
        <r>
          <rPr>
            <sz val="9"/>
            <color indexed="81"/>
            <rFont val="Tahoma"/>
            <family val="2"/>
          </rPr>
          <t xml:space="preserve">
Class churn vs XYWAV/others; main share paths stay in ops.</t>
        </r>
      </text>
    </comment>
    <comment ref="R12" authorId="0" shapeId="0" xr:uid="{96FAB721-B87C-41B4-BF84-3285E8FAE8D3}">
      <text>
        <r>
          <rPr>
            <b/>
            <sz val="9"/>
            <color indexed="81"/>
            <rFont val="Tahoma"/>
            <family val="2"/>
          </rPr>
          <t>glenn Rentrop:</t>
        </r>
        <r>
          <rPr>
            <sz val="9"/>
            <color indexed="81"/>
            <rFont val="Tahoma"/>
            <family val="2"/>
          </rPr>
          <t xml:space="preserve">
Captures tail/fade uncertainty beyond your explicit curve.</t>
        </r>
      </text>
    </comment>
    <comment ref="R13" authorId="0" shapeId="0" xr:uid="{06CADF56-0C4F-4523-9F76-6124E8F72995}">
      <text>
        <r>
          <rPr>
            <b/>
            <sz val="9"/>
            <color indexed="81"/>
            <rFont val="Tahoma"/>
            <family val="2"/>
          </rPr>
          <t>glenn Rentrop:</t>
        </r>
        <r>
          <rPr>
            <sz val="9"/>
            <color indexed="81"/>
            <rFont val="Tahoma"/>
            <family val="2"/>
          </rPr>
          <t xml:space="preserve">
Launch slip, label nuance; PoS already handles approval risk.</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glenn Rentrop</author>
  </authors>
  <commentList>
    <comment ref="C21" authorId="0" shapeId="0" xr:uid="{15742472-122C-470F-B933-28318B86B24F}">
      <text>
        <r>
          <rPr>
            <b/>
            <sz val="9"/>
            <color indexed="81"/>
            <rFont val="Tahoma"/>
            <family val="2"/>
          </rPr>
          <t>glenn Rentrop:</t>
        </r>
        <r>
          <rPr>
            <sz val="9"/>
            <color indexed="81"/>
            <rFont val="Tahoma"/>
            <family val="2"/>
          </rPr>
          <t xml:space="preserve">
Due to the loss-making nature of these businesses, placeholder tax rate of 15% is used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glenn Rentrop</author>
  </authors>
  <commentList>
    <comment ref="G11" authorId="0" shapeId="0" xr:uid="{B8DCFB0C-A909-4BB6-B364-889B5EEC08D8}">
      <text>
        <r>
          <rPr>
            <b/>
            <sz val="9"/>
            <color indexed="81"/>
            <rFont val="Tahoma"/>
            <family val="2"/>
          </rPr>
          <t>glenn Rentrop:</t>
        </r>
        <r>
          <rPr>
            <sz val="9"/>
            <color indexed="81"/>
            <rFont val="Tahoma"/>
            <family val="2"/>
          </rPr>
          <t xml:space="preserve">
https://ir.supernus.com/news-releases/news-release-details/supernus-pharmaceuticals-acquire-adamas-pharmaceuticals?utm_source=chatgpt.com</t>
        </r>
      </text>
    </comment>
    <comment ref="G12" authorId="0" shapeId="0" xr:uid="{954BBA55-C157-449F-BDC5-68F14E5A9FEB}">
      <text>
        <r>
          <rPr>
            <b/>
            <sz val="9"/>
            <color indexed="81"/>
            <rFont val="Tahoma"/>
            <family val="2"/>
          </rPr>
          <t>glenn Rentrop:</t>
        </r>
        <r>
          <rPr>
            <sz val="9"/>
            <color indexed="81"/>
            <rFont val="Tahoma"/>
            <family val="2"/>
          </rPr>
          <t xml:space="preserve">
https://www.ucb.com/investors/equity-story?</t>
        </r>
      </text>
    </comment>
    <comment ref="G13" authorId="0" shapeId="0" xr:uid="{1A453938-ADE1-4EBC-B325-B71489D23C7E}">
      <text>
        <r>
          <rPr>
            <b/>
            <sz val="9"/>
            <color indexed="81"/>
            <rFont val="Tahoma"/>
            <family val="2"/>
          </rPr>
          <t>glenn Rentrop:</t>
        </r>
        <r>
          <rPr>
            <sz val="9"/>
            <color indexed="81"/>
            <rFont val="Tahoma"/>
            <family val="2"/>
          </rPr>
          <t xml:space="preserve">
https://journalforclinicalstudies.com/epidiolex-sales-beat-wall-streets-bar-as-gw-pharma-reports-trial-success/?</t>
        </r>
      </text>
    </comment>
    <comment ref="G14" authorId="0" shapeId="0" xr:uid="{5C00FFC5-B8CC-4903-8DC3-05A368801742}">
      <text>
        <r>
          <rPr>
            <b/>
            <sz val="9"/>
            <color indexed="81"/>
            <rFont val="Tahoma"/>
            <family val="2"/>
          </rPr>
          <t>glenn Rentrop:</t>
        </r>
        <r>
          <rPr>
            <sz val="9"/>
            <color indexed="81"/>
            <rFont val="Tahoma"/>
            <family val="2"/>
          </rPr>
          <t xml:space="preserve">
https://visiblealpha.com/blog/biogen-strengthens-neurological-disease-portfolio-with-reata-acquisition/?</t>
        </r>
      </text>
    </comment>
    <comment ref="G15" authorId="0" shapeId="0" xr:uid="{19186CAF-B900-4EFD-8C3D-BB9C2A6B85A3}">
      <text>
        <r>
          <rPr>
            <b/>
            <sz val="9"/>
            <color indexed="81"/>
            <rFont val="Tahoma"/>
            <family val="2"/>
          </rPr>
          <t>glenn Rentrop:</t>
        </r>
        <r>
          <rPr>
            <sz val="9"/>
            <color indexed="81"/>
            <rFont val="Tahoma"/>
            <family val="2"/>
          </rPr>
          <t xml:space="preserve">
https://s206.q4cdn.com/795948973/files/doc_financials/2022/q3/PFE-USQ_Transcript_2022-11-01.pdf?</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glenn Rentrop</author>
  </authors>
  <commentList>
    <comment ref="U15" authorId="0" shapeId="0" xr:uid="{A7E5390A-2CD2-400F-8928-A8CA38D44346}">
      <text>
        <r>
          <rPr>
            <b/>
            <sz val="9"/>
            <color indexed="81"/>
            <rFont val="Tahoma"/>
            <charset val="1"/>
          </rPr>
          <t>glenn Rentrop:</t>
        </r>
        <r>
          <rPr>
            <sz val="9"/>
            <color indexed="81"/>
            <rFont val="Tahoma"/>
            <charset val="1"/>
          </rPr>
          <t xml:space="preserve">
blended POS of all assets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<sst xmlns="http://schemas.openxmlformats.org/spreadsheetml/2006/main" count="1325" uniqueCount="520">
  <si>
    <t>Historical</t>
  </si>
  <si>
    <t>Projected:</t>
  </si>
  <si>
    <t>Units:</t>
  </si>
  <si>
    <t>Company Name:</t>
  </si>
  <si>
    <t>Name</t>
  </si>
  <si>
    <t>Last Fiscal Year:</t>
  </si>
  <si>
    <t>Ticker:</t>
  </si>
  <si>
    <t>Next Fiscal Year:</t>
  </si>
  <si>
    <t>Current Share Price:</t>
  </si>
  <si>
    <t>$ / Share</t>
  </si>
  <si>
    <t>Most Recent Quarter End Date:</t>
  </si>
  <si>
    <t>Diluted Shares Outstanding:</t>
  </si>
  <si>
    <t>M Shares</t>
  </si>
  <si>
    <t>Valuation Date:</t>
  </si>
  <si>
    <t>Effective Tax Rate:</t>
  </si>
  <si>
    <t>%</t>
  </si>
  <si>
    <t>Discount Rate (WACC):</t>
  </si>
  <si>
    <t>LTM Period:</t>
  </si>
  <si>
    <t>Forward Year 1:</t>
  </si>
  <si>
    <t>Conversion Units:</t>
  </si>
  <si>
    <t>#</t>
  </si>
  <si>
    <t>Forward Year 2:</t>
  </si>
  <si>
    <t>Forward Year 3:</t>
  </si>
  <si>
    <t>AVDL</t>
  </si>
  <si>
    <t>Product sales</t>
  </si>
  <si>
    <t>License revenue</t>
  </si>
  <si>
    <t>Cost of products</t>
  </si>
  <si>
    <t>Research and development expenses</t>
  </si>
  <si>
    <t>Selling, general and administrative expenses</t>
  </si>
  <si>
    <t>Total operating expenses</t>
  </si>
  <si>
    <t>Investment and other (expense) income, net</t>
  </si>
  <si>
    <t>Net income (loss)</t>
  </si>
  <si>
    <t>Net income (loss) per share - basic</t>
  </si>
  <si>
    <t>Net income (loss) per share - diluted</t>
  </si>
  <si>
    <t>Weighted average number of shares outstanding - basic</t>
  </si>
  <si>
    <t>Weighted average number of shares outstanding - diluted</t>
  </si>
  <si>
    <t>ASSETS</t>
  </si>
  <si>
    <t>Cash and cash equivalents</t>
  </si>
  <si>
    <t>Marketable securities</t>
  </si>
  <si>
    <t>Accounts receivable, net</t>
  </si>
  <si>
    <t>Inventories, net</t>
  </si>
  <si>
    <t>Research and development tax credit receivable</t>
  </si>
  <si>
    <t>Total current assets</t>
  </si>
  <si>
    <t>Property and equipment, net</t>
  </si>
  <si>
    <t>Goodwill</t>
  </si>
  <si>
    <t>Other non-current assets</t>
  </si>
  <si>
    <t>Total assets</t>
  </si>
  <si>
    <t>Accounts payable</t>
  </si>
  <si>
    <t>Accrued expenses</t>
  </si>
  <si>
    <t>Total current liabilities</t>
  </si>
  <si>
    <t>Long-term debt</t>
  </si>
  <si>
    <t>Long-term operating lease liability</t>
  </si>
  <si>
    <t>Royalty financing obligation</t>
  </si>
  <si>
    <t>Total liabilities</t>
  </si>
  <si>
    <t>Preferred shares, nominal value $0.01</t>
  </si>
  <si>
    <t>Ordinary shares, nominal value $0.01</t>
  </si>
  <si>
    <t>Treasury shares, at cost</t>
  </si>
  <si>
    <t>Additional paid-in capital</t>
  </si>
  <si>
    <t>Accumulated deficit</t>
  </si>
  <si>
    <t>Accumulated other comprehensive loss</t>
  </si>
  <si>
    <t>Total shareholders' equity (deficit)</t>
  </si>
  <si>
    <t>Total liabilities and shareholders' equity</t>
  </si>
  <si>
    <t>Depreciation and amortization</t>
  </si>
  <si>
    <t>Share-based compensation expense</t>
  </si>
  <si>
    <t>Other adjustments</t>
  </si>
  <si>
    <t>Accounts receivable</t>
  </si>
  <si>
    <t>Inventories</t>
  </si>
  <si>
    <t>Other assets and liabilities</t>
  </si>
  <si>
    <t>Net cash used in operating activities</t>
  </si>
  <si>
    <t>Purchases of property and equipment</t>
  </si>
  <si>
    <t>Proceeds from sales of marketable securities</t>
  </si>
  <si>
    <t>Purchases of marketable securities</t>
  </si>
  <si>
    <t>Other Expenses</t>
  </si>
  <si>
    <t>LIABILITIES AND SHAREHOLDERS' EQUITY</t>
  </si>
  <si>
    <t>Operating lease ROU assets</t>
  </si>
  <si>
    <t>Balance Check</t>
  </si>
  <si>
    <t>Net (loss) income</t>
  </si>
  <si>
    <t>Net changes in assets and liabilities</t>
  </si>
  <si>
    <t>Cash Flows from Investing Activities</t>
  </si>
  <si>
    <t>Proceeds from disposal of property and equipment</t>
  </si>
  <si>
    <t>Proceeds from the disposition of the Hospital Products</t>
  </si>
  <si>
    <t>Net cash (used in) provided by investing activities</t>
  </si>
  <si>
    <t>Cash Flows from Financing Activities</t>
  </si>
  <si>
    <t>Net cash provided by (used in) financing activities</t>
  </si>
  <si>
    <t>Effect of foreign currency exchange rate changes on cash and cash equivalents</t>
  </si>
  <si>
    <t>Net change in cash and cash equivalents</t>
  </si>
  <si>
    <t>Cash and cash equivalents at January 1</t>
  </si>
  <si>
    <t>Cash and cash equivalents at December 31</t>
  </si>
  <si>
    <t>Supplemental disclosures of cash flow information:</t>
  </si>
  <si>
    <t>Cash Flows From Operating Activities:</t>
  </si>
  <si>
    <t>Accounts payable &amp; other current liabilities</t>
  </si>
  <si>
    <t>Income taxes paid (refund), net</t>
  </si>
  <si>
    <t>Interest paid</t>
  </si>
  <si>
    <t>LUMRYZ</t>
  </si>
  <si>
    <t>$T</t>
  </si>
  <si>
    <t>Scenario:</t>
  </si>
  <si>
    <t>Base</t>
  </si>
  <si>
    <t>Terminal Value - Multiples Method:</t>
  </si>
  <si>
    <t>Median CY 26 TEV / EBITDA of Comps:</t>
  </si>
  <si>
    <t>Median CY 26 TEV / EBITDA of Target:</t>
  </si>
  <si>
    <t>Baseline Terminal EBITDA Multiple:</t>
  </si>
  <si>
    <t>Upside</t>
  </si>
  <si>
    <t>Downside</t>
  </si>
  <si>
    <t>Baseline Terminal Value:</t>
  </si>
  <si>
    <t>Current Equity Value:</t>
  </si>
  <si>
    <t>Implied Terminal FCF Growth Rate:</t>
  </si>
  <si>
    <t>(-) Cash &amp; Investments:</t>
  </si>
  <si>
    <t>(-) Net Operating Losses:</t>
  </si>
  <si>
    <t xml:space="preserve">(+) Present Value of Terminal Value: </t>
  </si>
  <si>
    <t>(+) Debt &amp; Finance Leases:</t>
  </si>
  <si>
    <t>(+) Present Value of UFCF:</t>
  </si>
  <si>
    <t>(+) Preferred Stock:</t>
  </si>
  <si>
    <t xml:space="preserve">Implied Enterprise Value: </t>
  </si>
  <si>
    <t>(+) Operating Leases:</t>
  </si>
  <si>
    <t>(+) Noncontrolling Interests:</t>
  </si>
  <si>
    <t>% of implied TEV from Terminal Value:</t>
  </si>
  <si>
    <t>(+) Unfunded Pensions:</t>
  </si>
  <si>
    <t>Current Enterprise Value:</t>
  </si>
  <si>
    <t>(+) Cash and Investments:</t>
  </si>
  <si>
    <t>(+) Net Operating Losses:</t>
  </si>
  <si>
    <t>(-)Debt and Finance Leases:</t>
  </si>
  <si>
    <t>(-)Preferred Stock:</t>
  </si>
  <si>
    <t>(-) Operating Leases:</t>
  </si>
  <si>
    <t>(-) Noncontrolling Interests:</t>
  </si>
  <si>
    <t>(-)Unfunded Pensions:</t>
  </si>
  <si>
    <t xml:space="preserve">Implied Equity Value: </t>
  </si>
  <si>
    <t>Implied Share Price from DCF:</t>
  </si>
  <si>
    <t>Premium / (Discount) to Current:</t>
  </si>
  <si>
    <t>Net Change in Working Capital:</t>
  </si>
  <si>
    <t>Revenue:</t>
  </si>
  <si>
    <t>Operating Income (EBIT):</t>
  </si>
  <si>
    <t>(-) Taxes, Excluding Effect of Interest:</t>
  </si>
  <si>
    <t>Adjustments for Non-Cash Charges:</t>
  </si>
  <si>
    <t>EBITDA:</t>
  </si>
  <si>
    <t>EBITDA Margin:</t>
  </si>
  <si>
    <t>Sensitivity Analyses</t>
  </si>
  <si>
    <t>Discount Rate: (WACC)</t>
  </si>
  <si>
    <t>Total Revenue</t>
  </si>
  <si>
    <t>Avadel Pharmaceuticals, PLC</t>
  </si>
  <si>
    <t>EBIT (Operating Income)</t>
  </si>
  <si>
    <t>Other</t>
  </si>
  <si>
    <t>Other liabilities</t>
  </si>
  <si>
    <t>N/A</t>
  </si>
  <si>
    <t>LTM</t>
  </si>
  <si>
    <t>(+) Depreciation &amp; Amortization:</t>
  </si>
  <si>
    <t>Balance Sheet Data:</t>
  </si>
  <si>
    <t>(-) Cash &amp; Cash-Equivalents:</t>
  </si>
  <si>
    <t>(-) Equity Investments:</t>
  </si>
  <si>
    <t>(-) Other Non-Core Assets, Net:</t>
  </si>
  <si>
    <t>(+) Debt &amp; Capital Leases:</t>
  </si>
  <si>
    <t>(+) Unfunded Pension Obligations:</t>
  </si>
  <si>
    <t>(+) Restructuring &amp; Other Liabilities:</t>
  </si>
  <si>
    <t>Diluted Shares Calculations:</t>
  </si>
  <si>
    <t>Share Price:</t>
  </si>
  <si>
    <t>Common Shares Outstanding:</t>
  </si>
  <si>
    <t>Options and Warrants:</t>
  </si>
  <si>
    <t>Total</t>
  </si>
  <si>
    <t>Strike</t>
  </si>
  <si>
    <t>Dilution</t>
  </si>
  <si>
    <t>Convertible Bonds:</t>
  </si>
  <si>
    <t>$ Amount</t>
  </si>
  <si>
    <t>Par Value</t>
  </si>
  <si>
    <t>Conv. Price</t>
  </si>
  <si>
    <t># RSUs</t>
  </si>
  <si>
    <t>Restricted Stock Units (RSUs):</t>
  </si>
  <si>
    <t>Total Diluted Shares:</t>
  </si>
  <si>
    <t>Valuation Metrics:</t>
  </si>
  <si>
    <t>Equity Value:</t>
  </si>
  <si>
    <t>Enterprise Value:</t>
  </si>
  <si>
    <t>Levered Beta:</t>
  </si>
  <si>
    <t>Valuation Multiples:</t>
  </si>
  <si>
    <t>Lookup Variables:</t>
  </si>
  <si>
    <t>Year 1 Projected Revenue Growth:</t>
  </si>
  <si>
    <t>Corporate Website:</t>
  </si>
  <si>
    <t>Income Statement</t>
  </si>
  <si>
    <t>Cost of products % Revenue</t>
  </si>
  <si>
    <t>Research and development expenses % Revenue</t>
  </si>
  <si>
    <t>Selling, general and administrative expenses % Revenue</t>
  </si>
  <si>
    <t>COGS</t>
  </si>
  <si>
    <t>SG&amp;A</t>
  </si>
  <si>
    <t>R&amp;D</t>
  </si>
  <si>
    <t>EBITDA</t>
  </si>
  <si>
    <t>Other Items</t>
  </si>
  <si>
    <t>Investment and other (expense) income, net % Cash</t>
  </si>
  <si>
    <t>Income tax</t>
  </si>
  <si>
    <t>EBT (Income / Loss before taxes)</t>
  </si>
  <si>
    <t>Balance Sheet</t>
  </si>
  <si>
    <t>Days</t>
  </si>
  <si>
    <t>Marketable securities % Net Income</t>
  </si>
  <si>
    <t>IH Approval:</t>
  </si>
  <si>
    <t>$T / OK!</t>
  </si>
  <si>
    <t>other non-current assets</t>
  </si>
  <si>
    <t>Operating Lease and other financing activities, net</t>
  </si>
  <si>
    <t>JAZZ</t>
  </si>
  <si>
    <t>Jazz Pharmaceuticals, PLC</t>
  </si>
  <si>
    <t>BIIB</t>
  </si>
  <si>
    <t>Biogen Inc.</t>
  </si>
  <si>
    <t>Operating Metrics</t>
  </si>
  <si>
    <t>Valuation Multiples</t>
  </si>
  <si>
    <t>Share Prices</t>
  </si>
  <si>
    <t>Premiums Paid</t>
  </si>
  <si>
    <t>Transaction</t>
  </si>
  <si>
    <t xml:space="preserve">EV / </t>
  </si>
  <si>
    <t>Enterprise</t>
  </si>
  <si>
    <t>Offer</t>
  </si>
  <si>
    <t>1-Day</t>
  </si>
  <si>
    <t>1-Week</t>
  </si>
  <si>
    <t>1-Month</t>
  </si>
  <si>
    <t>Acquirer Name</t>
  </si>
  <si>
    <t>Target Name</t>
  </si>
  <si>
    <t>Date</t>
  </si>
  <si>
    <t>Value</t>
  </si>
  <si>
    <t>Revenue</t>
  </si>
  <si>
    <t>Price</t>
  </si>
  <si>
    <t>Prior</t>
  </si>
  <si>
    <t>Maximum</t>
  </si>
  <si>
    <t>75th Percentile</t>
  </si>
  <si>
    <t>Median</t>
  </si>
  <si>
    <t>25th Percentile</t>
  </si>
  <si>
    <t>Minimum</t>
  </si>
  <si>
    <t>ABBV</t>
  </si>
  <si>
    <t>CPRX</t>
  </si>
  <si>
    <t>AMGN</t>
  </si>
  <si>
    <t>($ USD in Millions Except Per Share Amounts in USD as Stated)</t>
  </si>
  <si>
    <t>Operating Statistics:</t>
  </si>
  <si>
    <t>Capitalization</t>
  </si>
  <si>
    <t>Projected</t>
  </si>
  <si>
    <t>Share</t>
  </si>
  <si>
    <t>Diluted</t>
  </si>
  <si>
    <t>Equity</t>
  </si>
  <si>
    <t>Other &amp;</t>
  </si>
  <si>
    <t>Net Income</t>
  </si>
  <si>
    <t>EBITDA Margin</t>
  </si>
  <si>
    <t>Company Name</t>
  </si>
  <si>
    <t>Ticker</t>
  </si>
  <si>
    <t>Shares</t>
  </si>
  <si>
    <t xml:space="preserve">Value </t>
  </si>
  <si>
    <t>Beta</t>
  </si>
  <si>
    <t>Tax Rate</t>
  </si>
  <si>
    <t>Cash</t>
  </si>
  <si>
    <t>Debt</t>
  </si>
  <si>
    <t>Preferred</t>
  </si>
  <si>
    <t>NCI</t>
  </si>
  <si>
    <t>Growth</t>
  </si>
  <si>
    <t>Valuation Statistics:</t>
  </si>
  <si>
    <t>75th</t>
  </si>
  <si>
    <t>25th</t>
  </si>
  <si>
    <t>Applicable</t>
  </si>
  <si>
    <t>Percentile</t>
  </si>
  <si>
    <t>Company</t>
  </si>
  <si>
    <t>Methodology Name</t>
  </si>
  <si>
    <t>Multiple</t>
  </si>
  <si>
    <t>Figure</t>
  </si>
  <si>
    <t>Public Company Comparables:</t>
  </si>
  <si>
    <t>Precedent Transactions:</t>
  </si>
  <si>
    <t>1-Day Premiums:</t>
  </si>
  <si>
    <t>1-Week Premiums:</t>
  </si>
  <si>
    <t>1-Month Premiums:</t>
  </si>
  <si>
    <t>Implied Enterprise Value:</t>
  </si>
  <si>
    <t>Enterprise Value --&gt;</t>
  </si>
  <si>
    <t>Equity Value --&gt;</t>
  </si>
  <si>
    <t>Discount Rate Calculations - Assumptions:</t>
  </si>
  <si>
    <t>Risk-Free Rate:</t>
  </si>
  <si>
    <t>Equity Risk Premium:</t>
  </si>
  <si>
    <t>Pre-Tax Cost of Debt:</t>
  </si>
  <si>
    <t>Cost of Preferred Stock:</t>
  </si>
  <si>
    <t>Comparable Companies - Unlevered Beta Calculation:</t>
  </si>
  <si>
    <t>Levered</t>
  </si>
  <si>
    <t>Unlevered</t>
  </si>
  <si>
    <t>% Debt</t>
  </si>
  <si>
    <t>Stock</t>
  </si>
  <si>
    <t>% Preferred</t>
  </si>
  <si>
    <t>% Equity</t>
  </si>
  <si>
    <t>Median:</t>
  </si>
  <si>
    <t>Current Capital Structure:</t>
  </si>
  <si>
    <t>"Optimal" Capital Structure:</t>
  </si>
  <si>
    <t>Cost of Equity Based on Comparables, Current Capital Structure:</t>
  </si>
  <si>
    <t>Cost of Equity Based on Comparables, "Optimal" Capital Structure:</t>
  </si>
  <si>
    <t>Cost of Equity Based on Historical Beta:</t>
  </si>
  <si>
    <t>WACC, Current Capital Structure:</t>
  </si>
  <si>
    <t>WACC, "Optimal" Capital Structure:</t>
  </si>
  <si>
    <t>WACC, Current Capital Structure and Historical Cost of Equity:</t>
  </si>
  <si>
    <t>Average WACC Produced by All Methods:</t>
  </si>
  <si>
    <t>https://www.avadel.com/</t>
  </si>
  <si>
    <t>Min</t>
  </si>
  <si>
    <t>Max</t>
  </si>
  <si>
    <t>Current Share Price</t>
  </si>
  <si>
    <t>FY24 - Q3</t>
  </si>
  <si>
    <t>Annual Revenue Growth Rate:</t>
  </si>
  <si>
    <t>Annual Operating Margin:</t>
  </si>
  <si>
    <t>Net Operating Profit After Tax (NOPAT):</t>
  </si>
  <si>
    <t>(+/-) Deferred Income Taxes:</t>
  </si>
  <si>
    <t>(+/-) Other Operating Activities:</t>
  </si>
  <si>
    <t>Total Adjustments for Non-Cash Charges:</t>
  </si>
  <si>
    <t>Accounts Receivable:</t>
  </si>
  <si>
    <t>Inventories:</t>
  </si>
  <si>
    <t>Prepaid Expenses and Other Current Assets:</t>
  </si>
  <si>
    <t>Accounts Payable:</t>
  </si>
  <si>
    <t>Accrued Liabilities:</t>
  </si>
  <si>
    <t>Total Net Change in Working Capital:</t>
  </si>
  <si>
    <t>(-) Capital Expenditures and Acquisitions:</t>
  </si>
  <si>
    <t>Q3 Unlevered Free Cash Flow:</t>
  </si>
  <si>
    <t>Units</t>
  </si>
  <si>
    <t>Year</t>
  </si>
  <si>
    <t>Current Region Selected:</t>
  </si>
  <si>
    <t>Status:</t>
  </si>
  <si>
    <t>Rev. Multiples:</t>
  </si>
  <si>
    <t>EBITDA Multiples:</t>
  </si>
  <si>
    <t>Data for Graphs (Sorted by revenue growth in ascending order):</t>
  </si>
  <si>
    <t>Revenue Growth:</t>
  </si>
  <si>
    <t>EBITDA Growth:</t>
  </si>
  <si>
    <t>Year 2 Rev. Multiple:</t>
  </si>
  <si>
    <t>Year 2 EBITDA Multiple:</t>
  </si>
  <si>
    <t>Helper</t>
  </si>
  <si>
    <t>Share Price</t>
  </si>
  <si>
    <t>Volume</t>
  </si>
  <si>
    <t>Summary of Operational Performance:</t>
  </si>
  <si>
    <t>CAGR:</t>
  </si>
  <si>
    <t>Revenue Growth</t>
  </si>
  <si>
    <t>Gross Profit</t>
  </si>
  <si>
    <t>Profit Margin</t>
  </si>
  <si>
    <t>Net income per share: Diluted</t>
  </si>
  <si>
    <t>$ as Stated</t>
  </si>
  <si>
    <t>Total Assets</t>
  </si>
  <si>
    <t>Long-Term Debt</t>
  </si>
  <si>
    <t>Summary of Valuation Multiples:</t>
  </si>
  <si>
    <t>EV / Revenue - Comparables:</t>
  </si>
  <si>
    <t>x</t>
  </si>
  <si>
    <t>Projected Revenue Growth - Comparables:</t>
  </si>
  <si>
    <t>Total Revenues</t>
  </si>
  <si>
    <t>Model Name:</t>
  </si>
  <si>
    <t>Author:</t>
  </si>
  <si>
    <t>Glenn Rentrop</t>
  </si>
  <si>
    <t>File Name:</t>
  </si>
  <si>
    <t>Analysis Date:</t>
  </si>
  <si>
    <t>Navigation, Summary, or Graph Worksheet:</t>
  </si>
  <si>
    <t>Financial Model Worksheet:</t>
  </si>
  <si>
    <t>Data and Back-End Calculation Worksheet:</t>
  </si>
  <si>
    <t>Sheet Name</t>
  </si>
  <si>
    <t>Link to Sheet</t>
  </si>
  <si>
    <t>Model and Valuation Summary</t>
  </si>
  <si>
    <t>Summary</t>
  </si>
  <si>
    <t>Graphs and Dashboard</t>
  </si>
  <si>
    <t>Graphs</t>
  </si>
  <si>
    <t>Operating Scenarios and 3-Statement Model</t>
  </si>
  <si>
    <t>Model</t>
  </si>
  <si>
    <t>Stub Period Results from Q1</t>
  </si>
  <si>
    <t>Discounted Cash Flow Analysis and Sensitivities</t>
  </si>
  <si>
    <t>Weighted Average Cost of Capital (WACC) Calculations</t>
  </si>
  <si>
    <t>WACC</t>
  </si>
  <si>
    <t>Valuation Summary - Back-End Calculations</t>
  </si>
  <si>
    <t>ValSum</t>
  </si>
  <si>
    <t>Valuation "Football Field" Chart</t>
  </si>
  <si>
    <t>ValGraph</t>
  </si>
  <si>
    <t>Comparable Public Companies - Output</t>
  </si>
  <si>
    <t>PubComps</t>
  </si>
  <si>
    <t>Comparable Public Companies - Data and Calculations</t>
  </si>
  <si>
    <t>Precedent Transactions</t>
  </si>
  <si>
    <t>MAComps</t>
  </si>
  <si>
    <t>Cover</t>
  </si>
  <si>
    <t>Operating Model and Valuation (10-Year Forecast)</t>
  </si>
  <si>
    <t>Historical:</t>
  </si>
  <si>
    <t>($ in Millions Except Per Share and Per Unit Data)</t>
  </si>
  <si>
    <t>VALILOXYBATE</t>
  </si>
  <si>
    <t>Narcolepsy (diagnosed)</t>
  </si>
  <si>
    <t>Idiopathic hypersomnia (diagnosed)</t>
  </si>
  <si>
    <t>% Growth</t>
  </si>
  <si>
    <t>Narcolepsy</t>
  </si>
  <si>
    <t>Idiopathic Hypersomnia</t>
  </si>
  <si>
    <t>LUMRYZ Revenue</t>
  </si>
  <si>
    <t>VALILOXYBATE Revenue</t>
  </si>
  <si>
    <t>Risk-Adjusted Net Present Value - Output</t>
  </si>
  <si>
    <t>NPV of rFCFs</t>
  </si>
  <si>
    <t>Probability of Success</t>
  </si>
  <si>
    <t>NPV of FCF</t>
  </si>
  <si>
    <t>Diluted Shares Outstanding</t>
  </si>
  <si>
    <t>Implied Share Price</t>
  </si>
  <si>
    <t>rNPV</t>
  </si>
  <si>
    <t>Shares Outstanding</t>
  </si>
  <si>
    <t>Implied Price per Share</t>
  </si>
  <si>
    <t>$</t>
  </si>
  <si>
    <t>EBIT</t>
  </si>
  <si>
    <t>Tax</t>
  </si>
  <si>
    <t>NOPAT</t>
  </si>
  <si>
    <t>CapEx</t>
  </si>
  <si>
    <t>D&amp;A</t>
  </si>
  <si>
    <t>Free Cash Flow</t>
  </si>
  <si>
    <t>margin</t>
  </si>
  <si>
    <t>rFCF</t>
  </si>
  <si>
    <t>Average Selling Price (ASP)</t>
  </si>
  <si>
    <t>ASP</t>
  </si>
  <si>
    <t>UNITED STATES</t>
  </si>
  <si>
    <t>GLOBAL</t>
  </si>
  <si>
    <t>Narcolepsy - effective penetration</t>
  </si>
  <si>
    <t>Idiopathic Hypersomnia - effective penetration</t>
  </si>
  <si>
    <t>LUMRYZ patients</t>
  </si>
  <si>
    <t>VALILOXYBATE patients</t>
  </si>
  <si>
    <t>Approved</t>
  </si>
  <si>
    <t>Change in royalty financing obligation</t>
  </si>
  <si>
    <t>CONSOLIDATED</t>
  </si>
  <si>
    <t>LUMRYZ - NARCOLEPSY</t>
  </si>
  <si>
    <t>Royalty Rate</t>
  </si>
  <si>
    <t>VALILOXYBATE - NARCOLEPSEY</t>
  </si>
  <si>
    <t>LUMRYZ - IDIOPATHIC HYPERSOMNIA</t>
  </si>
  <si>
    <t>VALILOXYBATE - IDIOPATHIC HYPERSOMNIA</t>
  </si>
  <si>
    <t>Drivers</t>
  </si>
  <si>
    <t>Revenue Drivers</t>
  </si>
  <si>
    <t>NPV</t>
  </si>
  <si>
    <t>Change in Working Capital</t>
  </si>
  <si>
    <t>DRIVERS</t>
  </si>
  <si>
    <t>Net Present Value of Sum of The Parts - Output</t>
  </si>
  <si>
    <t>Net Present Value of Consolidated Assets- Output</t>
  </si>
  <si>
    <t>% reimbursal rate</t>
  </si>
  <si>
    <t>Effective Revenue</t>
  </si>
  <si>
    <t>Projected Financials</t>
  </si>
  <si>
    <t>Peak sales</t>
  </si>
  <si>
    <t>Peak Sales</t>
  </si>
  <si>
    <t>Net margin (Peak Yr, capped)</t>
  </si>
  <si>
    <t>Discount Factor (WACC, std)</t>
  </si>
  <si>
    <t>Years to Peak</t>
  </si>
  <si>
    <t>R&amp;D expense</t>
  </si>
  <si>
    <t>Peak Sales EV/rNPV</t>
  </si>
  <si>
    <t>EV/R&amp;D</t>
  </si>
  <si>
    <t>Forward EV/Rev</t>
  </si>
  <si>
    <t>Year 1 Projected  R&amp;D change:</t>
  </si>
  <si>
    <t>HRMY</t>
  </si>
  <si>
    <t>SUPN</t>
  </si>
  <si>
    <t>AXSM</t>
  </si>
  <si>
    <t>ACAD</t>
  </si>
  <si>
    <t>ACADIA Pharmaceuticals, Inc</t>
  </si>
  <si>
    <t>Axsome Therapeutics, Inc</t>
  </si>
  <si>
    <t>Catalyst Pharmaceuticals, Inc</t>
  </si>
  <si>
    <t>Supernus Pharmaceuticals, Inc</t>
  </si>
  <si>
    <t>Harmony Biosciences Holdings, Inc</t>
  </si>
  <si>
    <t>Revenue Weight of Asset</t>
  </si>
  <si>
    <t>Narcolepsy (eligible)</t>
  </si>
  <si>
    <t>Idiopathic hypersomnia (eligible, without spontaneous remission)</t>
  </si>
  <si>
    <t>Valiloxybate:</t>
  </si>
  <si>
    <t>https://www.jazzpharma.com/</t>
  </si>
  <si>
    <t>https://www.supernus.com/</t>
  </si>
  <si>
    <t>https://www.harmonybiosciences.com/</t>
  </si>
  <si>
    <t>https://www.catalystbiosciences.com/</t>
  </si>
  <si>
    <t>https://www.axsome.com/</t>
  </si>
  <si>
    <t>https://acadia.com/en-us</t>
  </si>
  <si>
    <t>TEV/</t>
  </si>
  <si>
    <t>R&amp;D Expense</t>
  </si>
  <si>
    <t>TEV/rNPV</t>
  </si>
  <si>
    <t>EV/Peak Sales</t>
  </si>
  <si>
    <t>Risk-adjusted Net Present Value Analysis:</t>
  </si>
  <si>
    <t>(8% - 13% WACC)</t>
  </si>
  <si>
    <t>Implied Enterprise Value or Equity Value at a Range of Multiples:</t>
  </si>
  <si>
    <t>Implied Share Price from NPV:</t>
  </si>
  <si>
    <t>($ in Millions Except Per Share and Per Unit Data) - All Figures Sourced from Capital IQ unless otherwise noted</t>
  </si>
  <si>
    <t>Peak</t>
  </si>
  <si>
    <t>Sales</t>
  </si>
  <si>
    <t>Pfizer Inc.</t>
  </si>
  <si>
    <t>Gurnet Point Capital, LTD + Patient Square Capital, LP</t>
  </si>
  <si>
    <t>Radius Health, Inc.</t>
  </si>
  <si>
    <t>Execution (commercial)</t>
  </si>
  <si>
    <t>Pricing/Reimbursement</t>
  </si>
  <si>
    <t>Competitive/Erosion (pre-LOE)</t>
  </si>
  <si>
    <t>LOE/Patent Fade Uncertainty</t>
  </si>
  <si>
    <t>Pipeline Timing / Label Risk</t>
  </si>
  <si>
    <t>TEV /</t>
  </si>
  <si>
    <t>Supernus Pharmaceuticals, Inc.</t>
  </si>
  <si>
    <t>Adamas Pharmaceuticals, Inc.</t>
  </si>
  <si>
    <t>UCB BioSciences, Inc.</t>
  </si>
  <si>
    <t>Zogenix, Inc.</t>
  </si>
  <si>
    <t>Jazz Pharmaceuticals, Inc.</t>
  </si>
  <si>
    <t>GW Pharmaceuticals, Plc</t>
  </si>
  <si>
    <t>Reata Pharmaceuticals, Inc.</t>
  </si>
  <si>
    <t>Biohaven Pharmaceutical Holding Company Ltd.</t>
  </si>
  <si>
    <t>2025-03-31 EV / Revenue:</t>
  </si>
  <si>
    <t>2028/12/31 TEV / R&amp;D:</t>
  </si>
  <si>
    <t>2027/12/31 TEV / R&amp;D:</t>
  </si>
  <si>
    <t>2026/12/31 TEV / R&amp;D:</t>
  </si>
  <si>
    <t>2028/12/31 TEV / Revenue:</t>
  </si>
  <si>
    <t>2027/12/31 TEV / Revenue:</t>
  </si>
  <si>
    <t>2026/12/31 TEV / Revenue:</t>
  </si>
  <si>
    <t>TEV / R&amp;D - Comparables:</t>
  </si>
  <si>
    <t>TEV / rNPV - Comparables:</t>
  </si>
  <si>
    <t>(7.5% - 12.5% WACC)</t>
  </si>
  <si>
    <t>PubComps_Data</t>
  </si>
  <si>
    <t>Reported Income Statement and Cash Flow Statement Figures from Q2:</t>
  </si>
  <si>
    <t>Comparable Companies - Biotech Focused on Sleep Disorder Treatment</t>
  </si>
  <si>
    <t>Precedent Transactions - Small to Midcap Biotech Transactions</t>
  </si>
  <si>
    <t>Announced Between February, 2023 and July 28th, 2023</t>
  </si>
  <si>
    <t>Legal Landscape</t>
  </si>
  <si>
    <t>Settlement</t>
  </si>
  <si>
    <t>NOL Utilization Limit (% of EBT)</t>
  </si>
  <si>
    <t>Cash Taxes Payable</t>
  </si>
  <si>
    <t>Taxable Income After NOL</t>
  </si>
  <si>
    <t>Other NOL Adjustments</t>
  </si>
  <si>
    <t>Beginning Balance</t>
  </si>
  <si>
    <t>Ending Balance</t>
  </si>
  <si>
    <t>(+) NOLs Created</t>
  </si>
  <si>
    <t>(-) NOLs Used</t>
  </si>
  <si>
    <t>Historical noncash Items</t>
  </si>
  <si>
    <t>Litigation Settlement</t>
  </si>
  <si>
    <t>Trial / No Change</t>
  </si>
  <si>
    <t>Royalty Expense</t>
  </si>
  <si>
    <t>Royalty Rate Jazz</t>
  </si>
  <si>
    <t>Royalty Rate XW</t>
  </si>
  <si>
    <t>Jazz Pharmaceuticals estimate</t>
  </si>
  <si>
    <t>Trial</t>
  </si>
  <si>
    <t xml:space="preserve">Probability of Success </t>
  </si>
  <si>
    <t xml:space="preserve">Discount </t>
  </si>
  <si>
    <t>SOTP</t>
  </si>
  <si>
    <t>Consolidated</t>
  </si>
  <si>
    <t>Comparable Companies Analysis</t>
  </si>
  <si>
    <t>Precedent Transactions Analysis</t>
  </si>
  <si>
    <t>Premiums</t>
  </si>
  <si>
    <t>rNPV - Consolidated Model and Sum of The Parts Output</t>
  </si>
  <si>
    <t>Probability</t>
  </si>
  <si>
    <t>Of</t>
  </si>
  <si>
    <t>Success</t>
  </si>
  <si>
    <t>Sensitivity Analysis</t>
  </si>
  <si>
    <t>LUMRYZ &amp; VALILOXYBATE</t>
  </si>
  <si>
    <t>TEV / Peak Sales</t>
  </si>
  <si>
    <t>Q1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</si>
</sst>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FY&quot;\ yy"/>
    <numFmt numFmtId="165" formatCode="_(* #,##0.0_);_(* \(#,##0.0\);_(* &quot;-&quot;?_);_(@_)"/>
    <numFmt numFmtId="166" formatCode="_([$$-409]* #,##0.00_);_([$$-409]* \(#,##0.00\);_([$$-409]* &quot;-&quot;??_);_(@_)"/>
    <numFmt numFmtId="167" formatCode="_(* #,##0_);_(* \(#,##0\);_(* &quot;-&quot;???_);_(@_)"/>
    <numFmt numFmtId="168" formatCode="0.0%;\(0.0%\)"/>
    <numFmt numFmtId="169" formatCode="_(#,##0.00%_);\(#,##0.00%\);_(&quot;–&quot;_)_%;_(@_)_%"/>
    <numFmt numFmtId="170" formatCode="_(* #,##0_);_(* \(#,##0\);_(* &quot;-&quot;????_);_(@_)"/>
    <numFmt numFmtId="171" formatCode="yyyy\-mm\-dd"/>
    <numFmt numFmtId="172" formatCode="#,##0_);\(#,##0\);&quot;OK!&quot;;&quot;Error&quot;"/>
    <numFmt numFmtId="173" formatCode="_(0.0\ \x_);\(0.0\ \x\);_(&quot;–&quot;_);_(@_)"/>
    <numFmt numFmtId="174" formatCode="0.0%"/>
    <numFmt numFmtId="175" formatCode="_(&quot;$&quot;* #,##0.0_);_(&quot;$&quot;* \(#,##0.0\);_(&quot;$&quot;* &quot;-&quot;?_);_(@_)"/>
    <numFmt numFmtId="176" formatCode="0.0\ \x"/>
    <numFmt numFmtId="177" formatCode="_(&quot;$&quot;* #,##0_);_(&quot;$&quot;* \(#,##0\);_(&quot;$&quot;* &quot;-&quot;?_);_(@_)"/>
    <numFmt numFmtId="178" formatCode="0.00%;\(0.00%\)"/>
    <numFmt numFmtId="179" formatCode="_([$$-409]* #,##0_);_([$$-409]* \(#,##0\);_([$$-409]* &quot;-&quot;??_);_(@_)"/>
    <numFmt numFmtId="180" formatCode="_(* #,##0_);_(* \(#,##0\);_(* &quot;-&quot;?_);_(@_)"/>
    <numFmt numFmtId="181" formatCode="_(* #,##0.0_);_(* \(#,##0.0\);_(* &quot;-&quot;_);_(@_)"/>
    <numFmt numFmtId="182" formatCode="_(&quot;$&quot;* #,##0.00_);_(&quot;$&quot;* \(#,##0.00\);_(&quot;$&quot;* &quot;-&quot;?_);_(@_)"/>
    <numFmt numFmtId="183" formatCode="0.0%_);\(0.0%\);\-_%_);@_)"/>
    <numFmt numFmtId="184" formatCode="0.0\ \x;\(0.0\ \x\)"/>
    <numFmt numFmtId="185" formatCode="_(* #,##0.00_);_(* \(#,##0.00\);_(* &quot;-&quot;_);_(@_)"/>
    <numFmt numFmtId="186" formatCode="_(0.0%_);\(0.0%\);_(&quot;–&quot;_)_%;_(@_)_%"/>
    <numFmt numFmtId="187" formatCode="#,##0.000"/>
    <numFmt numFmtId="188" formatCode="0.0\ \x;[Red]\ 0.0\ \x"/>
    <numFmt numFmtId="189" formatCode="_(* #,##0_);_(* \(#,##0\);_(* &quot;-&quot;??_);_(@_)"/>
    <numFmt numFmtId="190" formatCode="m/d/yy;@"/>
    <numFmt numFmtId="191" formatCode="0.0%;\(0.0%\);\-_)_%;@_)_%"/>
    <numFmt numFmtId="192" formatCode="m/d/yyyy;@"/>
    <numFmt numFmtId="193" formatCode="_(* #,##0_);[Red]_(* \(#,##0\);_(* &quot;-&quot;_);_(@_)"/>
    <numFmt numFmtId="194" formatCode="_(* #,##0.0_);_(* \(#,##0.0\);_(* &quot;-&quot;???_);_(@_)"/>
    <numFmt numFmtId="195" formatCode="&quot;FY&quot;yy"/>
    <numFmt numFmtId="196" formatCode="_(#,##0.00_)_%;\(#,##0.00\)_%;_(&quot;–&quot;_)_%;_(@_)_%"/>
    <numFmt numFmtId="197" formatCode="_(#,##0.0%_);\(#,##0.0%\);_(&quot;–&quot;_)_%;_(@_)_%"/>
    <numFmt numFmtId="198" formatCode="_(&quot;$&quot;* #,##0.0_);_(&quot;$&quot;* \(#,##0.0\);_(&quot;$&quot;* &quot;-&quot;??_);_(@_)"/>
    <numFmt numFmtId="199" formatCode="_(* #,##0.0_);_(* \(#,##0.0\);_(* &quot;-&quot;??_);_(@_)"/>
    <numFmt numFmtId="200" formatCode="_(&quot;$&quot;* #,##0.00_);_(&quot;$&quot;* \(#,##0.00\);_(&quot;$&quot;* &quot;-&quot;_);_(@_)"/>
    <numFmt numFmtId="201" formatCode="_(0.00%_);\(0.00%\);_(&quot;–&quot;_)_%;_(@_)_%"/>
    <numFmt numFmtId="202" formatCode="_(#,##0.00_);\(#,##0.00\);_(&quot;–&quot;_);_(@_)"/>
    <numFmt numFmtId="203" formatCode="_(#,##0_)_%;\(#,##0\)_%;_(&quot;–&quot;_)_%;_(@_)_%"/>
    <numFmt numFmtId="204" formatCode="_(* #,##0.000_);_(* \(#,##0.000\);_(* &quot;-&quot;???_);_(@_)"/>
  </numFmts>
  <fonts count="79">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ptos Narrow"/>
      <family val="2"/>
      <scheme val="minor"/>
    </font>
    <font>
      <b/>
      <sz val="12"/>
      <color theme="0"/>
      <name val="Aptos Narrow"/>
      <family val="2"/>
      <scheme val="minor"/>
    </font>
    <font>
      <i/>
      <sz val="12"/>
      <name val="Aptos Narrow"/>
      <family val="2"/>
      <scheme val="minor"/>
    </font>
    <font>
      <sz val="12"/>
      <color rgb="FF0000FF"/>
      <name val="Aptos Narrow"/>
      <family val="2"/>
      <scheme val="minor"/>
    </font>
    <font>
      <sz val="12"/>
      <color rgb="FF000000"/>
      <name val="Aptos Narrow"/>
      <family val="2"/>
      <scheme val="minor"/>
    </font>
    <font>
      <sz val="12"/>
      <color theme="9"/>
      <name val="Aptos Narrow"/>
      <family val="2"/>
      <scheme val="minor"/>
    </font>
    <font>
      <sz val="12"/>
      <name val="Aptos Narrow"/>
      <family val="2"/>
      <scheme val="minor"/>
    </font>
    <font>
      <sz val="12"/>
      <color rgb="FF00B050"/>
      <name val="Aptos Narrow"/>
      <family val="2"/>
      <scheme val="minor"/>
    </font>
    <font>
      <b/>
      <sz val="12"/>
      <color theme="1"/>
      <name val="Aptos Narrow"/>
      <family val="2"/>
      <scheme val="minor"/>
    </font>
    <font>
      <b/>
      <i/>
      <sz val="12"/>
      <color theme="1"/>
      <name val="Aptos Narrow"/>
      <family val="2"/>
      <scheme val="minor"/>
    </font>
    <font>
      <sz val="12"/>
      <color theme="0"/>
      <name val="Aptos Narrow"/>
      <family val="2"/>
      <scheme val="minor"/>
    </font>
    <font>
      <i/>
      <sz val="12"/>
      <color theme="1"/>
      <name val="Aptos Narrow"/>
      <family val="2"/>
      <scheme val="minor"/>
    </font>
    <font>
      <b/>
      <sz val="12"/>
      <name val="Aptos Narrow"/>
      <family val="2"/>
      <scheme val="minor"/>
    </font>
    <font>
      <sz val="10"/>
      <name val="Arial"/>
      <family val="2"/>
    </font>
    <font>
      <b/>
      <sz val="12"/>
      <color theme="0"/>
      <name val="Aptos Narrow"/>
      <family val="2"/>
    </font>
    <font>
      <b/>
      <i/>
      <sz val="12"/>
      <color rgb="FF0000FF"/>
      <name val="Aptos Narrow"/>
      <family val="2"/>
      <scheme val="minor"/>
    </font>
    <font>
      <b/>
      <i/>
      <sz val="12"/>
      <color theme="0"/>
      <name val="Aptos Narrow"/>
      <family val="2"/>
      <scheme val="minor"/>
    </font>
    <font>
      <b/>
      <sz val="14"/>
      <color theme="1"/>
      <name val="Aptos Narrow"/>
      <family val="2"/>
      <scheme val="minor"/>
    </font>
    <font>
      <sz val="9"/>
      <color indexed="81"/>
      <name val="Tahoma"/>
      <family val="2"/>
    </font>
    <font>
      <b/>
      <sz val="9"/>
      <color indexed="81"/>
      <name val="Tahoma"/>
      <family val="2"/>
    </font>
    <font>
      <u/>
      <sz val="11"/>
      <color theme="10"/>
      <name val="Aptos Narrow"/>
      <family val="2"/>
      <scheme val="minor"/>
    </font>
    <font>
      <sz val="12"/>
      <color rgb="FFFF0000"/>
      <name val="Aptos Narrow"/>
      <family val="2"/>
      <scheme val="minor"/>
    </font>
    <font>
      <b/>
      <u/>
      <sz val="12"/>
      <color indexed="9"/>
      <name val="Aptos Narrow"/>
      <family val="2"/>
      <scheme val="minor"/>
    </font>
    <font>
      <u/>
      <sz val="12"/>
      <color indexed="9"/>
      <name val="Aptos Narrow"/>
      <family val="2"/>
      <scheme val="minor"/>
    </font>
    <font>
      <b/>
      <sz val="12"/>
      <color indexed="9"/>
      <name val="Aptos Narrow"/>
      <family val="2"/>
      <scheme val="minor"/>
    </font>
    <font>
      <b/>
      <sz val="12"/>
      <color theme="0" tint="-4.9989318521683403E-2"/>
      <name val="Aptos Narrow"/>
      <family val="2"/>
      <scheme val="minor"/>
    </font>
    <font>
      <b/>
      <sz val="12"/>
      <color rgb="FF000000"/>
      <name val="Aptos Narrow"/>
      <family val="2"/>
      <scheme val="minor"/>
    </font>
    <font>
      <b/>
      <sz val="12"/>
      <color rgb="FFFF0000"/>
      <name val="Aptos Narrow"/>
      <family val="2"/>
      <scheme val="minor"/>
    </font>
    <font>
      <sz val="12"/>
      <color theme="1"/>
      <name val="Calibri"/>
      <family val="2"/>
    </font>
    <font>
      <u/>
      <sz val="12"/>
      <color theme="10"/>
      <name val="Calibri"/>
      <family val="2"/>
    </font>
    <font>
      <sz val="7"/>
      <color rgb="FF232A31"/>
      <name val="Arial"/>
      <family val="2"/>
    </font>
    <font>
      <b/>
      <sz val="14"/>
      <color rgb="FF000000"/>
      <name val="Aptos Narrow"/>
      <family val="2"/>
      <scheme val="minor"/>
    </font>
    <font>
      <sz val="12"/>
      <color indexed="9"/>
      <name val="Aptos Narrow"/>
      <family val="2"/>
      <scheme val="minor"/>
    </font>
    <font>
      <sz val="8"/>
      <color indexed="8"/>
      <name val="Arial"/>
      <family val="2"/>
    </font>
    <font>
      <sz val="12"/>
      <color theme="6"/>
      <name val="Aptos Narrow"/>
      <family val="2"/>
      <scheme val="minor"/>
    </font>
    <font>
      <sz val="10"/>
      <color rgb="FF000000"/>
      <name val="Times New Roman"/>
      <family val="1"/>
    </font>
    <font>
      <sz val="12"/>
      <color rgb="FF000000"/>
      <name val="Calibri"/>
      <family val="2"/>
    </font>
    <font>
      <sz val="11"/>
      <name val="Aptos Narrow"/>
      <family val="2"/>
      <scheme val="minor"/>
    </font>
    <font>
      <b/>
      <sz val="14"/>
      <color theme="1"/>
      <name val="Calibri"/>
      <family val="2"/>
    </font>
    <font>
      <b/>
      <sz val="12"/>
      <color theme="1"/>
      <name val="Calibri"/>
      <family val="2"/>
    </font>
    <font>
      <b/>
      <sz val="12"/>
      <color rgb="FFFFFFFF"/>
      <name val="Calibri"/>
      <family val="2"/>
    </font>
    <font>
      <sz val="12"/>
      <color rgb="FFFFFFFF"/>
      <name val="Calibri"/>
      <family val="2"/>
    </font>
    <font>
      <sz val="12"/>
      <color rgb="FF0000FF"/>
      <name val="Calibri"/>
      <family val="2"/>
    </font>
    <font>
      <sz val="12"/>
      <color rgb="FFFF0000"/>
      <name val="Calibri"/>
      <family val="2"/>
    </font>
    <font>
      <sz val="12"/>
      <color rgb="FF00B050"/>
      <name val="Calibri"/>
      <family val="2"/>
    </font>
    <font>
      <sz val="14"/>
      <color theme="1"/>
      <name val="Aptos Narrow"/>
      <family val="2"/>
      <scheme val="minor"/>
    </font>
    <font>
      <i/>
      <sz val="14"/>
      <color theme="1"/>
      <name val="Aptos Narrow"/>
      <family val="2"/>
      <scheme val="minor"/>
    </font>
    <font>
      <sz val="14"/>
      <name val="Aptos Narrow"/>
      <family val="2"/>
      <scheme val="minor"/>
    </font>
    <font>
      <sz val="14"/>
      <color theme="0"/>
      <name val="Aptos Narrow"/>
      <family val="2"/>
      <scheme val="minor"/>
    </font>
    <font>
      <i/>
      <sz val="14"/>
      <color theme="0"/>
      <name val="Aptos Narrow"/>
      <family val="2"/>
      <scheme val="minor"/>
    </font>
    <font>
      <b/>
      <sz val="14"/>
      <color theme="0"/>
      <name val="Aptos Narrow"/>
      <family val="2"/>
      <scheme val="minor"/>
    </font>
    <font>
      <sz val="14"/>
      <color rgb="FF0000FF"/>
      <name val="Aptos Narrow"/>
      <family val="2"/>
      <scheme val="minor"/>
    </font>
    <font>
      <i/>
      <sz val="14"/>
      <name val="Aptos Narrow"/>
      <family val="2"/>
      <scheme val="minor"/>
    </font>
    <font>
      <b/>
      <sz val="14"/>
      <color rgb="FF0000FF"/>
      <name val="Aptos Narrow"/>
      <family val="2"/>
      <scheme val="minor"/>
    </font>
    <font>
      <b/>
      <i/>
      <sz val="14"/>
      <color theme="0"/>
      <name val="Aptos Narrow"/>
      <family val="2"/>
      <scheme val="minor"/>
    </font>
    <font>
      <i/>
      <sz val="12"/>
      <color theme="0"/>
      <name val="Aptos Narrow"/>
      <family val="2"/>
      <scheme val="minor"/>
    </font>
    <font>
      <i/>
      <sz val="12"/>
      <color rgb="FF000000"/>
      <name val="Aptos Narrow"/>
      <family val="2"/>
      <scheme val="minor"/>
    </font>
    <font>
      <b/>
      <sz val="12"/>
      <color rgb="FF00B050"/>
      <name val="Aptos Narrow"/>
      <family val="2"/>
      <scheme val="minor"/>
    </font>
    <font>
      <i/>
      <sz val="12"/>
      <color rgb="FF00B050"/>
      <name val="Aptos Narrow"/>
      <family val="2"/>
      <scheme val="minor"/>
    </font>
    <font>
      <sz val="12"/>
      <color theme="7"/>
      <name val="Aptos Narrow"/>
      <family val="2"/>
      <scheme val="minor"/>
    </font>
    <font>
      <sz val="12"/>
      <color rgb="FFFFFF00"/>
      <name val="Aptos Narrow"/>
      <family val="2"/>
      <scheme val="minor"/>
    </font>
    <font>
      <sz val="14"/>
      <color rgb="FF232A31"/>
      <name val="Aptos Narrow"/>
      <family val="2"/>
      <scheme val="minor"/>
    </font>
    <font>
      <b/>
      <sz val="11"/>
      <color theme="0"/>
      <name val="Aptos Narrow"/>
      <family val="2"/>
      <scheme val="minor"/>
    </font>
    <font>
      <i/>
      <sz val="11"/>
      <color theme="1"/>
      <name val="Aptos Narrow"/>
      <family val="2"/>
      <scheme val="minor"/>
    </font>
    <font>
      <b/>
      <sz val="12"/>
      <color theme="1"/>
      <name val="Aptos Narrow"/>
      <family val="2"/>
    </font>
    <font>
      <sz val="12"/>
      <color theme="1"/>
      <name val="Aptos Narrow"/>
      <family val="2"/>
    </font>
    <font>
      <b/>
      <i/>
      <sz val="12"/>
      <color theme="1"/>
      <name val="Aptos Narrow"/>
      <family val="2"/>
    </font>
    <font>
      <i/>
      <sz val="12"/>
      <color theme="1"/>
      <name val="Aptos Narrow"/>
      <family val="2"/>
    </font>
    <font>
      <b/>
      <sz val="12"/>
      <name val="Aptos Narrow"/>
      <family val="2"/>
    </font>
    <font>
      <i/>
      <sz val="12"/>
      <name val="Aptos Narrow"/>
      <family val="2"/>
    </font>
    <font>
      <u/>
      <sz val="12"/>
      <color theme="10"/>
      <name val="Aptos Narrow"/>
      <family val="2"/>
      <scheme val="minor"/>
    </font>
    <font>
      <b/>
      <i/>
      <sz val="14"/>
      <color theme="1"/>
      <name val="Aptos Narrow"/>
      <family val="2"/>
      <scheme val="minor"/>
    </font>
    <font>
      <sz val="10"/>
      <color theme="1"/>
      <name val="Arial Unicode MS"/>
    </font>
    <font>
      <sz val="9"/>
      <color indexed="81"/>
      <name val="Tahoma"/>
      <charset val="1"/>
    </font>
    <font>
      <b/>
      <sz val="9"/>
      <color indexed="81"/>
      <name val="Tahoma"/>
      <charset val="1"/>
    </font>
    <font>
      <b/>
      <i/>
      <sz val="11"/>
      <color theme="0"/>
      <name val="Aptos Narrow"/>
      <family val="2"/>
      <scheme val="minor"/>
    </font>
  </fonts>
  <fills count="18">
    <fill>
      <patternFill patternType="none"/>
    </fill>
    <fill>
      <patternFill patternType="gray125"/>
    </fill>
    <fill>
      <patternFill patternType="solid">
        <fgColor rgb="FFFFFFCC"/>
      </patternFill>
    </fill>
    <fill>
      <patternFill patternType="solid">
        <fgColor theme="3" tint="0.249977111117893"/>
        <bgColor indexed="64"/>
      </patternFill>
    </fill>
    <fill>
      <patternFill patternType="solid">
        <fgColor theme="3" tint="0.749992370372631"/>
        <bgColor indexed="64"/>
      </patternFill>
    </fill>
    <fill>
      <patternFill patternType="solid">
        <fgColor rgb="FFFFFFFF"/>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3" tint="0.499984740745262"/>
        <bgColor indexed="64"/>
      </patternFill>
    </fill>
    <fill>
      <patternFill patternType="solid">
        <fgColor theme="0" tint="-0.14996795556505021"/>
        <bgColor indexed="64"/>
      </patternFill>
    </fill>
    <fill>
      <patternFill patternType="solid">
        <fgColor theme="0"/>
        <bgColor indexed="64"/>
      </patternFill>
    </fill>
    <fill>
      <patternFill patternType="solid">
        <fgColor theme="4" tint="0.79998168889431442"/>
        <bgColor indexed="64"/>
      </patternFill>
    </fill>
    <fill>
      <patternFill patternType="solid">
        <fgColor rgb="FF0070C0"/>
        <bgColor indexed="64"/>
      </patternFill>
    </fill>
    <fill>
      <patternFill patternType="solid">
        <fgColor rgb="FFD9D9D9"/>
        <bgColor indexed="64"/>
      </patternFill>
    </fill>
    <fill>
      <patternFill patternType="solid">
        <fgColor rgb="FFB2B2B2"/>
        <bgColor indexed="64"/>
      </patternFill>
    </fill>
    <fill>
      <patternFill patternType="solid">
        <fgColor rgb="FF0000FF"/>
        <bgColor indexed="64"/>
      </patternFill>
    </fill>
    <fill>
      <patternFill patternType="solid">
        <fgColor rgb="FFFFFFCC"/>
        <bgColor indexed="64"/>
      </patternFill>
    </fill>
    <fill>
      <patternFill patternType="solid">
        <fgColor theme="3" tint="0.79998168889431442"/>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right/>
      <top/>
      <bottom style="thin">
        <color theme="0"/>
      </bottom>
      <diagonal/>
    </border>
    <border>
      <left style="thin">
        <color theme="0"/>
      </left>
      <right/>
      <top/>
      <bottom style="thin">
        <color theme="0"/>
      </bottom>
      <diagonal/>
    </border>
    <border>
      <left style="thin">
        <color theme="0"/>
      </left>
      <right/>
      <top style="thin">
        <color theme="0"/>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top style="thin">
        <color theme="0"/>
      </top>
      <bottom style="thin">
        <color indexed="64"/>
      </bottom>
      <diagonal/>
    </border>
    <border>
      <left/>
      <right/>
      <top style="thin">
        <color theme="0"/>
      </top>
      <bottom style="thin">
        <color indexed="64"/>
      </bottom>
      <diagonal/>
    </border>
    <border>
      <left style="thin">
        <color theme="0"/>
      </left>
      <right/>
      <top/>
      <bottom/>
      <diagonal/>
    </border>
  </borders>
  <cellStyleXfs count="13">
    <xf numFmtId="0" fontId="0" fillId="0" borderId="0"/>
    <xf numFmtId="9" fontId="1" fillId="0" borderId="0" applyFont="0" applyFill="0" applyBorder="0" applyAlignment="0" applyProtection="0"/>
    <xf numFmtId="0" fontId="1" fillId="2" borderId="1" applyNumberFormat="0" applyFont="0" applyAlignment="0" applyProtection="0"/>
    <xf numFmtId="0" fontId="3" fillId="0" borderId="0"/>
    <xf numFmtId="0" fontId="16" fillId="0" borderId="0"/>
    <xf numFmtId="0" fontId="23" fillId="0" borderId="0" applyNumberFormat="0" applyFill="0" applyBorder="0" applyAlignment="0" applyProtection="0"/>
    <xf numFmtId="0" fontId="1" fillId="0" borderId="0"/>
    <xf numFmtId="0" fontId="36" fillId="0" borderId="0" applyAlignment="0"/>
    <xf numFmtId="0" fontId="1" fillId="0" borderId="0"/>
    <xf numFmtId="0" fontId="1" fillId="0" borderId="0"/>
    <xf numFmtId="0" fontId="1" fillId="0" borderId="0"/>
    <xf numFmtId="0" fontId="1" fillId="0" borderId="0"/>
    <xf numFmtId="0" fontId="16" fillId="0" borderId="0"/>
  </cellStyleXfs>
  <cellXfs count="706">
    <xf numFmtId="0" fontId="0" fillId="0" borderId="0" xfId="0"/>
    <xf numFmtId="0" fontId="3" fillId="3" borderId="0" xfId="0" applyFont="1" applyFill="1"/>
    <xf numFmtId="0" fontId="3" fillId="3" borderId="2" xfId="0" applyFont="1" applyFill="1" applyBorder="1"/>
    <xf numFmtId="0" fontId="4" fillId="3" borderId="2" xfId="0" applyFont="1" applyFill="1" applyBorder="1"/>
    <xf numFmtId="0" fontId="3" fillId="3" borderId="3" xfId="0" applyFont="1" applyFill="1" applyBorder="1"/>
    <xf numFmtId="0" fontId="4" fillId="3" borderId="0" xfId="0" applyFont="1" applyFill="1"/>
    <xf numFmtId="0" fontId="4" fillId="3" borderId="0" xfId="0" applyFont="1" applyFill="1" applyAlignment="1">
      <alignment horizontal="center"/>
    </xf>
    <xf numFmtId="0" fontId="4" fillId="3" borderId="0" xfId="0" applyFont="1" applyFill="1" applyAlignment="1">
      <alignment horizontal="right"/>
    </xf>
    <xf numFmtId="164" fontId="4" fillId="3" borderId="0" xfId="0" applyNumberFormat="1" applyFont="1" applyFill="1" applyAlignment="1">
      <alignment horizontal="center"/>
    </xf>
    <xf numFmtId="164" fontId="4" fillId="3" borderId="4" xfId="0" applyNumberFormat="1" applyFont="1" applyFill="1" applyBorder="1" applyAlignment="1">
      <alignment horizontal="center"/>
    </xf>
    <xf numFmtId="0" fontId="3" fillId="0" borderId="0" xfId="0" applyFont="1"/>
    <xf numFmtId="0" fontId="5" fillId="0" borderId="0" xfId="3" applyFont="1"/>
    <xf numFmtId="0" fontId="9" fillId="0" borderId="0" xfId="3" applyFont="1"/>
    <xf numFmtId="171" fontId="6" fillId="0" borderId="0" xfId="0" applyNumberFormat="1" applyFont="1" applyAlignment="1">
      <alignment horizontal="center"/>
    </xf>
    <xf numFmtId="0" fontId="11" fillId="0" borderId="0" xfId="0" applyFont="1" applyAlignment="1">
      <alignment horizontal="center" vertical="center"/>
    </xf>
    <xf numFmtId="0" fontId="11" fillId="0" borderId="0" xfId="0" applyFont="1" applyAlignment="1">
      <alignment vertical="center"/>
    </xf>
    <xf numFmtId="0" fontId="3" fillId="0" borderId="0" xfId="0" applyFont="1" applyAlignment="1">
      <alignment vertical="center"/>
    </xf>
    <xf numFmtId="41" fontId="3" fillId="0" borderId="0" xfId="0" applyNumberFormat="1" applyFont="1" applyAlignment="1">
      <alignment vertical="center"/>
    </xf>
    <xf numFmtId="0" fontId="3" fillId="0" borderId="0" xfId="0" applyFont="1" applyAlignment="1">
      <alignment vertical="center" wrapText="1"/>
    </xf>
    <xf numFmtId="0" fontId="3" fillId="0" borderId="0" xfId="0" applyFont="1" applyAlignment="1">
      <alignment horizontal="left" vertical="center" indent="1"/>
    </xf>
    <xf numFmtId="0" fontId="3" fillId="0" borderId="5" xfId="0" applyFont="1" applyBorder="1" applyAlignment="1">
      <alignment horizontal="left" vertical="center" indent="1"/>
    </xf>
    <xf numFmtId="41" fontId="3" fillId="0" borderId="5" xfId="0" applyNumberFormat="1" applyFont="1" applyBorder="1" applyAlignment="1">
      <alignment vertical="center"/>
    </xf>
    <xf numFmtId="41" fontId="11" fillId="0" borderId="0" xfId="0" applyNumberFormat="1" applyFont="1" applyAlignment="1">
      <alignment vertical="center"/>
    </xf>
    <xf numFmtId="42" fontId="11" fillId="0" borderId="0" xfId="0" applyNumberFormat="1" applyFont="1" applyAlignment="1">
      <alignment vertical="center"/>
    </xf>
    <xf numFmtId="0" fontId="11" fillId="4" borderId="0" xfId="0" applyFont="1" applyFill="1" applyAlignment="1">
      <alignment vertical="center"/>
    </xf>
    <xf numFmtId="0" fontId="4" fillId="4" borderId="0" xfId="0" applyFont="1" applyFill="1" applyAlignment="1">
      <alignment vertical="center"/>
    </xf>
    <xf numFmtId="41" fontId="3" fillId="4" borderId="0" xfId="0" applyNumberFormat="1" applyFont="1" applyFill="1" applyAlignment="1">
      <alignment vertical="center"/>
    </xf>
    <xf numFmtId="0" fontId="11" fillId="0" borderId="0" xfId="0" applyFont="1"/>
    <xf numFmtId="0" fontId="3" fillId="0" borderId="0" xfId="0" applyFont="1" applyAlignment="1">
      <alignment wrapText="1"/>
    </xf>
    <xf numFmtId="0" fontId="11" fillId="0" borderId="0" xfId="0" applyFont="1" applyAlignment="1">
      <alignment vertical="center" wrapText="1"/>
    </xf>
    <xf numFmtId="0" fontId="3" fillId="0" borderId="0" xfId="0" applyFont="1" applyAlignment="1">
      <alignment horizontal="left" vertical="center"/>
    </xf>
    <xf numFmtId="41" fontId="3" fillId="0" borderId="0" xfId="0" applyNumberFormat="1" applyFont="1" applyAlignment="1">
      <alignment horizontal="left" vertical="center"/>
    </xf>
    <xf numFmtId="0" fontId="11" fillId="0" borderId="0" xfId="0" applyFont="1" applyAlignment="1">
      <alignment horizontal="left" vertical="center"/>
    </xf>
    <xf numFmtId="41" fontId="3" fillId="0" borderId="5" xfId="0" applyNumberFormat="1" applyFont="1" applyBorder="1" applyAlignment="1">
      <alignment horizontal="left" vertical="center"/>
    </xf>
    <xf numFmtId="0" fontId="3" fillId="0" borderId="5" xfId="0" applyFont="1" applyBorder="1" applyAlignment="1">
      <alignment horizontal="left" vertical="center"/>
    </xf>
    <xf numFmtId="0" fontId="3" fillId="4" borderId="0" xfId="0" applyFont="1" applyFill="1"/>
    <xf numFmtId="41" fontId="3" fillId="0" borderId="0" xfId="0" applyNumberFormat="1" applyFont="1"/>
    <xf numFmtId="0" fontId="7" fillId="0" borderId="0" xfId="0" applyFont="1"/>
    <xf numFmtId="0" fontId="8" fillId="0" borderId="0" xfId="0" applyFont="1"/>
    <xf numFmtId="165" fontId="8" fillId="0" borderId="0" xfId="0" applyNumberFormat="1" applyFont="1"/>
    <xf numFmtId="0" fontId="4" fillId="4" borderId="0" xfId="0" applyFont="1" applyFill="1"/>
    <xf numFmtId="172" fontId="12" fillId="0" borderId="0" xfId="0" applyNumberFormat="1" applyFont="1" applyAlignment="1">
      <alignment horizontal="center"/>
    </xf>
    <xf numFmtId="0" fontId="3" fillId="0" borderId="0" xfId="0" applyFont="1" applyAlignment="1">
      <alignment horizontal="left" indent="1"/>
    </xf>
    <xf numFmtId="0" fontId="14" fillId="0" borderId="0" xfId="0" applyFont="1" applyAlignment="1">
      <alignment horizontal="center"/>
    </xf>
    <xf numFmtId="43" fontId="3" fillId="0" borderId="0" xfId="0" applyNumberFormat="1" applyFont="1"/>
    <xf numFmtId="0" fontId="4" fillId="0" borderId="0" xfId="0" applyFont="1"/>
    <xf numFmtId="164" fontId="4" fillId="0" borderId="0" xfId="0" applyNumberFormat="1" applyFont="1" applyAlignment="1">
      <alignment horizontal="center"/>
    </xf>
    <xf numFmtId="0" fontId="15" fillId="0" borderId="0" xfId="0" applyFont="1"/>
    <xf numFmtId="0" fontId="11" fillId="6" borderId="5" xfId="0" applyFont="1" applyFill="1" applyBorder="1"/>
    <xf numFmtId="166" fontId="9" fillId="0" borderId="0" xfId="3" applyNumberFormat="1" applyFont="1"/>
    <xf numFmtId="173" fontId="10" fillId="0" borderId="0" xfId="0" applyNumberFormat="1" applyFont="1" applyAlignment="1">
      <alignment horizontal="center"/>
    </xf>
    <xf numFmtId="173" fontId="9" fillId="0" borderId="0" xfId="3" applyNumberFormat="1" applyFont="1"/>
    <xf numFmtId="175" fontId="15" fillId="0" borderId="0" xfId="3" applyNumberFormat="1" applyFont="1"/>
    <xf numFmtId="174" fontId="10" fillId="0" borderId="0" xfId="0" applyNumberFormat="1" applyFont="1" applyAlignment="1">
      <alignment horizontal="center"/>
    </xf>
    <xf numFmtId="176" fontId="6" fillId="0" borderId="0" xfId="3" applyNumberFormat="1" applyFont="1" applyAlignment="1">
      <alignment horizontal="center"/>
    </xf>
    <xf numFmtId="168" fontId="6" fillId="0" borderId="0" xfId="2" applyNumberFormat="1" applyFont="1" applyFill="1" applyBorder="1" applyAlignment="1">
      <alignment horizontal="center"/>
    </xf>
    <xf numFmtId="177" fontId="3" fillId="0" borderId="0" xfId="0" applyNumberFormat="1" applyFont="1"/>
    <xf numFmtId="0" fontId="15" fillId="6" borderId="0" xfId="3" applyFont="1" applyFill="1"/>
    <xf numFmtId="0" fontId="3" fillId="6" borderId="0" xfId="0" applyFont="1" applyFill="1"/>
    <xf numFmtId="0" fontId="5" fillId="6" borderId="0" xfId="3" applyFont="1" applyFill="1"/>
    <xf numFmtId="42" fontId="15" fillId="6" borderId="0" xfId="0" applyNumberFormat="1" applyFont="1" applyFill="1"/>
    <xf numFmtId="178" fontId="7" fillId="0" borderId="0" xfId="4" applyNumberFormat="1" applyFont="1" applyAlignment="1">
      <alignment horizontal="center"/>
    </xf>
    <xf numFmtId="176" fontId="9" fillId="0" borderId="0" xfId="3" applyNumberFormat="1" applyFont="1"/>
    <xf numFmtId="0" fontId="9" fillId="0" borderId="0" xfId="3" applyFont="1" applyAlignment="1">
      <alignment horizontal="left" indent="1"/>
    </xf>
    <xf numFmtId="179" fontId="9" fillId="0" borderId="0" xfId="3" applyNumberFormat="1" applyFont="1"/>
    <xf numFmtId="0" fontId="9" fillId="0" borderId="5" xfId="3" applyFont="1" applyBorder="1" applyAlignment="1">
      <alignment horizontal="left" indent="1"/>
    </xf>
    <xf numFmtId="0" fontId="9" fillId="0" borderId="5" xfId="3" applyFont="1" applyBorder="1"/>
    <xf numFmtId="179" fontId="9" fillId="0" borderId="5" xfId="3" applyNumberFormat="1" applyFont="1" applyBorder="1"/>
    <xf numFmtId="0" fontId="15" fillId="6" borderId="0" xfId="3" applyFont="1" applyFill="1" applyAlignment="1">
      <alignment horizontal="left"/>
    </xf>
    <xf numFmtId="0" fontId="9" fillId="6" borderId="0" xfId="3" applyFont="1" applyFill="1"/>
    <xf numFmtId="179" fontId="11" fillId="6" borderId="0" xfId="0" applyNumberFormat="1" applyFont="1" applyFill="1"/>
    <xf numFmtId="165" fontId="3" fillId="0" borderId="0" xfId="0" applyNumberFormat="1" applyFont="1"/>
    <xf numFmtId="0" fontId="5" fillId="0" borderId="0" xfId="3" applyFont="1" applyAlignment="1">
      <alignment horizontal="left" indent="1"/>
    </xf>
    <xf numFmtId="0" fontId="15" fillId="6" borderId="6" xfId="3" applyFont="1" applyFill="1" applyBorder="1"/>
    <xf numFmtId="42" fontId="15" fillId="6" borderId="6" xfId="3" applyNumberFormat="1" applyFont="1" applyFill="1" applyBorder="1"/>
    <xf numFmtId="0" fontId="9" fillId="0" borderId="0" xfId="3" applyFont="1" applyAlignment="1">
      <alignment horizontal="left"/>
    </xf>
    <xf numFmtId="165" fontId="9" fillId="0" borderId="0" xfId="3" applyNumberFormat="1" applyFont="1"/>
    <xf numFmtId="0" fontId="15" fillId="6" borderId="5" xfId="3" applyFont="1" applyFill="1" applyBorder="1" applyAlignment="1">
      <alignment horizontal="left"/>
    </xf>
    <xf numFmtId="0" fontId="9" fillId="6" borderId="5" xfId="3" applyFont="1" applyFill="1" applyBorder="1"/>
    <xf numFmtId="179" fontId="11" fillId="6" borderId="5" xfId="0" applyNumberFormat="1" applyFont="1" applyFill="1" applyBorder="1"/>
    <xf numFmtId="0" fontId="15" fillId="0" borderId="0" xfId="3" applyFont="1" applyAlignment="1">
      <alignment horizontal="left"/>
    </xf>
    <xf numFmtId="166" fontId="11" fillId="0" borderId="0" xfId="0" applyNumberFormat="1" applyFont="1"/>
    <xf numFmtId="181" fontId="3" fillId="0" borderId="0" xfId="0" applyNumberFormat="1" applyFont="1"/>
    <xf numFmtId="0" fontId="15" fillId="7" borderId="7" xfId="3" applyFont="1" applyFill="1" applyBorder="1"/>
    <xf numFmtId="0" fontId="15" fillId="7" borderId="6" xfId="3" applyFont="1" applyFill="1" applyBorder="1"/>
    <xf numFmtId="182" fontId="11" fillId="7" borderId="8" xfId="0" applyNumberFormat="1" applyFont="1" applyFill="1" applyBorder="1"/>
    <xf numFmtId="0" fontId="15" fillId="7" borderId="9" xfId="3" applyFont="1" applyFill="1" applyBorder="1"/>
    <xf numFmtId="0" fontId="15" fillId="7" borderId="5" xfId="3" applyFont="1" applyFill="1" applyBorder="1"/>
    <xf numFmtId="174" fontId="11" fillId="7" borderId="10" xfId="0" applyNumberFormat="1" applyFont="1" applyFill="1" applyBorder="1"/>
    <xf numFmtId="42" fontId="3" fillId="0" borderId="0" xfId="0" applyNumberFormat="1" applyFont="1"/>
    <xf numFmtId="0" fontId="12" fillId="0" borderId="0" xfId="0" applyFont="1" applyAlignment="1">
      <alignment horizontal="center"/>
    </xf>
    <xf numFmtId="42" fontId="11" fillId="0" borderId="0" xfId="0" applyNumberFormat="1" applyFont="1"/>
    <xf numFmtId="0" fontId="14" fillId="0" borderId="0" xfId="0" applyFont="1" applyAlignment="1">
      <alignment horizontal="left" indent="1"/>
    </xf>
    <xf numFmtId="9" fontId="3" fillId="0" borderId="0" xfId="1" applyFont="1"/>
    <xf numFmtId="0" fontId="15" fillId="0" borderId="0" xfId="3" applyFont="1"/>
    <xf numFmtId="0" fontId="3" fillId="8" borderId="7" xfId="0" applyFont="1" applyFill="1" applyBorder="1"/>
    <xf numFmtId="0" fontId="3" fillId="8" borderId="6" xfId="0" applyFont="1" applyFill="1" applyBorder="1"/>
    <xf numFmtId="0" fontId="17" fillId="8" borderId="6" xfId="3" applyFont="1" applyFill="1" applyBorder="1" applyAlignment="1">
      <alignment horizontal="center"/>
    </xf>
    <xf numFmtId="0" fontId="4" fillId="8" borderId="6" xfId="0" applyFont="1" applyFill="1" applyBorder="1"/>
    <xf numFmtId="0" fontId="3" fillId="8" borderId="8" xfId="0" applyFont="1" applyFill="1" applyBorder="1"/>
    <xf numFmtId="182" fontId="4" fillId="8" borderId="11" xfId="0" applyNumberFormat="1" applyFont="1" applyFill="1" applyBorder="1" applyAlignment="1">
      <alignment horizontal="center"/>
    </xf>
    <xf numFmtId="183" fontId="18" fillId="8" borderId="0" xfId="0" applyNumberFormat="1" applyFont="1" applyFill="1"/>
    <xf numFmtId="183" fontId="19" fillId="8" borderId="0" xfId="0" applyNumberFormat="1" applyFont="1" applyFill="1"/>
    <xf numFmtId="43" fontId="11" fillId="6" borderId="0" xfId="0" applyNumberFormat="1" applyFont="1" applyFill="1"/>
    <xf numFmtId="43" fontId="3" fillId="0" borderId="12" xfId="0" applyNumberFormat="1" applyFont="1" applyBorder="1"/>
    <xf numFmtId="0" fontId="20" fillId="0" borderId="0" xfId="0" applyFont="1"/>
    <xf numFmtId="43" fontId="11" fillId="6" borderId="12" xfId="0" applyNumberFormat="1" applyFont="1" applyFill="1" applyBorder="1"/>
    <xf numFmtId="43" fontId="3" fillId="0" borderId="5" xfId="0" applyNumberFormat="1" applyFont="1" applyBorder="1"/>
    <xf numFmtId="43" fontId="11" fillId="6" borderId="5" xfId="0" applyNumberFormat="1" applyFont="1" applyFill="1" applyBorder="1"/>
    <xf numFmtId="43" fontId="3" fillId="0" borderId="10" xfId="0" applyNumberFormat="1" applyFont="1" applyBorder="1"/>
    <xf numFmtId="174" fontId="18" fillId="8" borderId="11" xfId="0" applyNumberFormat="1" applyFont="1" applyFill="1" applyBorder="1" applyAlignment="1">
      <alignment horizontal="center"/>
    </xf>
    <xf numFmtId="174" fontId="19" fillId="8" borderId="11" xfId="0" applyNumberFormat="1" applyFont="1" applyFill="1" applyBorder="1" applyAlignment="1">
      <alignment horizontal="center"/>
    </xf>
    <xf numFmtId="9" fontId="0" fillId="0" borderId="0" xfId="0" applyNumberFormat="1" applyAlignment="1">
      <alignment horizontal="right" vertical="center"/>
    </xf>
    <xf numFmtId="0" fontId="24" fillId="0" borderId="0" xfId="6" applyFont="1" applyAlignment="1">
      <alignment horizontal="center"/>
    </xf>
    <xf numFmtId="0" fontId="7" fillId="0" borderId="0" xfId="6" applyFont="1"/>
    <xf numFmtId="0" fontId="24" fillId="0" borderId="0" xfId="6" applyFont="1"/>
    <xf numFmtId="0" fontId="25" fillId="3" borderId="0" xfId="6" applyFont="1" applyFill="1" applyAlignment="1">
      <alignment horizontal="left"/>
    </xf>
    <xf numFmtId="0" fontId="26" fillId="3" borderId="0" xfId="6" applyFont="1" applyFill="1" applyAlignment="1">
      <alignment horizontal="left"/>
    </xf>
    <xf numFmtId="0" fontId="27" fillId="3" borderId="0" xfId="6" applyFont="1" applyFill="1" applyAlignment="1">
      <alignment horizontal="right"/>
    </xf>
    <xf numFmtId="0" fontId="3" fillId="0" borderId="0" xfId="6" applyFont="1"/>
    <xf numFmtId="0" fontId="27" fillId="0" borderId="0" xfId="6" applyFont="1" applyAlignment="1">
      <alignment horizontal="right"/>
    </xf>
    <xf numFmtId="0" fontId="28" fillId="3" borderId="0" xfId="3" applyFont="1" applyFill="1" applyAlignment="1">
      <alignment horizontal="right"/>
    </xf>
    <xf numFmtId="0" fontId="28" fillId="0" borderId="0" xfId="3" applyFont="1" applyAlignment="1">
      <alignment horizontal="right"/>
    </xf>
    <xf numFmtId="0" fontId="3" fillId="0" borderId="0" xfId="6" applyFont="1" applyAlignment="1">
      <alignment horizontal="centerContinuous"/>
    </xf>
    <xf numFmtId="14" fontId="9" fillId="4" borderId="0" xfId="0" applyNumberFormat="1" applyFont="1" applyFill="1" applyAlignment="1">
      <alignment horizontal="center"/>
    </xf>
    <xf numFmtId="14" fontId="9" fillId="0" borderId="0" xfId="0" applyNumberFormat="1" applyFont="1" applyAlignment="1">
      <alignment horizontal="center"/>
    </xf>
    <xf numFmtId="180" fontId="6" fillId="0" borderId="0" xfId="6" applyNumberFormat="1" applyFont="1"/>
    <xf numFmtId="177" fontId="7" fillId="0" borderId="0" xfId="6" applyNumberFormat="1" applyFont="1"/>
    <xf numFmtId="0" fontId="7" fillId="0" borderId="0" xfId="6" applyFont="1" applyAlignment="1">
      <alignment horizontal="left"/>
    </xf>
    <xf numFmtId="0" fontId="24" fillId="0" borderId="0" xfId="6" applyFont="1" applyAlignment="1">
      <alignment horizontal="left" indent="1"/>
    </xf>
    <xf numFmtId="180" fontId="7" fillId="0" borderId="0" xfId="6" applyNumberFormat="1" applyFont="1"/>
    <xf numFmtId="180" fontId="24" fillId="0" borderId="0" xfId="6" applyNumberFormat="1" applyFont="1"/>
    <xf numFmtId="0" fontId="7" fillId="0" borderId="0" xfId="6" applyFont="1" applyAlignment="1">
      <alignment horizontal="left" indent="1"/>
    </xf>
    <xf numFmtId="0" fontId="24" fillId="0" borderId="0" xfId="6" applyFont="1" applyAlignment="1">
      <alignment horizontal="left"/>
    </xf>
    <xf numFmtId="165" fontId="24" fillId="0" borderId="0" xfId="6" applyNumberFormat="1" applyFont="1"/>
    <xf numFmtId="9" fontId="24" fillId="0" borderId="0" xfId="6" applyNumberFormat="1" applyFont="1"/>
    <xf numFmtId="186" fontId="7" fillId="0" borderId="0" xfId="6" applyNumberFormat="1" applyFont="1"/>
    <xf numFmtId="174" fontId="3" fillId="0" borderId="0" xfId="6" applyNumberFormat="1" applyFont="1"/>
    <xf numFmtId="6" fontId="24" fillId="0" borderId="0" xfId="6" applyNumberFormat="1" applyFont="1"/>
    <xf numFmtId="0" fontId="4" fillId="3" borderId="0" xfId="6" applyFont="1" applyFill="1" applyAlignment="1">
      <alignment horizontal="centerContinuous"/>
    </xf>
    <xf numFmtId="0" fontId="30" fillId="0" borderId="0" xfId="6" applyFont="1" applyAlignment="1">
      <alignment horizontal="centerContinuous"/>
    </xf>
    <xf numFmtId="0" fontId="24" fillId="0" borderId="0" xfId="6" applyFont="1" applyAlignment="1">
      <alignment horizontal="centerContinuous"/>
    </xf>
    <xf numFmtId="177" fontId="6" fillId="0" borderId="0" xfId="6" applyNumberFormat="1" applyFont="1"/>
    <xf numFmtId="41" fontId="6" fillId="0" borderId="0" xfId="6" applyNumberFormat="1" applyFont="1"/>
    <xf numFmtId="165" fontId="3" fillId="0" borderId="0" xfId="6" applyNumberFormat="1" applyFont="1"/>
    <xf numFmtId="0" fontId="13" fillId="3" borderId="0" xfId="6" applyFont="1" applyFill="1" applyAlignment="1">
      <alignment horizontal="centerContinuous"/>
    </xf>
    <xf numFmtId="0" fontId="24" fillId="3" borderId="0" xfId="6" applyFont="1" applyFill="1" applyAlignment="1">
      <alignment horizontal="centerContinuous"/>
    </xf>
    <xf numFmtId="42" fontId="7" fillId="0" borderId="0" xfId="6" applyNumberFormat="1" applyFont="1"/>
    <xf numFmtId="0" fontId="3" fillId="0" borderId="0" xfId="6" applyFont="1" applyAlignment="1">
      <alignment horizontal="center"/>
    </xf>
    <xf numFmtId="0" fontId="13" fillId="0" borderId="0" xfId="6" applyFont="1" applyAlignment="1">
      <alignment horizontal="centerContinuous"/>
    </xf>
    <xf numFmtId="0" fontId="3" fillId="0" borderId="0" xfId="6" applyFont="1" applyAlignment="1">
      <alignment horizontal="left" indent="1"/>
    </xf>
    <xf numFmtId="0" fontId="11" fillId="0" borderId="0" xfId="6" applyFont="1" applyAlignment="1">
      <alignment horizontal="centerContinuous"/>
    </xf>
    <xf numFmtId="44" fontId="6" fillId="0" borderId="0" xfId="6" applyNumberFormat="1" applyFont="1"/>
    <xf numFmtId="3" fontId="6" fillId="0" borderId="0" xfId="6" applyNumberFormat="1" applyFont="1" applyAlignment="1">
      <alignment horizontal="right"/>
    </xf>
    <xf numFmtId="4" fontId="6" fillId="0" borderId="0" xfId="6" applyNumberFormat="1" applyFont="1" applyAlignment="1">
      <alignment horizontal="right"/>
    </xf>
    <xf numFmtId="0" fontId="11" fillId="4" borderId="0" xfId="6" applyFont="1" applyFill="1" applyAlignment="1">
      <alignment horizontal="center"/>
    </xf>
    <xf numFmtId="0" fontId="11" fillId="0" borderId="0" xfId="6" applyFont="1" applyAlignment="1">
      <alignment horizontal="center"/>
    </xf>
    <xf numFmtId="187" fontId="6" fillId="0" borderId="0" xfId="6" applyNumberFormat="1" applyFont="1"/>
    <xf numFmtId="44" fontId="6" fillId="0" borderId="0" xfId="6" applyNumberFormat="1" applyFont="1" applyAlignment="1">
      <alignment horizontal="right"/>
    </xf>
    <xf numFmtId="187" fontId="3" fillId="0" borderId="0" xfId="6" applyNumberFormat="1" applyFont="1"/>
    <xf numFmtId="4" fontId="3" fillId="0" borderId="0" xfId="6" applyNumberFormat="1" applyFont="1"/>
    <xf numFmtId="0" fontId="4" fillId="3" borderId="0" xfId="6" applyFont="1" applyFill="1" applyAlignment="1">
      <alignment horizontal="center"/>
    </xf>
    <xf numFmtId="0" fontId="4" fillId="0" borderId="0" xfId="6" applyFont="1" applyAlignment="1">
      <alignment horizontal="center"/>
    </xf>
    <xf numFmtId="175" fontId="6" fillId="0" borderId="0" xfId="6" applyNumberFormat="1" applyFont="1"/>
    <xf numFmtId="42" fontId="6" fillId="0" borderId="0" xfId="6" applyNumberFormat="1" applyFont="1"/>
    <xf numFmtId="44" fontId="3" fillId="0" borderId="0" xfId="6" applyNumberFormat="1" applyFont="1"/>
    <xf numFmtId="4" fontId="11" fillId="0" borderId="0" xfId="6" applyNumberFormat="1" applyFont="1"/>
    <xf numFmtId="44" fontId="3" fillId="0" borderId="0" xfId="6" applyNumberFormat="1" applyFont="1" applyAlignment="1">
      <alignment horizontal="centerContinuous"/>
    </xf>
    <xf numFmtId="42" fontId="3" fillId="0" borderId="0" xfId="6" applyNumberFormat="1" applyFont="1"/>
    <xf numFmtId="41" fontId="3" fillId="0" borderId="0" xfId="6" applyNumberFormat="1" applyFont="1"/>
    <xf numFmtId="4" fontId="6" fillId="0" borderId="0" xfId="6" applyNumberFormat="1" applyFont="1"/>
    <xf numFmtId="171" fontId="9" fillId="4" borderId="0" xfId="0" applyNumberFormat="1" applyFont="1" applyFill="1" applyAlignment="1">
      <alignment horizontal="center"/>
    </xf>
    <xf numFmtId="171" fontId="9" fillId="0" borderId="0" xfId="0" applyNumberFormat="1" applyFont="1" applyAlignment="1">
      <alignment horizontal="center"/>
    </xf>
    <xf numFmtId="188" fontId="9" fillId="0" borderId="0" xfId="6" applyNumberFormat="1" applyFont="1"/>
    <xf numFmtId="0" fontId="3" fillId="9" borderId="0" xfId="6" applyFont="1" applyFill="1"/>
    <xf numFmtId="177" fontId="9" fillId="0" borderId="0" xfId="6" applyNumberFormat="1" applyFont="1"/>
    <xf numFmtId="180" fontId="9" fillId="0" borderId="0" xfId="6" applyNumberFormat="1" applyFont="1"/>
    <xf numFmtId="41" fontId="9" fillId="0" borderId="0" xfId="6" applyNumberFormat="1" applyFont="1"/>
    <xf numFmtId="186" fontId="9" fillId="0" borderId="0" xfId="6" applyNumberFormat="1" applyFont="1"/>
    <xf numFmtId="0" fontId="31" fillId="0" borderId="0" xfId="0" applyFont="1"/>
    <xf numFmtId="0" fontId="32" fillId="0" borderId="0" xfId="5" applyFont="1"/>
    <xf numFmtId="0" fontId="32" fillId="0" borderId="0" xfId="5" applyFont="1" applyAlignment="1">
      <alignment horizontal="right"/>
    </xf>
    <xf numFmtId="0" fontId="32" fillId="0" borderId="0" xfId="5" applyFont="1" applyFill="1" applyBorder="1" applyAlignment="1">
      <alignment horizontal="right"/>
    </xf>
    <xf numFmtId="9" fontId="3" fillId="0" borderId="0" xfId="1" applyFont="1" applyAlignment="1"/>
    <xf numFmtId="9" fontId="3" fillId="0" borderId="0" xfId="0" applyNumberFormat="1" applyFont="1"/>
    <xf numFmtId="9" fontId="3" fillId="0" borderId="0" xfId="1" applyFont="1" applyFill="1" applyAlignment="1"/>
    <xf numFmtId="41" fontId="3" fillId="0" borderId="5" xfId="0" applyNumberFormat="1" applyFont="1" applyBorder="1"/>
    <xf numFmtId="0" fontId="9" fillId="0" borderId="0" xfId="0" applyFont="1"/>
    <xf numFmtId="0" fontId="11" fillId="10" borderId="0" xfId="0" applyFont="1" applyFill="1" applyAlignment="1">
      <alignment horizontal="left"/>
    </xf>
    <xf numFmtId="0" fontId="11" fillId="0" borderId="0" xfId="0" applyFont="1" applyAlignment="1">
      <alignment horizontal="left"/>
    </xf>
    <xf numFmtId="0" fontId="12" fillId="0" borderId="0" xfId="0" applyFont="1"/>
    <xf numFmtId="42" fontId="3" fillId="0" borderId="5" xfId="0" applyNumberFormat="1" applyFont="1" applyBorder="1"/>
    <xf numFmtId="172" fontId="3" fillId="0" borderId="0" xfId="0" applyNumberFormat="1" applyFont="1"/>
    <xf numFmtId="3" fontId="33" fillId="0" borderId="0" xfId="0" applyNumberFormat="1" applyFont="1" applyAlignment="1">
      <alignment vertical="center"/>
    </xf>
    <xf numFmtId="0" fontId="34" fillId="0" borderId="0" xfId="4" applyFont="1"/>
    <xf numFmtId="0" fontId="15" fillId="0" borderId="0" xfId="4" applyFont="1"/>
    <xf numFmtId="0" fontId="9" fillId="0" borderId="0" xfId="4" applyFont="1"/>
    <xf numFmtId="0" fontId="7" fillId="0" borderId="0" xfId="4" applyFont="1"/>
    <xf numFmtId="44" fontId="9" fillId="0" borderId="0" xfId="4" applyNumberFormat="1" applyFont="1"/>
    <xf numFmtId="0" fontId="27" fillId="3" borderId="0" xfId="4" applyFont="1" applyFill="1"/>
    <xf numFmtId="0" fontId="27" fillId="3" borderId="0" xfId="4" applyFont="1" applyFill="1" applyAlignment="1">
      <alignment horizontal="center"/>
    </xf>
    <xf numFmtId="0" fontId="25" fillId="3" borderId="0" xfId="4" applyFont="1" applyFill="1" applyAlignment="1">
      <alignment horizontal="centerContinuous"/>
    </xf>
    <xf numFmtId="0" fontId="27" fillId="3" borderId="0" xfId="4" applyFont="1" applyFill="1" applyAlignment="1">
      <alignment horizontal="centerContinuous"/>
    </xf>
    <xf numFmtId="0" fontId="25" fillId="3" borderId="0" xfId="4" applyFont="1" applyFill="1"/>
    <xf numFmtId="0" fontId="35" fillId="3" borderId="0" xfId="4" applyFont="1" applyFill="1"/>
    <xf numFmtId="0" fontId="27" fillId="3" borderId="5" xfId="4" applyFont="1" applyFill="1" applyBorder="1" applyAlignment="1">
      <alignment horizontal="center"/>
    </xf>
    <xf numFmtId="0" fontId="9" fillId="0" borderId="0" xfId="4" applyFont="1" applyAlignment="1">
      <alignment horizontal="left"/>
    </xf>
    <xf numFmtId="0" fontId="9" fillId="0" borderId="0" xfId="4" applyFont="1" applyAlignment="1">
      <alignment horizontal="center"/>
    </xf>
    <xf numFmtId="14" fontId="7" fillId="0" borderId="0" xfId="7" applyNumberFormat="1" applyFont="1" applyAlignment="1">
      <alignment horizontal="left" vertical="top"/>
    </xf>
    <xf numFmtId="180" fontId="6" fillId="0" borderId="0" xfId="0" applyNumberFormat="1" applyFont="1" applyAlignment="1">
      <alignment vertical="top" wrapText="1"/>
    </xf>
    <xf numFmtId="177" fontId="6" fillId="0" borderId="0" xfId="0" applyNumberFormat="1" applyFont="1" applyAlignment="1">
      <alignment vertical="top" wrapText="1"/>
    </xf>
    <xf numFmtId="188" fontId="7" fillId="0" borderId="0" xfId="8" applyNumberFormat="1" applyFont="1" applyAlignment="1">
      <alignment vertical="top" wrapText="1"/>
    </xf>
    <xf numFmtId="44" fontId="6" fillId="0" borderId="0" xfId="8" applyNumberFormat="1" applyFont="1" applyAlignment="1">
      <alignment vertical="top" wrapText="1"/>
    </xf>
    <xf numFmtId="191" fontId="7" fillId="0" borderId="0" xfId="8" applyNumberFormat="1" applyFont="1" applyAlignment="1">
      <alignment vertical="top" wrapText="1"/>
    </xf>
    <xf numFmtId="0" fontId="7" fillId="0" borderId="0" xfId="7" applyFont="1" applyAlignment="1">
      <alignment horizontal="left" vertical="top"/>
    </xf>
    <xf numFmtId="179" fontId="6" fillId="0" borderId="0" xfId="0" applyNumberFormat="1" applyFont="1" applyAlignment="1">
      <alignment vertical="top" wrapText="1"/>
    </xf>
    <xf numFmtId="0" fontId="37" fillId="0" borderId="0" xfId="4" applyFont="1"/>
    <xf numFmtId="192" fontId="37" fillId="0" borderId="0" xfId="4" applyNumberFormat="1" applyFont="1" applyAlignment="1">
      <alignment horizontal="right"/>
    </xf>
    <xf numFmtId="193" fontId="37" fillId="0" borderId="0" xfId="4" applyNumberFormat="1" applyFont="1"/>
    <xf numFmtId="188" fontId="37" fillId="0" borderId="0" xfId="4" applyNumberFormat="1" applyFont="1" applyAlignment="1">
      <alignment horizontal="right"/>
    </xf>
    <xf numFmtId="0" fontId="7" fillId="0" borderId="7" xfId="4" applyFont="1" applyBorder="1" applyAlignment="1">
      <alignment horizontal="left"/>
    </xf>
    <xf numFmtId="0" fontId="7" fillId="0" borderId="6" xfId="4" applyFont="1" applyBorder="1" applyAlignment="1">
      <alignment horizontal="left"/>
    </xf>
    <xf numFmtId="0" fontId="37" fillId="0" borderId="6" xfId="4" applyFont="1" applyBorder="1" applyAlignment="1">
      <alignment horizontal="right"/>
    </xf>
    <xf numFmtId="42" fontId="7" fillId="0" borderId="6" xfId="4" applyNumberFormat="1" applyFont="1" applyBorder="1"/>
    <xf numFmtId="188" fontId="7" fillId="0" borderId="6" xfId="4" applyNumberFormat="1" applyFont="1" applyBorder="1"/>
    <xf numFmtId="188" fontId="37" fillId="0" borderId="6" xfId="4" applyNumberFormat="1" applyFont="1" applyBorder="1"/>
    <xf numFmtId="191" fontId="7" fillId="0" borderId="6" xfId="4" applyNumberFormat="1" applyFont="1" applyBorder="1"/>
    <xf numFmtId="191" fontId="7" fillId="0" borderId="8" xfId="4" applyNumberFormat="1" applyFont="1" applyBorder="1"/>
    <xf numFmtId="0" fontId="7" fillId="0" borderId="11" xfId="4" applyFont="1" applyBorder="1" applyAlignment="1">
      <alignment horizontal="left"/>
    </xf>
    <xf numFmtId="0" fontId="7" fillId="0" borderId="0" xfId="4" applyFont="1" applyAlignment="1">
      <alignment horizontal="left"/>
    </xf>
    <xf numFmtId="0" fontId="37" fillId="0" borderId="0" xfId="4" applyFont="1" applyAlignment="1">
      <alignment horizontal="right"/>
    </xf>
    <xf numFmtId="180" fontId="7" fillId="0" borderId="0" xfId="4" applyNumberFormat="1" applyFont="1"/>
    <xf numFmtId="188" fontId="7" fillId="0" borderId="0" xfId="4" applyNumberFormat="1" applyFont="1"/>
    <xf numFmtId="188" fontId="37" fillId="0" borderId="0" xfId="4" applyNumberFormat="1" applyFont="1"/>
    <xf numFmtId="191" fontId="7" fillId="0" borderId="0" xfId="4" applyNumberFormat="1" applyFont="1"/>
    <xf numFmtId="191" fontId="7" fillId="0" borderId="12" xfId="4" applyNumberFormat="1" applyFont="1" applyBorder="1"/>
    <xf numFmtId="0" fontId="15" fillId="4" borderId="13" xfId="4" applyFont="1" applyFill="1" applyBorder="1" applyAlignment="1">
      <alignment horizontal="left"/>
    </xf>
    <xf numFmtId="0" fontId="15" fillId="4" borderId="14" xfId="4" applyFont="1" applyFill="1" applyBorder="1" applyAlignment="1">
      <alignment horizontal="left"/>
    </xf>
    <xf numFmtId="0" fontId="15" fillId="4" borderId="14" xfId="4" applyFont="1" applyFill="1" applyBorder="1" applyAlignment="1">
      <alignment horizontal="right"/>
    </xf>
    <xf numFmtId="180" fontId="15" fillId="4" borderId="14" xfId="4" applyNumberFormat="1" applyFont="1" applyFill="1" applyBorder="1"/>
    <xf numFmtId="188" fontId="15" fillId="4" borderId="14" xfId="4" applyNumberFormat="1" applyFont="1" applyFill="1" applyBorder="1"/>
    <xf numFmtId="191" fontId="15" fillId="4" borderId="14" xfId="4" applyNumberFormat="1" applyFont="1" applyFill="1" applyBorder="1"/>
    <xf numFmtId="191" fontId="15" fillId="4" borderId="15" xfId="4" applyNumberFormat="1" applyFont="1" applyFill="1" applyBorder="1"/>
    <xf numFmtId="0" fontId="7" fillId="0" borderId="9" xfId="4" applyFont="1" applyBorder="1" applyAlignment="1">
      <alignment horizontal="left"/>
    </xf>
    <xf numFmtId="0" fontId="7" fillId="0" borderId="5" xfId="4" applyFont="1" applyBorder="1" applyAlignment="1">
      <alignment horizontal="left"/>
    </xf>
    <xf numFmtId="0" fontId="37" fillId="0" borderId="5" xfId="4" applyFont="1" applyBorder="1" applyAlignment="1">
      <alignment horizontal="right"/>
    </xf>
    <xf numFmtId="180" fontId="7" fillId="0" borderId="5" xfId="4" applyNumberFormat="1" applyFont="1" applyBorder="1"/>
    <xf numFmtId="188" fontId="7" fillId="0" borderId="5" xfId="4" applyNumberFormat="1" applyFont="1" applyBorder="1"/>
    <xf numFmtId="188" fontId="37" fillId="0" borderId="5" xfId="4" applyNumberFormat="1" applyFont="1" applyBorder="1"/>
    <xf numFmtId="191" fontId="7" fillId="0" borderId="5" xfId="4" applyNumberFormat="1" applyFont="1" applyBorder="1"/>
    <xf numFmtId="191" fontId="7" fillId="0" borderId="10" xfId="4" applyNumberFormat="1" applyFont="1" applyBorder="1"/>
    <xf numFmtId="3" fontId="38" fillId="0" borderId="0" xfId="0" applyNumberFormat="1" applyFont="1"/>
    <xf numFmtId="3" fontId="0" fillId="0" borderId="0" xfId="0" applyNumberFormat="1"/>
    <xf numFmtId="0" fontId="11" fillId="0" borderId="0" xfId="3" applyFont="1"/>
    <xf numFmtId="0" fontId="39" fillId="0" borderId="0" xfId="0" applyFont="1"/>
    <xf numFmtId="1" fontId="7" fillId="0" borderId="0" xfId="4" applyNumberFormat="1" applyFont="1"/>
    <xf numFmtId="0" fontId="29" fillId="0" borderId="0" xfId="6" applyFont="1" applyAlignment="1">
      <alignment horizontal="left"/>
    </xf>
    <xf numFmtId="0" fontId="27" fillId="3" borderId="0" xfId="6" applyFont="1" applyFill="1" applyAlignment="1">
      <alignment horizontal="left"/>
    </xf>
    <xf numFmtId="0" fontId="27" fillId="3" borderId="0" xfId="3" applyFont="1" applyFill="1"/>
    <xf numFmtId="0" fontId="25" fillId="3" borderId="0" xfId="3" applyFont="1" applyFill="1" applyAlignment="1">
      <alignment horizontal="centerContinuous"/>
    </xf>
    <xf numFmtId="0" fontId="26" fillId="3" borderId="0" xfId="3" applyFont="1" applyFill="1" applyAlignment="1">
      <alignment horizontal="centerContinuous"/>
    </xf>
    <xf numFmtId="0" fontId="35" fillId="3" borderId="0" xfId="3" applyFont="1" applyFill="1"/>
    <xf numFmtId="0" fontId="27" fillId="3" borderId="0" xfId="3" applyFont="1" applyFill="1" applyAlignment="1">
      <alignment horizontal="center"/>
    </xf>
    <xf numFmtId="0" fontId="35" fillId="3" borderId="0" xfId="3" applyFont="1" applyFill="1" applyAlignment="1">
      <alignment horizontal="centerContinuous"/>
    </xf>
    <xf numFmtId="0" fontId="27" fillId="3" borderId="5" xfId="3" applyFont="1" applyFill="1" applyBorder="1"/>
    <xf numFmtId="0" fontId="27" fillId="3" borderId="5" xfId="3" applyFont="1" applyFill="1" applyBorder="1" applyAlignment="1">
      <alignment horizontal="center"/>
    </xf>
    <xf numFmtId="195" fontId="4" fillId="3" borderId="5" xfId="0" applyNumberFormat="1" applyFont="1" applyFill="1" applyBorder="1" applyAlignment="1">
      <alignment horizontal="center"/>
    </xf>
    <xf numFmtId="42" fontId="7" fillId="0" borderId="0" xfId="4" applyNumberFormat="1" applyFont="1"/>
    <xf numFmtId="197" fontId="9" fillId="0" borderId="0" xfId="3" applyNumberFormat="1" applyFont="1"/>
    <xf numFmtId="0" fontId="9" fillId="0" borderId="7" xfId="3" applyFont="1" applyBorder="1"/>
    <xf numFmtId="0" fontId="9" fillId="0" borderId="6" xfId="3" applyFont="1" applyBorder="1"/>
    <xf numFmtId="44" fontId="9" fillId="0" borderId="6" xfId="3" applyNumberFormat="1" applyFont="1" applyBorder="1"/>
    <xf numFmtId="198" fontId="9" fillId="0" borderId="6" xfId="3" applyNumberFormat="1" applyFont="1" applyBorder="1"/>
    <xf numFmtId="197" fontId="9" fillId="0" borderId="8" xfId="3" applyNumberFormat="1" applyFont="1" applyBorder="1"/>
    <xf numFmtId="0" fontId="9" fillId="0" borderId="11" xfId="3" applyFont="1" applyBorder="1"/>
    <xf numFmtId="43" fontId="9" fillId="0" borderId="0" xfId="3" applyNumberFormat="1" applyFont="1"/>
    <xf numFmtId="199" fontId="9" fillId="0" borderId="0" xfId="3" applyNumberFormat="1" applyFont="1"/>
    <xf numFmtId="197" fontId="9" fillId="0" borderId="12" xfId="3" applyNumberFormat="1" applyFont="1" applyBorder="1"/>
    <xf numFmtId="0" fontId="15" fillId="8" borderId="13" xfId="3" applyFont="1" applyFill="1" applyBorder="1"/>
    <xf numFmtId="0" fontId="15" fillId="8" borderId="14" xfId="3" applyFont="1" applyFill="1" applyBorder="1"/>
    <xf numFmtId="44" fontId="15" fillId="8" borderId="14" xfId="3" applyNumberFormat="1" applyFont="1" applyFill="1" applyBorder="1"/>
    <xf numFmtId="165" fontId="15" fillId="8" borderId="14" xfId="3" applyNumberFormat="1" applyFont="1" applyFill="1" applyBorder="1"/>
    <xf numFmtId="198" fontId="15" fillId="8" borderId="14" xfId="3" applyNumberFormat="1" applyFont="1" applyFill="1" applyBorder="1"/>
    <xf numFmtId="197" fontId="15" fillId="8" borderId="15" xfId="3" applyNumberFormat="1" applyFont="1" applyFill="1" applyBorder="1"/>
    <xf numFmtId="0" fontId="9" fillId="0" borderId="9" xfId="3" applyFont="1" applyBorder="1"/>
    <xf numFmtId="0" fontId="15" fillId="0" borderId="5" xfId="3" applyFont="1" applyBorder="1"/>
    <xf numFmtId="43" fontId="9" fillId="0" borderId="5" xfId="3" applyNumberFormat="1" applyFont="1" applyBorder="1"/>
    <xf numFmtId="199" fontId="9" fillId="0" borderId="5" xfId="3" applyNumberFormat="1" applyFont="1" applyBorder="1"/>
    <xf numFmtId="197" fontId="9" fillId="0" borderId="10" xfId="3" applyNumberFormat="1" applyFont="1" applyBorder="1"/>
    <xf numFmtId="0" fontId="40" fillId="0" borderId="0" xfId="0" applyFont="1"/>
    <xf numFmtId="42" fontId="4" fillId="4" borderId="13" xfId="4" applyNumberFormat="1" applyFont="1" applyFill="1" applyBorder="1"/>
    <xf numFmtId="0" fontId="4" fillId="4" borderId="14" xfId="3" applyFont="1" applyFill="1" applyBorder="1"/>
    <xf numFmtId="200" fontId="4" fillId="4" borderId="14" xfId="4" applyNumberFormat="1" applyFont="1" applyFill="1" applyBorder="1"/>
    <xf numFmtId="42" fontId="4" fillId="4" borderId="14" xfId="4" applyNumberFormat="1" applyFont="1" applyFill="1" applyBorder="1"/>
    <xf numFmtId="185" fontId="4" fillId="4" borderId="14" xfId="4" applyNumberFormat="1" applyFont="1" applyFill="1" applyBorder="1"/>
    <xf numFmtId="9" fontId="4" fillId="4" borderId="14" xfId="1" applyFont="1" applyFill="1" applyBorder="1"/>
    <xf numFmtId="0" fontId="4" fillId="0" borderId="0" xfId="3" applyFont="1"/>
    <xf numFmtId="44" fontId="4" fillId="0" borderId="0" xfId="3" applyNumberFormat="1" applyFont="1"/>
    <xf numFmtId="199" fontId="4" fillId="0" borderId="0" xfId="3" applyNumberFormat="1" applyFont="1"/>
    <xf numFmtId="175" fontId="4" fillId="0" borderId="0" xfId="3" applyNumberFormat="1" applyFont="1"/>
    <xf numFmtId="43" fontId="4" fillId="0" borderId="0" xfId="3" applyNumberFormat="1" applyFont="1" applyAlignment="1">
      <alignment horizontal="center"/>
    </xf>
    <xf numFmtId="197" fontId="4" fillId="0" borderId="0" xfId="3" applyNumberFormat="1" applyFont="1" applyAlignment="1">
      <alignment horizontal="center"/>
    </xf>
    <xf numFmtId="174" fontId="4" fillId="0" borderId="0" xfId="3" applyNumberFormat="1" applyFont="1"/>
    <xf numFmtId="0" fontId="9" fillId="0" borderId="0" xfId="3" applyFont="1" applyAlignment="1">
      <alignment horizontal="center"/>
    </xf>
    <xf numFmtId="43" fontId="9" fillId="0" borderId="0" xfId="3" applyNumberFormat="1" applyFont="1" applyAlignment="1">
      <alignment horizontal="center"/>
    </xf>
    <xf numFmtId="195" fontId="4" fillId="3" borderId="0" xfId="0" applyNumberFormat="1" applyFont="1" applyFill="1" applyAlignment="1">
      <alignment horizontal="center"/>
    </xf>
    <xf numFmtId="0" fontId="15" fillId="0" borderId="0" xfId="3" applyFont="1" applyAlignment="1">
      <alignment horizontal="center"/>
    </xf>
    <xf numFmtId="176" fontId="9" fillId="0" borderId="6" xfId="3" applyNumberFormat="1" applyFont="1" applyBorder="1"/>
    <xf numFmtId="176" fontId="9" fillId="0" borderId="8" xfId="3" applyNumberFormat="1" applyFont="1" applyBorder="1"/>
    <xf numFmtId="176" fontId="9" fillId="0" borderId="12" xfId="3" applyNumberFormat="1" applyFont="1" applyBorder="1"/>
    <xf numFmtId="0" fontId="15" fillId="4" borderId="13" xfId="3" applyFont="1" applyFill="1" applyBorder="1"/>
    <xf numFmtId="0" fontId="15" fillId="4" borderId="14" xfId="3" applyFont="1" applyFill="1" applyBorder="1"/>
    <xf numFmtId="44" fontId="15" fillId="4" borderId="14" xfId="3" applyNumberFormat="1" applyFont="1" applyFill="1" applyBorder="1"/>
    <xf numFmtId="165" fontId="15" fillId="4" borderId="14" xfId="3" applyNumberFormat="1" applyFont="1" applyFill="1" applyBorder="1"/>
    <xf numFmtId="198" fontId="15" fillId="4" borderId="14" xfId="3" applyNumberFormat="1" applyFont="1" applyFill="1" applyBorder="1"/>
    <xf numFmtId="176" fontId="15" fillId="4" borderId="14" xfId="3" applyNumberFormat="1" applyFont="1" applyFill="1" applyBorder="1"/>
    <xf numFmtId="176" fontId="15" fillId="4" borderId="15" xfId="3" applyNumberFormat="1" applyFont="1" applyFill="1" applyBorder="1"/>
    <xf numFmtId="176" fontId="9" fillId="0" borderId="5" xfId="3" applyNumberFormat="1" applyFont="1" applyBorder="1"/>
    <xf numFmtId="176" fontId="9" fillId="0" borderId="10" xfId="3" applyNumberFormat="1" applyFont="1" applyBorder="1"/>
    <xf numFmtId="184" fontId="4" fillId="4" borderId="13" xfId="4" applyNumberFormat="1" applyFont="1" applyFill="1" applyBorder="1"/>
    <xf numFmtId="44" fontId="4" fillId="4" borderId="14" xfId="3" applyNumberFormat="1" applyFont="1" applyFill="1" applyBorder="1"/>
    <xf numFmtId="184" fontId="4" fillId="4" borderId="14" xfId="4" applyNumberFormat="1" applyFont="1" applyFill="1" applyBorder="1"/>
    <xf numFmtId="184" fontId="4" fillId="4" borderId="15" xfId="4" applyNumberFormat="1" applyFont="1" applyFill="1" applyBorder="1"/>
    <xf numFmtId="0" fontId="41" fillId="0" borderId="0" xfId="9" applyFont="1"/>
    <xf numFmtId="0" fontId="3" fillId="0" borderId="0" xfId="9" applyFont="1"/>
    <xf numFmtId="176" fontId="10" fillId="0" borderId="0" xfId="0" applyNumberFormat="1" applyFont="1" applyAlignment="1">
      <alignment horizontal="center"/>
    </xf>
    <xf numFmtId="42" fontId="10" fillId="0" borderId="0" xfId="0" applyNumberFormat="1" applyFont="1" applyAlignment="1">
      <alignment horizontal="center"/>
    </xf>
    <xf numFmtId="41" fontId="10" fillId="0" borderId="0" xfId="0" applyNumberFormat="1" applyFont="1" applyAlignment="1">
      <alignment horizontal="center"/>
    </xf>
    <xf numFmtId="0" fontId="9" fillId="0" borderId="0" xfId="4" applyFont="1" applyAlignment="1">
      <alignment horizontal="left" indent="1"/>
    </xf>
    <xf numFmtId="191" fontId="10" fillId="0" borderId="0" xfId="4" applyNumberFormat="1" applyFont="1" applyAlignment="1">
      <alignment horizontal="center"/>
    </xf>
    <xf numFmtId="0" fontId="15" fillId="6" borderId="5" xfId="3" applyFont="1" applyFill="1" applyBorder="1"/>
    <xf numFmtId="0" fontId="3" fillId="6" borderId="5" xfId="0" applyFont="1" applyFill="1" applyBorder="1"/>
    <xf numFmtId="0" fontId="15" fillId="6" borderId="6" xfId="3" applyFont="1" applyFill="1" applyBorder="1" applyAlignment="1">
      <alignment horizontal="left"/>
    </xf>
    <xf numFmtId="0" fontId="9" fillId="6" borderId="6" xfId="3" applyFont="1" applyFill="1" applyBorder="1"/>
    <xf numFmtId="0" fontId="15" fillId="11" borderId="7" xfId="3" applyFont="1" applyFill="1" applyBorder="1"/>
    <xf numFmtId="0" fontId="9" fillId="11" borderId="6" xfId="3" applyFont="1" applyFill="1" applyBorder="1"/>
    <xf numFmtId="44" fontId="15" fillId="11" borderId="8" xfId="3" applyNumberFormat="1" applyFont="1" applyFill="1" applyBorder="1"/>
    <xf numFmtId="0" fontId="15" fillId="11" borderId="9" xfId="3" applyFont="1" applyFill="1" applyBorder="1"/>
    <xf numFmtId="0" fontId="9" fillId="11" borderId="5" xfId="3" applyFont="1" applyFill="1" applyBorder="1"/>
    <xf numFmtId="168" fontId="15" fillId="11" borderId="10" xfId="3" applyNumberFormat="1" applyFont="1" applyFill="1" applyBorder="1"/>
    <xf numFmtId="0" fontId="0" fillId="0" borderId="0" xfId="0" applyAlignment="1">
      <alignment wrapText="1"/>
    </xf>
    <xf numFmtId="0" fontId="41" fillId="0" borderId="0" xfId="0" applyFont="1"/>
    <xf numFmtId="0" fontId="42" fillId="0" borderId="0" xfId="0" applyFont="1"/>
    <xf numFmtId="0" fontId="43" fillId="12" borderId="0" xfId="0" applyFont="1" applyFill="1"/>
    <xf numFmtId="0" fontId="44" fillId="12" borderId="0" xfId="0" applyFont="1" applyFill="1"/>
    <xf numFmtId="0" fontId="44" fillId="0" borderId="0" xfId="0" applyFont="1"/>
    <xf numFmtId="201" fontId="45" fillId="0" borderId="0" xfId="0" applyNumberFormat="1" applyFont="1"/>
    <xf numFmtId="0" fontId="46" fillId="0" borderId="0" xfId="0" applyFont="1"/>
    <xf numFmtId="0" fontId="47" fillId="0" borderId="0" xfId="0" applyFont="1"/>
    <xf numFmtId="1" fontId="47" fillId="0" borderId="0" xfId="0" applyNumberFormat="1" applyFont="1"/>
    <xf numFmtId="0" fontId="27" fillId="12" borderId="0" xfId="3" applyFont="1" applyFill="1"/>
    <xf numFmtId="0" fontId="27" fillId="12" borderId="0" xfId="3" applyFont="1" applyFill="1" applyAlignment="1">
      <alignment horizontal="center"/>
    </xf>
    <xf numFmtId="1" fontId="9" fillId="0" borderId="0" xfId="3" applyNumberFormat="1" applyFont="1"/>
    <xf numFmtId="174" fontId="9" fillId="0" borderId="0" xfId="1" applyNumberFormat="1" applyFont="1"/>
    <xf numFmtId="9" fontId="9" fillId="0" borderId="0" xfId="1" applyFont="1"/>
    <xf numFmtId="202" fontId="39" fillId="0" borderId="0" xfId="0" applyNumberFormat="1" applyFont="1"/>
    <xf numFmtId="174" fontId="9" fillId="0" borderId="0" xfId="3" applyNumberFormat="1" applyFont="1"/>
    <xf numFmtId="0" fontId="3" fillId="0" borderId="0" xfId="0" applyFont="1" applyAlignment="1">
      <alignment horizontal="center"/>
    </xf>
    <xf numFmtId="0" fontId="15" fillId="8" borderId="0" xfId="3" applyFont="1" applyFill="1" applyAlignment="1">
      <alignment horizontal="left"/>
    </xf>
    <xf numFmtId="0" fontId="15" fillId="8" borderId="0" xfId="3" applyFont="1" applyFill="1"/>
    <xf numFmtId="196" fontId="15" fillId="8" borderId="0" xfId="3" applyNumberFormat="1" applyFont="1" applyFill="1"/>
    <xf numFmtId="203" fontId="15" fillId="8" borderId="0" xfId="3" applyNumberFormat="1" applyFont="1" applyFill="1" applyAlignment="1">
      <alignment horizontal="right"/>
    </xf>
    <xf numFmtId="174" fontId="15" fillId="8" borderId="0" xfId="1" applyNumberFormat="1" applyFont="1" applyFill="1"/>
    <xf numFmtId="9" fontId="15" fillId="8" borderId="0" xfId="1" applyFont="1" applyFill="1"/>
    <xf numFmtId="203" fontId="15" fillId="8" borderId="0" xfId="3" applyNumberFormat="1" applyFont="1" applyFill="1"/>
    <xf numFmtId="196" fontId="15" fillId="8" borderId="0" xfId="3" applyNumberFormat="1" applyFont="1" applyFill="1" applyAlignment="1">
      <alignment horizontal="right"/>
    </xf>
    <xf numFmtId="0" fontId="4" fillId="4" borderId="0" xfId="3" applyFont="1" applyFill="1"/>
    <xf numFmtId="174" fontId="4" fillId="4" borderId="0" xfId="1" applyNumberFormat="1" applyFont="1" applyFill="1"/>
    <xf numFmtId="9" fontId="4" fillId="4" borderId="0" xfId="1" applyFont="1" applyFill="1"/>
    <xf numFmtId="174" fontId="4" fillId="4" borderId="0" xfId="3" applyNumberFormat="1" applyFont="1" applyFill="1"/>
    <xf numFmtId="43" fontId="4" fillId="4" borderId="0" xfId="3" applyNumberFormat="1" applyFont="1" applyFill="1"/>
    <xf numFmtId="196" fontId="9" fillId="0" borderId="0" xfId="3" applyNumberFormat="1" applyFont="1"/>
    <xf numFmtId="186" fontId="9" fillId="0" borderId="0" xfId="3" applyNumberFormat="1" applyFont="1"/>
    <xf numFmtId="174" fontId="9" fillId="0" borderId="0" xfId="3" applyNumberFormat="1" applyFont="1" applyAlignment="1">
      <alignment horizontal="center"/>
    </xf>
    <xf numFmtId="186" fontId="9" fillId="0" borderId="0" xfId="3" applyNumberFormat="1" applyFont="1" applyAlignment="1">
      <alignment horizontal="center"/>
    </xf>
    <xf numFmtId="196" fontId="3" fillId="0" borderId="0" xfId="0" applyNumberFormat="1" applyFont="1"/>
    <xf numFmtId="0" fontId="4" fillId="8" borderId="0" xfId="3" applyFont="1" applyFill="1"/>
    <xf numFmtId="178" fontId="4" fillId="8" borderId="0" xfId="3" applyNumberFormat="1" applyFont="1" applyFill="1"/>
    <xf numFmtId="201" fontId="4" fillId="8" borderId="0" xfId="3" applyNumberFormat="1" applyFont="1" applyFill="1"/>
    <xf numFmtId="0" fontId="3" fillId="0" borderId="0" xfId="10" applyFont="1"/>
    <xf numFmtId="0" fontId="3" fillId="0" borderId="0" xfId="10" applyFont="1" applyAlignment="1">
      <alignment horizontal="center"/>
    </xf>
    <xf numFmtId="166" fontId="0" fillId="0" borderId="0" xfId="0" applyNumberFormat="1"/>
    <xf numFmtId="0" fontId="10" fillId="0" borderId="0" xfId="10" applyFont="1"/>
    <xf numFmtId="43" fontId="0" fillId="0" borderId="0" xfId="0" applyNumberFormat="1"/>
    <xf numFmtId="0" fontId="14" fillId="0" borderId="0" xfId="0" applyFont="1"/>
    <xf numFmtId="0" fontId="48" fillId="0" borderId="0" xfId="0" applyFont="1"/>
    <xf numFmtId="0" fontId="49" fillId="0" borderId="0" xfId="0" applyFont="1"/>
    <xf numFmtId="0" fontId="50" fillId="0" borderId="0" xfId="4" applyFont="1"/>
    <xf numFmtId="0" fontId="51" fillId="3" borderId="0" xfId="0" applyFont="1" applyFill="1"/>
    <xf numFmtId="0" fontId="52" fillId="3" borderId="0" xfId="0" applyFont="1" applyFill="1"/>
    <xf numFmtId="0" fontId="53" fillId="3" borderId="5" xfId="0" applyFont="1" applyFill="1" applyBorder="1"/>
    <xf numFmtId="0" fontId="51" fillId="3" borderId="5" xfId="0" applyFont="1" applyFill="1" applyBorder="1"/>
    <xf numFmtId="0" fontId="52" fillId="3" borderId="5" xfId="0" applyFont="1" applyFill="1" applyBorder="1"/>
    <xf numFmtId="195" fontId="53" fillId="3" borderId="5" xfId="0" applyNumberFormat="1" applyFont="1" applyFill="1" applyBorder="1" applyAlignment="1">
      <alignment horizontal="center"/>
    </xf>
    <xf numFmtId="0" fontId="49" fillId="0" borderId="0" xfId="0" applyFont="1" applyAlignment="1">
      <alignment horizontal="left" indent="1"/>
    </xf>
    <xf numFmtId="168" fontId="55" fillId="0" borderId="0" xfId="0" applyNumberFormat="1" applyFont="1"/>
    <xf numFmtId="180" fontId="54" fillId="0" borderId="0" xfId="10" applyNumberFormat="1" applyFont="1"/>
    <xf numFmtId="180" fontId="54" fillId="0" borderId="0" xfId="0" applyNumberFormat="1" applyFont="1"/>
    <xf numFmtId="180" fontId="34" fillId="0" borderId="0" xfId="0" applyNumberFormat="1" applyFont="1"/>
    <xf numFmtId="0" fontId="48" fillId="0" borderId="0" xfId="0" applyFont="1" applyAlignment="1">
      <alignment horizontal="left" indent="1"/>
    </xf>
    <xf numFmtId="41" fontId="54" fillId="0" borderId="0" xfId="10" applyNumberFormat="1" applyFont="1"/>
    <xf numFmtId="0" fontId="20" fillId="0" borderId="6" xfId="0" applyFont="1" applyBorder="1"/>
    <xf numFmtId="180" fontId="20" fillId="0" borderId="6" xfId="0" applyNumberFormat="1" applyFont="1" applyBorder="1"/>
    <xf numFmtId="43" fontId="48" fillId="0" borderId="0" xfId="0" applyNumberFormat="1" applyFont="1"/>
    <xf numFmtId="41" fontId="56" fillId="0" borderId="0" xfId="10" applyNumberFormat="1" applyFont="1"/>
    <xf numFmtId="180" fontId="20" fillId="0" borderId="0" xfId="0" applyNumberFormat="1" applyFont="1"/>
    <xf numFmtId="0" fontId="57" fillId="3" borderId="5" xfId="0" applyFont="1" applyFill="1" applyBorder="1"/>
    <xf numFmtId="0" fontId="27" fillId="3" borderId="5" xfId="11" applyFont="1" applyFill="1" applyBorder="1" applyAlignment="1">
      <alignment horizontal="left"/>
    </xf>
    <xf numFmtId="0" fontId="27" fillId="0" borderId="0" xfId="11" applyFont="1" applyAlignment="1">
      <alignment horizontal="left"/>
    </xf>
    <xf numFmtId="0" fontId="11" fillId="0" borderId="5" xfId="11" applyFont="1" applyBorder="1" applyAlignment="1">
      <alignment horizontal="center"/>
    </xf>
    <xf numFmtId="190" fontId="0" fillId="0" borderId="0" xfId="0" applyNumberFormat="1" applyAlignment="1">
      <alignment horizontal="center"/>
    </xf>
    <xf numFmtId="42" fontId="0" fillId="0" borderId="0" xfId="0" applyNumberFormat="1" applyAlignment="1">
      <alignment horizontal="center"/>
    </xf>
    <xf numFmtId="174" fontId="0" fillId="0" borderId="0" xfId="0" applyNumberFormat="1" applyAlignment="1">
      <alignment horizontal="center"/>
    </xf>
    <xf numFmtId="190" fontId="0" fillId="0" borderId="0" xfId="0" applyNumberFormat="1"/>
    <xf numFmtId="42" fontId="0" fillId="0" borderId="0" xfId="0" applyNumberFormat="1"/>
    <xf numFmtId="0" fontId="11" fillId="0" borderId="0" xfId="11" applyFont="1"/>
    <xf numFmtId="0" fontId="3" fillId="0" borderId="0" xfId="11" applyFont="1" applyAlignment="1">
      <alignment horizontal="center"/>
    </xf>
    <xf numFmtId="0" fontId="3" fillId="0" borderId="0" xfId="11" applyFont="1"/>
    <xf numFmtId="0" fontId="3" fillId="0" borderId="13" xfId="11" applyFont="1" applyBorder="1"/>
    <xf numFmtId="0" fontId="3" fillId="0" borderId="16" xfId="11" applyFont="1" applyBorder="1"/>
    <xf numFmtId="0" fontId="3" fillId="0" borderId="15" xfId="11" applyFont="1" applyBorder="1"/>
    <xf numFmtId="171" fontId="3" fillId="0" borderId="0" xfId="11" applyNumberFormat="1" applyFont="1" applyAlignment="1">
      <alignment horizontal="center"/>
    </xf>
    <xf numFmtId="0" fontId="11" fillId="0" borderId="0" xfId="11" applyFont="1" applyAlignment="1">
      <alignment horizontal="centerContinuous"/>
    </xf>
    <xf numFmtId="0" fontId="3" fillId="0" borderId="0" xfId="11" applyFont="1" applyAlignment="1">
      <alignment horizontal="centerContinuous"/>
    </xf>
    <xf numFmtId="14" fontId="10" fillId="0" borderId="5" xfId="11" applyNumberFormat="1" applyFont="1" applyBorder="1"/>
    <xf numFmtId="1" fontId="10" fillId="0" borderId="5" xfId="4" applyNumberFormat="1" applyFont="1" applyBorder="1"/>
    <xf numFmtId="42" fontId="3" fillId="0" borderId="0" xfId="11" applyNumberFormat="1" applyFont="1"/>
    <xf numFmtId="9" fontId="3" fillId="0" borderId="0" xfId="11" applyNumberFormat="1" applyFont="1"/>
    <xf numFmtId="0" fontId="10" fillId="0" borderId="5" xfId="4" applyFont="1" applyBorder="1"/>
    <xf numFmtId="0" fontId="3" fillId="0" borderId="5" xfId="11" applyFont="1" applyBorder="1" applyAlignment="1">
      <alignment horizontal="center"/>
    </xf>
    <xf numFmtId="174" fontId="3" fillId="0" borderId="0" xfId="1" applyNumberFormat="1" applyFont="1"/>
    <xf numFmtId="186" fontId="9" fillId="0" borderId="0" xfId="6" applyNumberFormat="1" applyFont="1" applyAlignment="1">
      <alignment horizontal="center"/>
    </xf>
    <xf numFmtId="176" fontId="9" fillId="0" borderId="0" xfId="12" applyNumberFormat="1" applyFont="1" applyAlignment="1">
      <alignment horizontal="center"/>
    </xf>
    <xf numFmtId="0" fontId="3" fillId="0" borderId="0" xfId="11" applyFont="1" applyAlignment="1">
      <alignment horizontal="right"/>
    </xf>
    <xf numFmtId="0" fontId="13" fillId="3" borderId="0" xfId="0" applyFont="1" applyFill="1"/>
    <xf numFmtId="0" fontId="58" fillId="3" borderId="0" xfId="0" applyFont="1" applyFill="1"/>
    <xf numFmtId="0" fontId="4" fillId="3" borderId="2" xfId="0" applyFont="1" applyFill="1" applyBorder="1" applyAlignment="1">
      <alignment horizontal="centerContinuous"/>
    </xf>
    <xf numFmtId="0" fontId="4" fillId="3" borderId="0" xfId="0" applyFont="1" applyFill="1" applyAlignment="1">
      <alignment horizontal="centerContinuous"/>
    </xf>
    <xf numFmtId="0" fontId="9" fillId="0" borderId="0" xfId="11" applyFont="1"/>
    <xf numFmtId="0" fontId="19" fillId="3" borderId="0" xfId="0" applyFont="1" applyFill="1" applyAlignment="1">
      <alignment horizontal="center"/>
    </xf>
    <xf numFmtId="0" fontId="59" fillId="0" borderId="0" xfId="0" applyFont="1" applyAlignment="1">
      <alignment horizontal="center"/>
    </xf>
    <xf numFmtId="186" fontId="14" fillId="0" borderId="0" xfId="0" applyNumberFormat="1" applyFont="1" applyAlignment="1">
      <alignment horizontal="center"/>
    </xf>
    <xf numFmtId="0" fontId="5" fillId="5" borderId="0" xfId="0" applyFont="1" applyFill="1" applyAlignment="1">
      <alignment horizontal="left" vertical="center" indent="1"/>
    </xf>
    <xf numFmtId="9" fontId="10" fillId="0" borderId="0" xfId="1" applyFont="1"/>
    <xf numFmtId="41" fontId="7" fillId="0" borderId="0" xfId="0" applyNumberFormat="1" applyFont="1"/>
    <xf numFmtId="0" fontId="5" fillId="0" borderId="0" xfId="0" applyFont="1"/>
    <xf numFmtId="195" fontId="15" fillId="0" borderId="0" xfId="0" applyNumberFormat="1" applyFont="1" applyAlignment="1">
      <alignment horizontal="center"/>
    </xf>
    <xf numFmtId="0" fontId="29" fillId="0" borderId="0" xfId="11" applyFont="1"/>
    <xf numFmtId="42" fontId="60" fillId="0" borderId="0" xfId="0" applyNumberFormat="1" applyFont="1"/>
    <xf numFmtId="0" fontId="59" fillId="0" borderId="0" xfId="11" applyFont="1" applyAlignment="1">
      <alignment horizontal="left" indent="1"/>
    </xf>
    <xf numFmtId="0" fontId="62" fillId="0" borderId="0" xfId="11" applyFont="1"/>
    <xf numFmtId="0" fontId="63" fillId="0" borderId="0" xfId="11" applyFont="1"/>
    <xf numFmtId="0" fontId="7" fillId="0" borderId="0" xfId="11" applyFont="1"/>
    <xf numFmtId="0" fontId="4" fillId="3" borderId="17" xfId="0" applyFont="1" applyFill="1" applyBorder="1" applyAlignment="1">
      <alignment horizontal="centerContinuous"/>
    </xf>
    <xf numFmtId="0" fontId="4" fillId="3" borderId="5" xfId="0" applyFont="1" applyFill="1" applyBorder="1"/>
    <xf numFmtId="0" fontId="19" fillId="3" borderId="5" xfId="0" applyFont="1" applyFill="1" applyBorder="1" applyAlignment="1">
      <alignment horizontal="center"/>
    </xf>
    <xf numFmtId="195" fontId="4" fillId="0" borderId="0" xfId="0" applyNumberFormat="1" applyFont="1" applyAlignment="1">
      <alignment horizontal="center"/>
    </xf>
    <xf numFmtId="0" fontId="59" fillId="0" borderId="0" xfId="11" applyFont="1" applyAlignment="1">
      <alignment horizontal="center"/>
    </xf>
    <xf numFmtId="176" fontId="10" fillId="0" borderId="0" xfId="4" applyNumberFormat="1" applyFont="1"/>
    <xf numFmtId="186" fontId="61" fillId="0" borderId="0" xfId="0" applyNumberFormat="1" applyFont="1" applyAlignment="1">
      <alignment horizontal="right"/>
    </xf>
    <xf numFmtId="9" fontId="3" fillId="0" borderId="0" xfId="1" applyFont="1" applyAlignment="1">
      <alignment vertical="center"/>
    </xf>
    <xf numFmtId="9" fontId="60" fillId="0" borderId="0" xfId="1" applyFont="1"/>
    <xf numFmtId="185" fontId="3" fillId="0" borderId="0" xfId="0" applyNumberFormat="1" applyFont="1" applyAlignment="1">
      <alignment vertical="center"/>
    </xf>
    <xf numFmtId="185" fontId="3" fillId="0" borderId="0" xfId="0" applyNumberFormat="1" applyFont="1"/>
    <xf numFmtId="0" fontId="14" fillId="0" borderId="0" xfId="0" applyFont="1" applyAlignment="1">
      <alignment horizontal="left" vertical="center" indent="1"/>
    </xf>
    <xf numFmtId="9" fontId="14" fillId="0" borderId="0" xfId="1" applyFont="1" applyAlignment="1">
      <alignment vertical="center"/>
    </xf>
    <xf numFmtId="9" fontId="60" fillId="0" borderId="0" xfId="0" applyNumberFormat="1" applyFont="1"/>
    <xf numFmtId="9" fontId="60" fillId="0" borderId="0" xfId="0" applyNumberFormat="1" applyFont="1" applyAlignment="1">
      <alignment horizontal="center"/>
    </xf>
    <xf numFmtId="4" fontId="3" fillId="0" borderId="0" xfId="11" applyNumberFormat="1" applyFont="1"/>
    <xf numFmtId="171" fontId="9" fillId="0" borderId="0" xfId="0" applyNumberFormat="1" applyFont="1" applyAlignment="1">
      <alignment horizontal="left"/>
    </xf>
    <xf numFmtId="0" fontId="3" fillId="14" borderId="0" xfId="11" applyFont="1" applyFill="1"/>
    <xf numFmtId="0" fontId="3" fillId="15" borderId="0" xfId="11" applyFont="1" applyFill="1"/>
    <xf numFmtId="0" fontId="11" fillId="13" borderId="5" xfId="11" applyFont="1" applyFill="1" applyBorder="1" applyAlignment="1">
      <alignment horizontal="center"/>
    </xf>
    <xf numFmtId="0" fontId="11" fillId="13" borderId="5" xfId="11" applyFont="1" applyFill="1" applyBorder="1"/>
    <xf numFmtId="0" fontId="33" fillId="5" borderId="0" xfId="0" applyFont="1" applyFill="1" applyAlignment="1">
      <alignment horizontal="right" vertical="center"/>
    </xf>
    <xf numFmtId="0" fontId="48" fillId="0" borderId="0" xfId="11" applyFont="1"/>
    <xf numFmtId="0" fontId="48" fillId="0" borderId="0" xfId="11" applyFont="1" applyAlignment="1">
      <alignment horizontal="right"/>
    </xf>
    <xf numFmtId="0" fontId="48" fillId="0" borderId="0" xfId="0" applyFont="1" applyAlignment="1">
      <alignment horizontal="center"/>
    </xf>
    <xf numFmtId="15" fontId="64" fillId="5" borderId="0" xfId="0" applyNumberFormat="1" applyFont="1" applyFill="1" applyAlignment="1">
      <alignment horizontal="left" vertical="center"/>
    </xf>
    <xf numFmtId="0" fontId="64" fillId="5" borderId="0" xfId="0" applyFont="1" applyFill="1" applyAlignment="1">
      <alignment horizontal="center" vertical="center"/>
    </xf>
    <xf numFmtId="3" fontId="64" fillId="5" borderId="0" xfId="0" applyNumberFormat="1" applyFont="1" applyFill="1" applyAlignment="1">
      <alignment horizontal="right" vertical="center"/>
    </xf>
    <xf numFmtId="42" fontId="15" fillId="0" borderId="0" xfId="0" applyNumberFormat="1" applyFont="1" applyAlignment="1">
      <alignment horizontal="centerContinuous"/>
    </xf>
    <xf numFmtId="200" fontId="60" fillId="0" borderId="0" xfId="0" applyNumberFormat="1" applyFont="1"/>
    <xf numFmtId="0" fontId="3" fillId="10" borderId="0" xfId="0" applyFont="1" applyFill="1" applyAlignment="1">
      <alignment horizontal="left"/>
    </xf>
    <xf numFmtId="0" fontId="6" fillId="16" borderId="0" xfId="2" applyFont="1" applyFill="1" applyBorder="1" applyAlignment="1">
      <alignment horizontal="left"/>
    </xf>
    <xf numFmtId="0" fontId="3" fillId="16" borderId="0" xfId="0" applyFont="1" applyFill="1"/>
    <xf numFmtId="0" fontId="6" fillId="16" borderId="0" xfId="2" applyFont="1" applyFill="1" applyBorder="1" applyAlignment="1">
      <alignment horizontal="centerContinuous"/>
    </xf>
    <xf numFmtId="166" fontId="9" fillId="16" borderId="0" xfId="3" applyNumberFormat="1" applyFont="1" applyFill="1"/>
    <xf numFmtId="194" fontId="6" fillId="16" borderId="0" xfId="0" applyNumberFormat="1" applyFont="1" applyFill="1"/>
    <xf numFmtId="168" fontId="9" fillId="16" borderId="0" xfId="2" applyNumberFormat="1" applyFont="1" applyFill="1" applyBorder="1" applyAlignment="1">
      <alignment horizontal="center"/>
    </xf>
    <xf numFmtId="169" fontId="10" fillId="16" borderId="0" xfId="0" applyNumberFormat="1" applyFont="1" applyFill="1" applyAlignment="1">
      <alignment horizontal="center"/>
    </xf>
    <xf numFmtId="170" fontId="6" fillId="16" borderId="0" xfId="0" applyNumberFormat="1" applyFont="1" applyFill="1" applyAlignment="1">
      <alignment horizontal="center"/>
    </xf>
    <xf numFmtId="14" fontId="6" fillId="16" borderId="0" xfId="0" applyNumberFormat="1" applyFont="1" applyFill="1" applyAlignment="1">
      <alignment horizontal="center"/>
    </xf>
    <xf numFmtId="41" fontId="3" fillId="16" borderId="0" xfId="0" applyNumberFormat="1" applyFont="1" applyFill="1"/>
    <xf numFmtId="10" fontId="0" fillId="16" borderId="0" xfId="0" applyNumberFormat="1" applyFill="1" applyAlignment="1">
      <alignment vertical="center" wrapText="1"/>
    </xf>
    <xf numFmtId="9" fontId="3" fillId="16" borderId="0" xfId="0" applyNumberFormat="1" applyFont="1" applyFill="1"/>
    <xf numFmtId="43" fontId="3" fillId="16" borderId="0" xfId="0" applyNumberFormat="1" applyFont="1" applyFill="1"/>
    <xf numFmtId="41" fontId="3" fillId="16" borderId="0" xfId="0" applyNumberFormat="1" applyFont="1" applyFill="1" applyAlignment="1">
      <alignment vertical="center"/>
    </xf>
    <xf numFmtId="41" fontId="3" fillId="16" borderId="5" xfId="0" applyNumberFormat="1" applyFont="1" applyFill="1" applyBorder="1" applyAlignment="1">
      <alignment vertical="center"/>
    </xf>
    <xf numFmtId="0" fontId="3" fillId="16" borderId="5" xfId="0" applyFont="1" applyFill="1" applyBorder="1"/>
    <xf numFmtId="41" fontId="3" fillId="16" borderId="5" xfId="0" applyNumberFormat="1" applyFont="1" applyFill="1" applyBorder="1"/>
    <xf numFmtId="189" fontId="3" fillId="16" borderId="0" xfId="0" applyNumberFormat="1" applyFont="1" applyFill="1"/>
    <xf numFmtId="41" fontId="3" fillId="16" borderId="0" xfId="0" applyNumberFormat="1" applyFont="1" applyFill="1" applyAlignment="1">
      <alignment horizontal="left" vertical="center"/>
    </xf>
    <xf numFmtId="201" fontId="6" fillId="16" borderId="0" xfId="0" applyNumberFormat="1" applyFont="1" applyFill="1" applyAlignment="1">
      <alignment horizontal="center"/>
    </xf>
    <xf numFmtId="201" fontId="9" fillId="16" borderId="0" xfId="0" applyNumberFormat="1" applyFont="1" applyFill="1" applyAlignment="1">
      <alignment horizontal="center"/>
    </xf>
    <xf numFmtId="0" fontId="3" fillId="16" borderId="0" xfId="11" applyFont="1" applyFill="1"/>
    <xf numFmtId="0" fontId="14" fillId="10" borderId="0" xfId="0" applyFont="1" applyFill="1" applyAlignment="1">
      <alignment horizontal="center"/>
    </xf>
    <xf numFmtId="10" fontId="0" fillId="0" borderId="0" xfId="0" applyNumberFormat="1"/>
    <xf numFmtId="174" fontId="11" fillId="0" borderId="0" xfId="0" applyNumberFormat="1" applyFont="1"/>
    <xf numFmtId="0" fontId="11" fillId="6" borderId="0" xfId="0" applyFont="1" applyFill="1"/>
    <xf numFmtId="0" fontId="15" fillId="6" borderId="0" xfId="0" applyFont="1" applyFill="1"/>
    <xf numFmtId="42" fontId="67" fillId="0" borderId="0" xfId="0" applyNumberFormat="1" applyFont="1" applyAlignment="1">
      <alignment horizontal="center"/>
    </xf>
    <xf numFmtId="0" fontId="3" fillId="0" borderId="5" xfId="0" applyFont="1" applyBorder="1" applyAlignment="1">
      <alignment horizontal="left" indent="1"/>
    </xf>
    <xf numFmtId="0" fontId="3" fillId="0" borderId="5" xfId="0" applyFont="1" applyBorder="1"/>
    <xf numFmtId="168" fontId="9" fillId="0" borderId="0" xfId="2" applyNumberFormat="1" applyFont="1" applyFill="1" applyBorder="1" applyAlignment="1">
      <alignment horizontal="center"/>
    </xf>
    <xf numFmtId="0" fontId="68" fillId="3" borderId="0" xfId="0" applyFont="1" applyFill="1"/>
    <xf numFmtId="0" fontId="17" fillId="3" borderId="0" xfId="0" applyFont="1" applyFill="1"/>
    <xf numFmtId="0" fontId="17" fillId="3" borderId="0" xfId="0" applyFont="1" applyFill="1" applyAlignment="1">
      <alignment horizontal="center"/>
    </xf>
    <xf numFmtId="0" fontId="17" fillId="3" borderId="0" xfId="0" applyFont="1" applyFill="1" applyAlignment="1">
      <alignment horizontal="right"/>
    </xf>
    <xf numFmtId="0" fontId="68" fillId="0" borderId="0" xfId="0" applyFont="1"/>
    <xf numFmtId="0" fontId="67" fillId="0" borderId="0" xfId="0" applyFont="1"/>
    <xf numFmtId="0" fontId="69" fillId="0" borderId="0" xfId="0" applyFont="1" applyAlignment="1">
      <alignment horizontal="center"/>
    </xf>
    <xf numFmtId="0" fontId="68" fillId="0" borderId="0" xfId="0" applyFont="1" applyAlignment="1">
      <alignment horizontal="left" indent="1"/>
    </xf>
    <xf numFmtId="0" fontId="70" fillId="0" borderId="0" xfId="0" applyFont="1" applyAlignment="1">
      <alignment horizontal="center"/>
    </xf>
    <xf numFmtId="41" fontId="68" fillId="0" borderId="0" xfId="0" applyNumberFormat="1" applyFont="1"/>
    <xf numFmtId="0" fontId="68" fillId="0" borderId="5" xfId="0" applyFont="1" applyBorder="1" applyAlignment="1">
      <alignment horizontal="left" indent="1"/>
    </xf>
    <xf numFmtId="41" fontId="68" fillId="0" borderId="5" xfId="0" applyNumberFormat="1" applyFont="1" applyBorder="1"/>
    <xf numFmtId="42" fontId="67" fillId="0" borderId="0" xfId="0" applyNumberFormat="1" applyFont="1"/>
    <xf numFmtId="42" fontId="68" fillId="0" borderId="5" xfId="0" applyNumberFormat="1" applyFont="1" applyBorder="1"/>
    <xf numFmtId="0" fontId="70" fillId="0" borderId="0" xfId="0" applyFont="1" applyAlignment="1">
      <alignment horizontal="left" indent="1"/>
    </xf>
    <xf numFmtId="9" fontId="70" fillId="0" borderId="0" xfId="1" applyFont="1"/>
    <xf numFmtId="0" fontId="71" fillId="0" borderId="0" xfId="3" applyFont="1"/>
    <xf numFmtId="0" fontId="9" fillId="16" borderId="0" xfId="0" applyFont="1" applyFill="1"/>
    <xf numFmtId="167" fontId="6" fillId="16" borderId="0" xfId="0" applyNumberFormat="1" applyFont="1" applyFill="1"/>
    <xf numFmtId="174" fontId="10" fillId="16" borderId="0" xfId="0" applyNumberFormat="1" applyFont="1" applyFill="1" applyAlignment="1">
      <alignment horizontal="center"/>
    </xf>
    <xf numFmtId="41" fontId="9" fillId="16" borderId="0" xfId="0" applyNumberFormat="1" applyFont="1" applyFill="1"/>
    <xf numFmtId="0" fontId="3" fillId="0" borderId="0" xfId="0" applyFont="1" applyAlignment="1">
      <alignment horizontal="left"/>
    </xf>
    <xf numFmtId="3" fontId="3" fillId="0" borderId="0" xfId="0" applyNumberFormat="1" applyFont="1" applyAlignment="1">
      <alignment horizontal="right" vertical="center"/>
    </xf>
    <xf numFmtId="0" fontId="3" fillId="0" borderId="0" xfId="0" applyFont="1" applyAlignment="1">
      <alignment horizontal="right" vertical="center"/>
    </xf>
    <xf numFmtId="3" fontId="3" fillId="0" borderId="5" xfId="0" applyNumberFormat="1" applyFont="1" applyBorder="1" applyAlignment="1">
      <alignment horizontal="right" vertical="center"/>
    </xf>
    <xf numFmtId="0" fontId="3" fillId="0" borderId="5" xfId="0" applyFont="1" applyBorder="1" applyAlignment="1">
      <alignment horizontal="right" vertical="center"/>
    </xf>
    <xf numFmtId="3" fontId="3" fillId="0" borderId="0" xfId="0" applyNumberFormat="1" applyFont="1"/>
    <xf numFmtId="3" fontId="3" fillId="0" borderId="0" xfId="0" applyNumberFormat="1" applyFont="1" applyAlignment="1">
      <alignment horizontal="right" vertical="center" wrapText="1"/>
    </xf>
    <xf numFmtId="3" fontId="3" fillId="0" borderId="5" xfId="0" applyNumberFormat="1" applyFont="1" applyBorder="1"/>
    <xf numFmtId="41" fontId="11" fillId="0" borderId="0" xfId="0" applyNumberFormat="1" applyFont="1" applyAlignment="1">
      <alignment horizontal="left" vertical="center"/>
    </xf>
    <xf numFmtId="0" fontId="4" fillId="0" borderId="0" xfId="0" applyFont="1" applyAlignment="1">
      <alignment vertical="center"/>
    </xf>
    <xf numFmtId="0" fontId="72" fillId="0" borderId="0" xfId="3" applyFont="1" applyAlignment="1">
      <alignment horizontal="left" indent="1"/>
    </xf>
    <xf numFmtId="9" fontId="70" fillId="0" borderId="0" xfId="1" applyFont="1" applyFill="1" applyBorder="1"/>
    <xf numFmtId="176" fontId="9" fillId="16" borderId="0" xfId="3" applyNumberFormat="1" applyFont="1" applyFill="1" applyAlignment="1">
      <alignment horizontal="center"/>
    </xf>
    <xf numFmtId="176" fontId="6" fillId="16" borderId="0" xfId="3" applyNumberFormat="1" applyFont="1" applyFill="1" applyAlignment="1">
      <alignment horizontal="center"/>
    </xf>
    <xf numFmtId="180" fontId="9" fillId="16" borderId="0" xfId="3" applyNumberFormat="1" applyFont="1" applyFill="1"/>
    <xf numFmtId="0" fontId="3" fillId="10" borderId="0" xfId="0" applyFont="1" applyFill="1"/>
    <xf numFmtId="43" fontId="3" fillId="10" borderId="0" xfId="0" applyNumberFormat="1" applyFont="1" applyFill="1"/>
    <xf numFmtId="185" fontId="3" fillId="10" borderId="0" xfId="0" applyNumberFormat="1" applyFont="1" applyFill="1"/>
    <xf numFmtId="41" fontId="3" fillId="10" borderId="0" xfId="0" applyNumberFormat="1" applyFont="1" applyFill="1"/>
    <xf numFmtId="0" fontId="14" fillId="0" borderId="0" xfId="0" applyFont="1" applyAlignment="1">
      <alignment horizontal="left" vertical="center"/>
    </xf>
    <xf numFmtId="174" fontId="14" fillId="16" borderId="0" xfId="1" applyNumberFormat="1" applyFont="1" applyFill="1" applyAlignment="1">
      <alignment vertical="center"/>
    </xf>
    <xf numFmtId="10" fontId="3" fillId="0" borderId="0" xfId="0" applyNumberFormat="1" applyFont="1" applyAlignment="1">
      <alignment horizontal="right" vertical="center"/>
    </xf>
    <xf numFmtId="174" fontId="12" fillId="16" borderId="0" xfId="1" applyNumberFormat="1" applyFont="1" applyFill="1" applyAlignment="1">
      <alignment vertical="center"/>
    </xf>
    <xf numFmtId="0" fontId="14" fillId="10" borderId="0" xfId="0" applyFont="1" applyFill="1" applyAlignment="1">
      <alignment horizontal="left"/>
    </xf>
    <xf numFmtId="41" fontId="11" fillId="16" borderId="0" xfId="0" applyNumberFormat="1" applyFont="1" applyFill="1"/>
    <xf numFmtId="185" fontId="3" fillId="16" borderId="0" xfId="0" applyNumberFormat="1" applyFont="1" applyFill="1"/>
    <xf numFmtId="41" fontId="11" fillId="0" borderId="0" xfId="0" applyNumberFormat="1" applyFont="1"/>
    <xf numFmtId="0" fontId="68" fillId="0" borderId="5" xfId="0" applyFont="1" applyBorder="1" applyAlignment="1">
      <alignment horizontal="left" indent="2"/>
    </xf>
    <xf numFmtId="0" fontId="67" fillId="0" borderId="0" xfId="0" applyFont="1" applyAlignment="1">
      <alignment horizontal="left"/>
    </xf>
    <xf numFmtId="0" fontId="68" fillId="0" borderId="0" xfId="0" applyFont="1" applyAlignment="1">
      <alignment horizontal="left"/>
    </xf>
    <xf numFmtId="0" fontId="68" fillId="4" borderId="0" xfId="0" applyFont="1" applyFill="1"/>
    <xf numFmtId="9" fontId="3" fillId="4" borderId="0" xfId="1" applyFont="1" applyFill="1"/>
    <xf numFmtId="0" fontId="17" fillId="4" borderId="0" xfId="0" applyFont="1" applyFill="1"/>
    <xf numFmtId="42" fontId="68" fillId="0" borderId="0" xfId="0" applyNumberFormat="1" applyFont="1"/>
    <xf numFmtId="9" fontId="70" fillId="0" borderId="0" xfId="1" applyFont="1" applyBorder="1"/>
    <xf numFmtId="9" fontId="0" fillId="0" borderId="0" xfId="0" applyNumberFormat="1"/>
    <xf numFmtId="0" fontId="0" fillId="0" borderId="0" xfId="0" applyAlignment="1">
      <alignment vertical="center"/>
    </xf>
    <xf numFmtId="3" fontId="0" fillId="0" borderId="0" xfId="0" applyNumberFormat="1" applyAlignment="1">
      <alignment horizontal="right" vertical="center"/>
    </xf>
    <xf numFmtId="9" fontId="0" fillId="0" borderId="0" xfId="0" applyNumberFormat="1" applyAlignment="1">
      <alignment horizontal="left" vertical="center"/>
    </xf>
    <xf numFmtId="0" fontId="3" fillId="0" borderId="0" xfId="0" applyFont="1" applyAlignment="1">
      <alignment horizontal="right"/>
    </xf>
    <xf numFmtId="0" fontId="66" fillId="0" borderId="0" xfId="0" applyFont="1" applyAlignment="1">
      <alignment horizontal="center"/>
    </xf>
    <xf numFmtId="0" fontId="0" fillId="4" borderId="0" xfId="0" applyFill="1"/>
    <xf numFmtId="0" fontId="65" fillId="4" borderId="0" xfId="0" applyFont="1" applyFill="1"/>
    <xf numFmtId="174" fontId="14" fillId="0" borderId="0" xfId="1" applyNumberFormat="1" applyFont="1" applyFill="1" applyAlignment="1">
      <alignment vertical="center"/>
    </xf>
    <xf numFmtId="0" fontId="69" fillId="0" borderId="0" xfId="0" applyFont="1" applyAlignment="1">
      <alignment horizontal="left" indent="1"/>
    </xf>
    <xf numFmtId="9" fontId="70" fillId="0" borderId="5" xfId="1" applyFont="1" applyBorder="1"/>
    <xf numFmtId="42" fontId="67" fillId="0" borderId="0" xfId="1" applyNumberFormat="1" applyFont="1"/>
    <xf numFmtId="0" fontId="15" fillId="4" borderId="0" xfId="6" applyFont="1" applyFill="1" applyAlignment="1">
      <alignment horizontal="left" vertical="center"/>
    </xf>
    <xf numFmtId="0" fontId="3" fillId="4" borderId="0" xfId="6" applyFont="1" applyFill="1" applyAlignment="1">
      <alignment horizontal="left" vertical="center"/>
    </xf>
    <xf numFmtId="0" fontId="3" fillId="4" borderId="0" xfId="6" applyFont="1" applyFill="1" applyAlignment="1">
      <alignment horizontal="centerContinuous" vertical="center"/>
    </xf>
    <xf numFmtId="0" fontId="11" fillId="4" borderId="0" xfId="6" applyFont="1" applyFill="1" applyAlignment="1">
      <alignment horizontal="centerContinuous"/>
    </xf>
    <xf numFmtId="0" fontId="11" fillId="4" borderId="0" xfId="6" applyFont="1" applyFill="1" applyAlignment="1">
      <alignment horizontal="right"/>
    </xf>
    <xf numFmtId="43" fontId="7" fillId="0" borderId="0" xfId="1" applyNumberFormat="1" applyFont="1"/>
    <xf numFmtId="9" fontId="0" fillId="0" borderId="0" xfId="1" applyFont="1"/>
    <xf numFmtId="0" fontId="15" fillId="0" borderId="0" xfId="6" applyFont="1" applyAlignment="1">
      <alignment horizontal="right"/>
    </xf>
    <xf numFmtId="0" fontId="9" fillId="0" borderId="0" xfId="6" applyFont="1" applyAlignment="1">
      <alignment horizontal="left"/>
    </xf>
    <xf numFmtId="9" fontId="7" fillId="0" borderId="0" xfId="1" applyFont="1" applyAlignment="1">
      <alignment horizontal="left"/>
    </xf>
    <xf numFmtId="6" fontId="3" fillId="0" borderId="0" xfId="0" applyNumberFormat="1" applyFont="1"/>
    <xf numFmtId="0" fontId="73" fillId="0" borderId="0" xfId="5" applyFont="1"/>
    <xf numFmtId="6" fontId="3" fillId="0" borderId="0" xfId="0" applyNumberFormat="1" applyFont="1" applyAlignment="1">
      <alignment horizontal="right"/>
    </xf>
    <xf numFmtId="9" fontId="3" fillId="0" borderId="0" xfId="1" applyFont="1" applyAlignment="1">
      <alignment horizontal="right"/>
    </xf>
    <xf numFmtId="9" fontId="3" fillId="0" borderId="0" xfId="0" applyNumberFormat="1" applyFont="1" applyAlignment="1">
      <alignment horizontal="right"/>
    </xf>
    <xf numFmtId="180" fontId="6" fillId="0" borderId="0" xfId="6" applyNumberFormat="1" applyFont="1" applyAlignment="1">
      <alignment horizontal="right"/>
    </xf>
    <xf numFmtId="42" fontId="7" fillId="0" borderId="0" xfId="6" applyNumberFormat="1" applyFont="1" applyAlignment="1">
      <alignment horizontal="right"/>
    </xf>
    <xf numFmtId="180" fontId="7" fillId="0" borderId="0" xfId="6" applyNumberFormat="1" applyFont="1" applyAlignment="1">
      <alignment horizontal="right"/>
    </xf>
    <xf numFmtId="165" fontId="24" fillId="0" borderId="0" xfId="6" applyNumberFormat="1" applyFont="1" applyAlignment="1">
      <alignment horizontal="right"/>
    </xf>
    <xf numFmtId="9" fontId="24" fillId="0" borderId="0" xfId="6" applyNumberFormat="1" applyFont="1" applyAlignment="1">
      <alignment horizontal="right"/>
    </xf>
    <xf numFmtId="186" fontId="7" fillId="0" borderId="0" xfId="6" applyNumberFormat="1" applyFont="1" applyAlignment="1">
      <alignment horizontal="right"/>
    </xf>
    <xf numFmtId="0" fontId="6" fillId="0" borderId="0" xfId="2" applyFont="1" applyFill="1" applyBorder="1" applyAlignment="1">
      <alignment horizontal="center"/>
    </xf>
    <xf numFmtId="0" fontId="25" fillId="0" borderId="0" xfId="3" applyFont="1" applyAlignment="1">
      <alignment horizontal="centerContinuous"/>
    </xf>
    <xf numFmtId="0" fontId="35" fillId="0" borderId="0" xfId="3" applyFont="1" applyAlignment="1">
      <alignment horizontal="centerContinuous"/>
    </xf>
    <xf numFmtId="0" fontId="25" fillId="3" borderId="0" xfId="3" applyFont="1" applyFill="1" applyAlignment="1">
      <alignment horizontal="center"/>
    </xf>
    <xf numFmtId="0" fontId="25" fillId="0" borderId="0" xfId="6" applyFont="1" applyAlignment="1">
      <alignment horizontal="left"/>
    </xf>
    <xf numFmtId="0" fontId="26" fillId="0" borderId="0" xfId="6" applyFont="1" applyAlignment="1">
      <alignment horizontal="left"/>
    </xf>
    <xf numFmtId="0" fontId="27" fillId="3" borderId="0" xfId="3" applyFont="1" applyFill="1" applyAlignment="1">
      <alignment horizontal="right"/>
    </xf>
    <xf numFmtId="195" fontId="4" fillId="3" borderId="0" xfId="0" applyNumberFormat="1" applyFont="1" applyFill="1" applyAlignment="1">
      <alignment horizontal="right"/>
    </xf>
    <xf numFmtId="14" fontId="27" fillId="0" borderId="0" xfId="3" applyNumberFormat="1" applyFont="1" applyAlignment="1">
      <alignment horizontal="center"/>
    </xf>
    <xf numFmtId="43" fontId="7" fillId="0" borderId="0" xfId="4" applyNumberFormat="1" applyFont="1"/>
    <xf numFmtId="9" fontId="7" fillId="0" borderId="0" xfId="1" applyFont="1" applyBorder="1"/>
    <xf numFmtId="9" fontId="7" fillId="0" borderId="0" xfId="1" applyFont="1" applyFill="1" applyBorder="1"/>
    <xf numFmtId="0" fontId="7" fillId="0" borderId="5" xfId="4" applyFont="1" applyBorder="1"/>
    <xf numFmtId="0" fontId="0" fillId="0" borderId="5" xfId="0" applyBorder="1"/>
    <xf numFmtId="43" fontId="7" fillId="0" borderId="5" xfId="4" applyNumberFormat="1" applyFont="1" applyBorder="1"/>
    <xf numFmtId="9" fontId="7" fillId="0" borderId="5" xfId="1" applyFont="1" applyBorder="1"/>
    <xf numFmtId="197" fontId="15" fillId="0" borderId="0" xfId="3" applyNumberFormat="1" applyFont="1"/>
    <xf numFmtId="0" fontId="4" fillId="4" borderId="14" xfId="4" applyFont="1" applyFill="1" applyBorder="1"/>
    <xf numFmtId="197" fontId="4" fillId="0" borderId="0" xfId="3" applyNumberFormat="1" applyFont="1"/>
    <xf numFmtId="176" fontId="9" fillId="0" borderId="0" xfId="3" applyNumberFormat="1" applyFont="1" applyAlignment="1">
      <alignment horizontal="right"/>
    </xf>
    <xf numFmtId="43" fontId="3" fillId="0" borderId="0" xfId="0" applyNumberFormat="1" applyFont="1" applyAlignment="1">
      <alignment horizontal="right"/>
    </xf>
    <xf numFmtId="200" fontId="10" fillId="0" borderId="0" xfId="0" applyNumberFormat="1" applyFont="1" applyAlignment="1">
      <alignment horizontal="center"/>
    </xf>
    <xf numFmtId="175" fontId="11" fillId="6" borderId="5" xfId="0" applyNumberFormat="1" applyFont="1" applyFill="1" applyBorder="1"/>
    <xf numFmtId="0" fontId="11" fillId="6" borderId="5" xfId="9" applyFont="1" applyFill="1" applyBorder="1" applyAlignment="1">
      <alignment horizontal="centerContinuous"/>
    </xf>
    <xf numFmtId="0" fontId="3" fillId="6" borderId="5" xfId="9" applyFont="1" applyFill="1" applyBorder="1" applyAlignment="1">
      <alignment horizontal="centerContinuous"/>
    </xf>
    <xf numFmtId="165" fontId="10" fillId="0" borderId="0" xfId="0" applyNumberFormat="1" applyFont="1"/>
    <xf numFmtId="165" fontId="10" fillId="0" borderId="5" xfId="0" applyNumberFormat="1" applyFont="1" applyBorder="1"/>
    <xf numFmtId="165" fontId="15" fillId="6" borderId="0" xfId="3" applyNumberFormat="1" applyFont="1" applyFill="1"/>
    <xf numFmtId="204" fontId="10" fillId="0" borderId="0" xfId="0" applyNumberFormat="1" applyFont="1"/>
    <xf numFmtId="0" fontId="25" fillId="0" borderId="0" xfId="4" applyFont="1" applyAlignment="1">
      <alignment horizontal="centerContinuous"/>
    </xf>
    <xf numFmtId="0" fontId="27" fillId="0" borderId="0" xfId="4" applyFont="1" applyAlignment="1">
      <alignment horizontal="center"/>
    </xf>
    <xf numFmtId="0" fontId="11" fillId="0" borderId="0" xfId="0" applyFont="1" applyAlignment="1">
      <alignment horizontal="right"/>
    </xf>
    <xf numFmtId="174" fontId="18" fillId="8" borderId="11" xfId="1" applyNumberFormat="1" applyFont="1" applyFill="1" applyBorder="1" applyAlignment="1">
      <alignment horizontal="center"/>
    </xf>
    <xf numFmtId="174" fontId="19" fillId="8" borderId="11" xfId="1" applyNumberFormat="1" applyFont="1" applyFill="1" applyBorder="1" applyAlignment="1">
      <alignment horizontal="center"/>
    </xf>
    <xf numFmtId="165" fontId="7" fillId="0" borderId="0" xfId="4" applyNumberFormat="1" applyFont="1"/>
    <xf numFmtId="165" fontId="7" fillId="0" borderId="0" xfId="1" applyNumberFormat="1" applyFont="1" applyBorder="1"/>
    <xf numFmtId="165" fontId="7" fillId="0" borderId="5" xfId="4" applyNumberFormat="1" applyFont="1" applyBorder="1"/>
    <xf numFmtId="165" fontId="7" fillId="0" borderId="5" xfId="1" applyNumberFormat="1" applyFont="1" applyBorder="1"/>
    <xf numFmtId="0" fontId="26" fillId="3" borderId="0" xfId="3" applyFont="1" applyFill="1" applyAlignment="1">
      <alignment horizontal="center"/>
    </xf>
    <xf numFmtId="44" fontId="9" fillId="0" borderId="0" xfId="10" applyNumberFormat="1" applyFont="1"/>
    <xf numFmtId="44" fontId="10" fillId="0" borderId="0" xfId="10" applyNumberFormat="1" applyFont="1"/>
    <xf numFmtId="43" fontId="10" fillId="0" borderId="0" xfId="10" applyNumberFormat="1" applyFont="1"/>
    <xf numFmtId="43" fontId="6" fillId="0" borderId="0" xfId="10" applyNumberFormat="1" applyFont="1" applyAlignment="1">
      <alignment horizontal="right"/>
    </xf>
    <xf numFmtId="43" fontId="9" fillId="0" borderId="0" xfId="10" applyNumberFormat="1" applyFont="1" applyAlignment="1">
      <alignment horizontal="right"/>
    </xf>
    <xf numFmtId="44" fontId="10" fillId="0" borderId="0" xfId="10" applyNumberFormat="1" applyFont="1" applyAlignment="1">
      <alignment horizontal="right"/>
    </xf>
    <xf numFmtId="0" fontId="0" fillId="0" borderId="0" xfId="0" applyAlignment="1">
      <alignment horizontal="right"/>
    </xf>
    <xf numFmtId="0" fontId="2" fillId="0" borderId="0" xfId="0" applyFont="1" applyAlignment="1">
      <alignment horizontal="center"/>
    </xf>
    <xf numFmtId="43" fontId="2" fillId="0" borderId="0" xfId="0" applyNumberFormat="1" applyFont="1"/>
    <xf numFmtId="0" fontId="4" fillId="3" borderId="2" xfId="0" applyFont="1" applyFill="1" applyBorder="1" applyAlignment="1">
      <alignment horizontal="center"/>
    </xf>
    <xf numFmtId="0" fontId="4" fillId="0" borderId="0" xfId="0" applyFont="1" applyAlignment="1">
      <alignment horizontal="center"/>
    </xf>
    <xf numFmtId="195" fontId="4" fillId="3" borderId="18" xfId="0" applyNumberFormat="1" applyFont="1" applyFill="1" applyBorder="1" applyAlignment="1">
      <alignment horizontal="center"/>
    </xf>
    <xf numFmtId="0" fontId="4" fillId="3" borderId="3" xfId="0" applyFont="1" applyFill="1" applyBorder="1" applyAlignment="1">
      <alignment horizontal="center"/>
    </xf>
    <xf numFmtId="0" fontId="49" fillId="0" borderId="0" xfId="0" applyFont="1" applyAlignment="1">
      <alignment horizontal="center"/>
    </xf>
    <xf numFmtId="0" fontId="74" fillId="0" borderId="0" xfId="0" applyFont="1" applyAlignment="1">
      <alignment horizontal="center"/>
    </xf>
    <xf numFmtId="9" fontId="14" fillId="16" borderId="0" xfId="0" applyNumberFormat="1" applyFont="1" applyFill="1"/>
    <xf numFmtId="0" fontId="75" fillId="0" borderId="0" xfId="0" applyFont="1" applyAlignment="1">
      <alignment vertical="center"/>
    </xf>
    <xf numFmtId="0" fontId="3" fillId="0" borderId="0" xfId="0" applyFont="1" applyAlignment="1">
      <alignment horizontal="left" vertical="center" indent="2"/>
    </xf>
    <xf numFmtId="10" fontId="0" fillId="0" borderId="0" xfId="0" applyNumberFormat="1" applyAlignment="1">
      <alignment vertical="center" wrapText="1"/>
    </xf>
    <xf numFmtId="6" fontId="67" fillId="0" borderId="0" xfId="0" applyNumberFormat="1" applyFont="1" applyAlignment="1">
      <alignment horizontal="right"/>
    </xf>
    <xf numFmtId="41" fontId="3" fillId="16" borderId="5" xfId="0" applyNumberFormat="1" applyFont="1" applyFill="1" applyBorder="1" applyAlignment="1">
      <alignment horizontal="right"/>
    </xf>
    <xf numFmtId="43" fontId="3" fillId="16" borderId="0" xfId="0" applyNumberFormat="1" applyFont="1" applyFill="1" applyAlignment="1">
      <alignment horizontal="right"/>
    </xf>
    <xf numFmtId="44" fontId="11" fillId="17" borderId="0" xfId="0" applyNumberFormat="1" applyFont="1" applyFill="1" applyAlignment="1">
      <alignment horizontal="right"/>
    </xf>
    <xf numFmtId="0" fontId="3" fillId="6" borderId="0" xfId="0" applyFont="1" applyFill="1" applyAlignment="1">
      <alignment horizontal="right"/>
    </xf>
    <xf numFmtId="6" fontId="11" fillId="16" borderId="0" xfId="0" applyNumberFormat="1" applyFont="1" applyFill="1"/>
    <xf numFmtId="44" fontId="11" fillId="17" borderId="0" xfId="0" applyNumberFormat="1" applyFont="1" applyFill="1"/>
    <xf numFmtId="9" fontId="3" fillId="16" borderId="0" xfId="1" applyFont="1" applyFill="1"/>
    <xf numFmtId="10" fontId="3" fillId="16" borderId="0" xfId="1" applyNumberFormat="1" applyFont="1" applyFill="1" applyAlignment="1">
      <alignment horizontal="center"/>
    </xf>
    <xf numFmtId="9" fontId="5" fillId="0" borderId="0" xfId="1" applyFont="1"/>
    <xf numFmtId="9" fontId="11" fillId="17" borderId="0" xfId="1" applyFont="1" applyFill="1" applyAlignment="1">
      <alignment horizontal="right"/>
    </xf>
    <xf numFmtId="0" fontId="0" fillId="3" borderId="0" xfId="0" applyFill="1"/>
    <xf numFmtId="0" fontId="65" fillId="3" borderId="0" xfId="0" applyFont="1" applyFill="1"/>
    <xf numFmtId="0" fontId="65" fillId="0" borderId="0" xfId="0" applyFont="1"/>
    <xf numFmtId="9" fontId="11" fillId="0" borderId="0" xfId="1" applyFont="1" applyFill="1" applyAlignment="1">
      <alignment horizontal="right"/>
    </xf>
    <xf numFmtId="9" fontId="12" fillId="0" borderId="0" xfId="1" applyFont="1" applyFill="1" applyAlignment="1"/>
    <xf numFmtId="9" fontId="14" fillId="0" borderId="0" xfId="0" applyNumberFormat="1" applyFont="1"/>
    <xf numFmtId="0" fontId="65" fillId="3" borderId="0" xfId="0" applyFont="1" applyFill="1" applyAlignment="1">
      <alignment horizontal="centerContinuous"/>
    </xf>
    <xf numFmtId="0" fontId="78" fillId="3" borderId="0" xfId="0" applyFont="1" applyFill="1" applyAlignment="1">
      <alignment horizontal="right"/>
    </xf>
    <xf numFmtId="44" fontId="11" fillId="0" borderId="0" xfId="0" applyNumberFormat="1" applyFont="1" applyAlignment="1">
      <alignment horizontal="right"/>
    </xf>
    <xf numFmtId="184" fontId="4" fillId="4" borderId="0" xfId="4" applyNumberFormat="1" applyFont="1" applyFill="1"/>
    <xf numFmtId="0" fontId="29" fillId="6" borderId="0" xfId="4" applyFont="1" applyFill="1"/>
    <xf numFmtId="0" fontId="2" fillId="6" borderId="0" xfId="0" applyFont="1" applyFill="1"/>
    <xf numFmtId="176" fontId="15" fillId="6" borderId="0" xfId="3" applyNumberFormat="1" applyFont="1" applyFill="1" applyAlignment="1">
      <alignment horizontal="right"/>
    </xf>
    <xf numFmtId="42" fontId="15" fillId="6" borderId="0" xfId="3" applyNumberFormat="1" applyFont="1" applyFill="1"/>
    <xf numFmtId="176" fontId="15" fillId="6" borderId="0" xfId="3" applyNumberFormat="1" applyFont="1" applyFill="1"/>
    <xf numFmtId="174" fontId="15" fillId="6" borderId="0" xfId="1" applyNumberFormat="1" applyFont="1" applyFill="1" applyAlignment="1"/>
    <xf numFmtId="0" fontId="65" fillId="3" borderId="0" xfId="0" applyFont="1" applyFill="1" applyAlignment="1">
      <alignment horizontal="center"/>
    </xf>
    <xf numFmtId="0" fontId="3" fillId="8" borderId="0" xfId="0" applyFont="1" applyFill="1"/>
    <xf numFmtId="0" fontId="17" fillId="8" borderId="0" xfId="3" applyFont="1" applyFill="1" applyAlignment="1">
      <alignment horizontal="center"/>
    </xf>
    <xf numFmtId="0" fontId="4" fillId="8" borderId="0" xfId="0" applyFont="1" applyFill="1"/>
    <xf numFmtId="182" fontId="4" fillId="8" borderId="0" xfId="0" applyNumberFormat="1" applyFont="1" applyFill="1" applyAlignment="1">
      <alignment horizontal="center"/>
    </xf>
    <xf numFmtId="174" fontId="18" fillId="8" borderId="0" xfId="1" applyNumberFormat="1" applyFont="1" applyFill="1" applyBorder="1" applyAlignment="1">
      <alignment horizontal="center"/>
    </xf>
    <xf numFmtId="174" fontId="19" fillId="8" borderId="0" xfId="1" applyNumberFormat="1" applyFont="1" applyFill="1" applyBorder="1" applyAlignment="1">
      <alignment horizontal="center"/>
    </xf>
    <xf numFmtId="174" fontId="18" fillId="8" borderId="0" xfId="0" applyNumberFormat="1" applyFont="1" applyFill="1" applyAlignment="1">
      <alignment horizontal="center"/>
    </xf>
    <xf numFmtId="174" fontId="19" fillId="8" borderId="0" xfId="0" applyNumberFormat="1" applyFont="1" applyFill="1" applyAlignment="1">
      <alignment horizontal="center"/>
    </xf>
    <xf numFmtId="0" fontId="53" fillId="3" borderId="0" xfId="0" applyFont="1" applyFill="1"/>
    <xf numFmtId="195" fontId="4" fillId="3" borderId="19" xfId="0" applyNumberFormat="1" applyFont="1" applyFill="1" applyBorder="1" applyAlignment="1">
      <alignment horizontal="center"/>
    </xf>
    <xf numFmtId="195" fontId="4" fillId="3" borderId="20" xfId="0" applyNumberFormat="1" applyFont="1" applyFill="1" applyBorder="1" applyAlignment="1">
      <alignment horizontal="center"/>
    </xf>
    <xf numFmtId="41" fontId="0" fillId="0" borderId="0" xfId="0" applyNumberFormat="1"/>
    <xf numFmtId="41" fontId="40" fillId="0" borderId="0" xfId="0" applyNumberFormat="1" applyFont="1"/>
    <xf numFmtId="44" fontId="2" fillId="0" borderId="0" xfId="0" applyNumberFormat="1" applyFont="1"/>
    <xf numFmtId="44" fontId="2" fillId="4" borderId="0" xfId="0" applyNumberFormat="1" applyFont="1" applyFill="1"/>
    <xf numFmtId="176" fontId="15" fillId="0" borderId="0" xfId="0" applyNumberFormat="1" applyFont="1" applyAlignment="1">
      <alignment horizontal="right"/>
    </xf>
  </cellXfs>
  <cellStyles count="13">
    <cellStyle name="Hyperlink" xfId="5" builtinId="8"/>
    <cellStyle name="Normal" xfId="0" builtinId="0"/>
    <cellStyle name="Normal 2" xfId="3" xr:uid="{6D1AEC05-AEFB-4C6C-9C9F-E09A0191A3BD}"/>
    <cellStyle name="Normal 2 2" xfId="4" xr:uid="{7D122C44-4F8E-43C3-A717-46CA4674DC7F}"/>
    <cellStyle name="Normal 2 2 2" xfId="12" xr:uid="{91EDD0A3-3BEB-4694-8AE2-19CA41CD004D}"/>
    <cellStyle name="Normal 3 2" xfId="6" xr:uid="{A87949F9-7A9B-4610-8A5C-BBB76ACED321}"/>
    <cellStyle name="Normal 3 2 2" xfId="11" xr:uid="{C34D29B4-F4A5-4E87-A87A-0F24935DC949}"/>
    <cellStyle name="Normal 3 3" xfId="8" xr:uid="{C3B0CD3C-EFBF-477B-BCE9-EF364BA82336}"/>
    <cellStyle name="Normal 3 4" xfId="10" xr:uid="{E9740AA3-F8CE-46D1-B51E-3A67756E81BC}"/>
    <cellStyle name="Normal 5 2" xfId="9" xr:uid="{8D142D70-515A-4CEC-936B-BCF54ECEFE9C}"/>
    <cellStyle name="Note" xfId="2" builtinId="10"/>
    <cellStyle name="Percent" xfId="1" builtinId="5"/>
    <cellStyle name="TextNormal" xfId="7" xr:uid="{3206F1E5-B963-4AD0-8B18-468FE1B37512}"/>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Graphs!$Q$30</c:f>
          <c:strCache>
            <c:ptCount val="1"/>
            <c:pt idx="0">
              <c:v>Avadel Pharmaceuticals, PLC: Revenue, EBITDA, and Margins, FYYear to FY27</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Graphs!$R$23</c:f>
              <c:strCache>
                <c:ptCount val="1"/>
                <c:pt idx="0">
                  <c:v>Revenue</c:v>
                </c:pt>
              </c:strCache>
            </c:strRef>
          </c:tx>
          <c:spPr>
            <a:solidFill>
              <a:schemeClr val="tx2">
                <a:lumMod val="75000"/>
                <a:lumOff val="25000"/>
              </a:schemeClr>
            </a:solidFill>
            <a:ln>
              <a:noFill/>
            </a:ln>
            <a:effectLst/>
          </c:spPr>
          <c:invertIfNegative val="0"/>
          <c:cat>
            <c:numRef>
              <c:f>Graphs!$Q$24:$Q$27</c:f>
              <c:numCache>
                <c:formatCode>yyyy\-mm\-dd</c:formatCode>
                <c:ptCount val="4"/>
                <c:pt idx="0">
                  <c:v>45838</c:v>
                </c:pt>
                <c:pt idx="1">
                  <c:v>46203</c:v>
                </c:pt>
                <c:pt idx="2">
                  <c:v>46568</c:v>
                </c:pt>
                <c:pt idx="3">
                  <c:v>46934</c:v>
                </c:pt>
              </c:numCache>
            </c:numRef>
          </c:cat>
          <c:val>
            <c:numRef>
              <c:f>Graphs!$R$24:$R$27</c:f>
              <c:numCache>
                <c:formatCode>_("$"* #,##0_);_("$"* \(#,##0\);_("$"* "-"_);_(@_)</c:formatCode>
                <c:ptCount val="4"/>
                <c:pt idx="0">
                  <c:v>264448.8</c:v>
                </c:pt>
                <c:pt idx="1">
                  <c:v>364321.152</c:v>
                </c:pt>
                <c:pt idx="2">
                  <c:v>532478.25232155633</c:v>
                </c:pt>
                <c:pt idx="3">
                  <c:v>916063.01737108361</c:v>
                </c:pt>
              </c:numCache>
            </c:numRef>
          </c:val>
          <c:extLst>
            <c:ext xmlns:c16="http://schemas.microsoft.com/office/drawing/2014/chart" uri="{C3380CC4-5D6E-409C-BE32-E72D297353CC}">
              <c16:uniqueId val="{00000000-13A2-4A36-835C-BEF5AE7FE3C0}"/>
            </c:ext>
          </c:extLst>
        </c:ser>
        <c:ser>
          <c:idx val="1"/>
          <c:order val="1"/>
          <c:tx>
            <c:strRef>
              <c:f>Graphs!$S$23</c:f>
              <c:strCache>
                <c:ptCount val="1"/>
                <c:pt idx="0">
                  <c:v>EBITDA</c:v>
                </c:pt>
              </c:strCache>
            </c:strRef>
          </c:tx>
          <c:spPr>
            <a:solidFill>
              <a:schemeClr val="accent4"/>
            </a:solidFill>
            <a:ln>
              <a:noFill/>
            </a:ln>
            <a:effectLst/>
          </c:spPr>
          <c:invertIfNegative val="0"/>
          <c:cat>
            <c:numRef>
              <c:f>Graphs!$Q$24:$Q$27</c:f>
              <c:numCache>
                <c:formatCode>yyyy\-mm\-dd</c:formatCode>
                <c:ptCount val="4"/>
                <c:pt idx="0">
                  <c:v>45838</c:v>
                </c:pt>
                <c:pt idx="1">
                  <c:v>46203</c:v>
                </c:pt>
                <c:pt idx="2">
                  <c:v>46568</c:v>
                </c:pt>
                <c:pt idx="3">
                  <c:v>46934</c:v>
                </c:pt>
              </c:numCache>
            </c:numRef>
          </c:cat>
          <c:val>
            <c:numRef>
              <c:f>Graphs!$S$24:$S$27</c:f>
              <c:numCache>
                <c:formatCode>_("$"* #,##0_);_("$"* \(#,##0\);_("$"* "-"_);_(@_)</c:formatCode>
                <c:ptCount val="4"/>
                <c:pt idx="0">
                  <c:v>108732.2355</c:v>
                </c:pt>
                <c:pt idx="1">
                  <c:v>159006.05644500002</c:v>
                </c:pt>
                <c:pt idx="2">
                  <c:v>247804.53466886678</c:v>
                </c:pt>
                <c:pt idx="3">
                  <c:v>458254.78798968234</c:v>
                </c:pt>
              </c:numCache>
            </c:numRef>
          </c:val>
          <c:extLst>
            <c:ext xmlns:c16="http://schemas.microsoft.com/office/drawing/2014/chart" uri="{C3380CC4-5D6E-409C-BE32-E72D297353CC}">
              <c16:uniqueId val="{00000001-13A2-4A36-835C-BEF5AE7FE3C0}"/>
            </c:ext>
          </c:extLst>
        </c:ser>
        <c:dLbls>
          <c:showLegendKey val="0"/>
          <c:showVal val="0"/>
          <c:showCatName val="0"/>
          <c:showSerName val="0"/>
          <c:showPercent val="0"/>
          <c:showBubbleSize val="0"/>
        </c:dLbls>
        <c:gapWidth val="219"/>
        <c:overlap val="-27"/>
        <c:axId val="1721487760"/>
        <c:axId val="1721506480"/>
      </c:barChart>
      <c:lineChart>
        <c:grouping val="standard"/>
        <c:varyColors val="0"/>
        <c:ser>
          <c:idx val="2"/>
          <c:order val="2"/>
          <c:tx>
            <c:strRef>
              <c:f>Graphs!$T$23</c:f>
              <c:strCache>
                <c:ptCount val="1"/>
                <c:pt idx="0">
                  <c:v>EBITDA Margin</c:v>
                </c:pt>
              </c:strCache>
            </c:strRef>
          </c:tx>
          <c:spPr>
            <a:ln w="28575" cap="rnd">
              <a:solidFill>
                <a:srgbClr val="FF0000"/>
              </a:solidFill>
              <a:round/>
            </a:ln>
            <a:effectLst/>
          </c:spPr>
          <c:marker>
            <c:symbol val="none"/>
          </c:marker>
          <c:cat>
            <c:numLit>
              <c:formatCode>General</c:formatCode>
              <c:ptCount val="4"/>
              <c:pt idx="0">
                <c:v>43646</c:v>
              </c:pt>
              <c:pt idx="1">
                <c:v>44012</c:v>
              </c:pt>
              <c:pt idx="2">
                <c:v>44377</c:v>
              </c:pt>
              <c:pt idx="3">
                <c:v>44742</c:v>
              </c:pt>
            </c:numLit>
          </c:cat>
          <c:val>
            <c:numRef>
              <c:f>Graphs!$T$24:$T$27</c:f>
              <c:numCache>
                <c:formatCode>0.0%</c:formatCode>
                <c:ptCount val="4"/>
                <c:pt idx="0">
                  <c:v>0</c:v>
                </c:pt>
                <c:pt idx="1">
                  <c:v>0</c:v>
                </c:pt>
                <c:pt idx="2">
                  <c:v>0</c:v>
                </c:pt>
                <c:pt idx="3">
                  <c:v>0</c:v>
                </c:pt>
              </c:numCache>
            </c:numRef>
          </c:val>
          <c:smooth val="0"/>
          <c:extLst>
            <c:ext xmlns:c16="http://schemas.microsoft.com/office/drawing/2014/chart" uri="{C3380CC4-5D6E-409C-BE32-E72D297353CC}">
              <c16:uniqueId val="{00000002-13A2-4A36-835C-BEF5AE7FE3C0}"/>
            </c:ext>
          </c:extLst>
        </c:ser>
        <c:dLbls>
          <c:showLegendKey val="0"/>
          <c:showVal val="0"/>
          <c:showCatName val="0"/>
          <c:showSerName val="0"/>
          <c:showPercent val="0"/>
          <c:showBubbleSize val="0"/>
        </c:dLbls>
        <c:marker val="1"/>
        <c:smooth val="0"/>
        <c:axId val="1142289503"/>
        <c:axId val="1142289983"/>
      </c:lineChart>
      <c:dateAx>
        <c:axId val="1721487760"/>
        <c:scaling>
          <c:orientation val="minMax"/>
        </c:scaling>
        <c:delete val="0"/>
        <c:axPos val="b"/>
        <c:numFmt formatCode="yyyy\-mm\-dd"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1506480"/>
        <c:crosses val="autoZero"/>
        <c:auto val="1"/>
        <c:lblOffset val="100"/>
        <c:baseTimeUnit val="years"/>
      </c:dateAx>
      <c:valAx>
        <c:axId val="17215064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1487760"/>
        <c:crosses val="autoZero"/>
        <c:crossBetween val="between"/>
      </c:valAx>
      <c:valAx>
        <c:axId val="1142289983"/>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2289503"/>
        <c:crosses val="max"/>
        <c:crossBetween val="between"/>
      </c:valAx>
      <c:catAx>
        <c:axId val="1142289503"/>
        <c:scaling>
          <c:orientation val="minMax"/>
        </c:scaling>
        <c:delete val="1"/>
        <c:axPos val="t"/>
        <c:numFmt formatCode="General" sourceLinked="1"/>
        <c:majorTickMark val="out"/>
        <c:minorTickMark val="none"/>
        <c:tickLblPos val="nextTo"/>
        <c:crossAx val="1142289983"/>
        <c:crosses val="max"/>
        <c:auto val="1"/>
        <c:lblAlgn val="ctr"/>
        <c:lblOffset val="100"/>
        <c:noMultiLvlLbl val="1"/>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Graphs!$X$34:$X$39</c:f>
          <c:strCache>
            <c:ptCount val="6"/>
            <c:pt idx="0">
              <c:v>#REF!</c:v>
            </c:pt>
            <c:pt idx="1">
              <c:v>#REF!</c:v>
            </c:pt>
            <c:pt idx="2">
              <c:v>#REF!</c:v>
            </c:pt>
            <c:pt idx="3">
              <c:v>#REF!</c:v>
            </c:pt>
            <c:pt idx="4">
              <c:v>#REF!</c:v>
            </c:pt>
            <c:pt idx="5">
              <c:v>#REF!</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4">
                <a:shade val="76000"/>
              </a:schemeClr>
            </a:solidFill>
            <a:ln>
              <a:noFill/>
            </a:ln>
            <a:effectLst/>
          </c:spPr>
          <c:invertIfNegative val="0"/>
          <c:dPt>
            <c:idx val="5"/>
            <c:invertIfNegative val="0"/>
            <c:bubble3D val="0"/>
            <c:spPr>
              <a:solidFill>
                <a:srgbClr val="C00000"/>
              </a:solidFill>
              <a:ln>
                <a:noFill/>
              </a:ln>
              <a:effectLst/>
            </c:spPr>
            <c:extLst>
              <c:ext xmlns:c16="http://schemas.microsoft.com/office/drawing/2014/chart" uri="{C3380CC4-5D6E-409C-BE32-E72D297353CC}">
                <c16:uniqueId val="{00000001-3DA5-4493-ADEE-7658A718F48A}"/>
              </c:ext>
            </c:extLst>
          </c:dPt>
          <c:cat>
            <c:strRef>
              <c:f>Graphs!$Q$44:$Q$49</c:f>
              <c:strCache>
                <c:ptCount val="6"/>
                <c:pt idx="0">
                  <c:v>JAZZ</c:v>
                </c:pt>
                <c:pt idx="1">
                  <c:v>BIIB</c:v>
                </c:pt>
                <c:pt idx="2">
                  <c:v>ABBV</c:v>
                </c:pt>
                <c:pt idx="3">
                  <c:v>CPRX</c:v>
                </c:pt>
                <c:pt idx="4">
                  <c:v>AMGN</c:v>
                </c:pt>
                <c:pt idx="5">
                  <c:v>AVDL</c:v>
                </c:pt>
              </c:strCache>
            </c:strRef>
          </c:cat>
          <c:val>
            <c:numRef>
              <c:f>Graphs!$X$34:$X$39</c:f>
              <c:numCache>
                <c:formatCode>0.0\ \x</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3DA5-4493-ADEE-7658A718F48A}"/>
            </c:ext>
          </c:extLst>
        </c:ser>
        <c:ser>
          <c:idx val="1"/>
          <c:order val="1"/>
          <c:spPr>
            <a:solidFill>
              <a:schemeClr val="accent4">
                <a:tint val="77000"/>
              </a:schemeClr>
            </a:solidFill>
            <a:ln>
              <a:noFill/>
            </a:ln>
            <a:effectLst/>
          </c:spPr>
          <c:invertIfNegative val="0"/>
          <c:dPt>
            <c:idx val="5"/>
            <c:invertIfNegative val="0"/>
            <c:bubble3D val="0"/>
            <c:spPr>
              <a:solidFill>
                <a:srgbClr val="FF0000"/>
              </a:solidFill>
              <a:ln>
                <a:noFill/>
              </a:ln>
              <a:effectLst/>
            </c:spPr>
            <c:extLst>
              <c:ext xmlns:c16="http://schemas.microsoft.com/office/drawing/2014/chart" uri="{C3380CC4-5D6E-409C-BE32-E72D297353CC}">
                <c16:uniqueId val="{00000004-3DA5-4493-ADEE-7658A718F48A}"/>
              </c:ext>
            </c:extLst>
          </c:dPt>
          <c:cat>
            <c:strRef>
              <c:f>Graphs!$Q$44:$Q$49</c:f>
              <c:strCache>
                <c:ptCount val="6"/>
                <c:pt idx="0">
                  <c:v>JAZZ</c:v>
                </c:pt>
                <c:pt idx="1">
                  <c:v>BIIB</c:v>
                </c:pt>
                <c:pt idx="2">
                  <c:v>ABBV</c:v>
                </c:pt>
                <c:pt idx="3">
                  <c:v>CPRX</c:v>
                </c:pt>
                <c:pt idx="4">
                  <c:v>AMGN</c:v>
                </c:pt>
                <c:pt idx="5">
                  <c:v>AVDL</c:v>
                </c:pt>
              </c:strCache>
            </c:strRef>
          </c:cat>
          <c:val>
            <c:numRef>
              <c:f>Graphs!$Y$34:$Y$39</c:f>
              <c:numCache>
                <c:formatCode>0.0\ \x</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3DA5-4493-ADEE-7658A718F48A}"/>
            </c:ext>
          </c:extLst>
        </c:ser>
        <c:dLbls>
          <c:showLegendKey val="0"/>
          <c:showVal val="0"/>
          <c:showCatName val="0"/>
          <c:showSerName val="0"/>
          <c:showPercent val="0"/>
          <c:showBubbleSize val="0"/>
        </c:dLbls>
        <c:gapWidth val="219"/>
        <c:overlap val="-27"/>
        <c:axId val="770871695"/>
        <c:axId val="767979615"/>
      </c:barChart>
      <c:catAx>
        <c:axId val="77087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7979615"/>
        <c:crosses val="autoZero"/>
        <c:auto val="1"/>
        <c:lblAlgn val="ctr"/>
        <c:lblOffset val="100"/>
        <c:noMultiLvlLbl val="0"/>
      </c:catAx>
      <c:valAx>
        <c:axId val="767979615"/>
        <c:scaling>
          <c:orientation val="minMax"/>
        </c:scaling>
        <c:delete val="0"/>
        <c:axPos val="l"/>
        <c:majorGridlines>
          <c:spPr>
            <a:ln w="9525" cap="flat" cmpd="sng" algn="ctr">
              <a:solidFill>
                <a:schemeClr val="tx1">
                  <a:lumMod val="15000"/>
                  <a:lumOff val="85000"/>
                </a:schemeClr>
              </a:solidFill>
              <a:round/>
            </a:ln>
            <a:effectLst/>
          </c:spPr>
        </c:majorGridlines>
        <c:numFmt formatCode="0.0\ \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08716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Graphs!$R$44:$R$49</c:f>
          <c:strCache>
            <c:ptCount val="6"/>
            <c:pt idx="0">
              <c:v>#REF!</c:v>
            </c:pt>
            <c:pt idx="1">
              <c:v>#REF!</c:v>
            </c:pt>
            <c:pt idx="2">
              <c:v>#REF!</c:v>
            </c:pt>
            <c:pt idx="3">
              <c:v>#REF!</c:v>
            </c:pt>
            <c:pt idx="4">
              <c:v>#REF!</c:v>
            </c:pt>
            <c:pt idx="5">
              <c:v>#REF!</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4"/>
            </a:solidFill>
            <a:ln>
              <a:noFill/>
            </a:ln>
            <a:effectLst/>
          </c:spPr>
          <c:invertIfNegative val="0"/>
          <c:dPt>
            <c:idx val="5"/>
            <c:invertIfNegative val="0"/>
            <c:bubble3D val="0"/>
            <c:spPr>
              <a:solidFill>
                <a:srgbClr val="FF0000"/>
              </a:solidFill>
              <a:ln>
                <a:noFill/>
              </a:ln>
              <a:effectLst/>
            </c:spPr>
            <c:extLst>
              <c:ext xmlns:c16="http://schemas.microsoft.com/office/drawing/2014/chart" uri="{C3380CC4-5D6E-409C-BE32-E72D297353CC}">
                <c16:uniqueId val="{00000001-914B-4337-AFFA-97199A820BA9}"/>
              </c:ext>
            </c:extLst>
          </c:dPt>
          <c:cat>
            <c:strRef>
              <c:f>Graphs!$Q$44:$Q$49</c:f>
              <c:strCache>
                <c:ptCount val="6"/>
                <c:pt idx="0">
                  <c:v>JAZZ</c:v>
                </c:pt>
                <c:pt idx="1">
                  <c:v>BIIB</c:v>
                </c:pt>
                <c:pt idx="2">
                  <c:v>ABBV</c:v>
                </c:pt>
                <c:pt idx="3">
                  <c:v>CPRX</c:v>
                </c:pt>
                <c:pt idx="4">
                  <c:v>AMGN</c:v>
                </c:pt>
                <c:pt idx="5">
                  <c:v>AVDL</c:v>
                </c:pt>
              </c:strCache>
            </c:strRef>
          </c:cat>
          <c:val>
            <c:numRef>
              <c:f>Graphs!$R$44:$R$49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914B-4337-AFFA-97199A820BA9}"/>
            </c:ext>
          </c:extLst>
        </c:ser>
        <c:dLbls>
          <c:showLegendKey val="0"/>
          <c:showVal val="0"/>
          <c:showCatName val="0"/>
          <c:showSerName val="0"/>
          <c:showPercent val="0"/>
          <c:showBubbleSize val="0"/>
        </c:dLbls>
        <c:gapWidth val="219"/>
        <c:overlap val="-27"/>
        <c:axId val="1325657104"/>
        <c:axId val="1325657584"/>
      </c:barChart>
      <c:catAx>
        <c:axId val="1325657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5657584"/>
        <c:crosses val="autoZero"/>
        <c:auto val="1"/>
        <c:lblAlgn val="ctr"/>
        <c:lblOffset val="100"/>
        <c:noMultiLvlLbl val="0"/>
      </c:catAx>
      <c:valAx>
        <c:axId val="13256575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256571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Graphs!$U$44:$U$49</c:f>
          <c:strCache>
            <c:ptCount val="6"/>
            <c:pt idx="0">
              <c:v>#REF!</c:v>
            </c:pt>
            <c:pt idx="1">
              <c:v>#REF!</c:v>
            </c:pt>
            <c:pt idx="2">
              <c:v>#REF!</c:v>
            </c:pt>
            <c:pt idx="3">
              <c:v>#REF!</c:v>
            </c:pt>
            <c:pt idx="4">
              <c:v>#REF!</c:v>
            </c:pt>
            <c:pt idx="5">
              <c:v>#REF!</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4"/>
            </a:solidFill>
            <a:ln>
              <a:noFill/>
            </a:ln>
            <a:effectLst/>
          </c:spPr>
          <c:invertIfNegative val="0"/>
          <c:dPt>
            <c:idx val="5"/>
            <c:invertIfNegative val="0"/>
            <c:bubble3D val="0"/>
            <c:spPr>
              <a:solidFill>
                <a:srgbClr val="FF0000"/>
              </a:solidFill>
              <a:ln>
                <a:noFill/>
              </a:ln>
              <a:effectLst/>
            </c:spPr>
            <c:extLst>
              <c:ext xmlns:c16="http://schemas.microsoft.com/office/drawing/2014/chart" uri="{C3380CC4-5D6E-409C-BE32-E72D297353CC}">
                <c16:uniqueId val="{00000001-722D-4B28-B7CE-C73630B9DD7C}"/>
              </c:ext>
            </c:extLst>
          </c:dPt>
          <c:cat>
            <c:strRef>
              <c:f>Graphs!$Q$44:$Q$49</c:f>
              <c:strCache>
                <c:ptCount val="6"/>
                <c:pt idx="0">
                  <c:v>JAZZ</c:v>
                </c:pt>
                <c:pt idx="1">
                  <c:v>BIIB</c:v>
                </c:pt>
                <c:pt idx="2">
                  <c:v>ABBV</c:v>
                </c:pt>
                <c:pt idx="3">
                  <c:v>CPRX</c:v>
                </c:pt>
                <c:pt idx="4">
                  <c:v>AMGN</c:v>
                </c:pt>
                <c:pt idx="5">
                  <c:v>AVDL</c:v>
                </c:pt>
              </c:strCache>
            </c:strRef>
          </c:cat>
          <c:val>
            <c:numRef>
              <c:f>Graphs!$U$44:$U$49</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722D-4B28-B7CE-C73630B9DD7C}"/>
            </c:ext>
          </c:extLst>
        </c:ser>
        <c:dLbls>
          <c:showLegendKey val="0"/>
          <c:showVal val="0"/>
          <c:showCatName val="0"/>
          <c:showSerName val="0"/>
          <c:showPercent val="0"/>
          <c:showBubbleSize val="0"/>
        </c:dLbls>
        <c:gapWidth val="219"/>
        <c:overlap val="-27"/>
        <c:axId val="1721481520"/>
        <c:axId val="1721486320"/>
      </c:barChart>
      <c:catAx>
        <c:axId val="1721481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1486320"/>
        <c:crosses val="autoZero"/>
        <c:auto val="1"/>
        <c:lblAlgn val="ctr"/>
        <c:lblOffset val="100"/>
        <c:noMultiLvlLbl val="0"/>
      </c:catAx>
      <c:valAx>
        <c:axId val="172148632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14815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Graphs!$AA$34:$AA$39</c:f>
          <c:strCache>
            <c:ptCount val="6"/>
            <c:pt idx="0">
              <c:v>#REF!</c:v>
            </c:pt>
            <c:pt idx="1">
              <c:v>#REF!</c:v>
            </c:pt>
            <c:pt idx="2">
              <c:v>#REF!</c:v>
            </c:pt>
            <c:pt idx="3">
              <c:v>#REF!</c:v>
            </c:pt>
            <c:pt idx="4">
              <c:v>#REF!</c:v>
            </c:pt>
            <c:pt idx="5">
              <c:v>#REF!</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4">
                <a:shade val="76000"/>
              </a:schemeClr>
            </a:solidFill>
            <a:ln>
              <a:noFill/>
            </a:ln>
            <a:effectLst/>
          </c:spPr>
          <c:invertIfNegative val="0"/>
          <c:dPt>
            <c:idx val="5"/>
            <c:invertIfNegative val="0"/>
            <c:bubble3D val="0"/>
            <c:spPr>
              <a:solidFill>
                <a:srgbClr val="C00000"/>
              </a:solidFill>
              <a:ln>
                <a:noFill/>
              </a:ln>
              <a:effectLst/>
            </c:spPr>
            <c:extLst>
              <c:ext xmlns:c16="http://schemas.microsoft.com/office/drawing/2014/chart" uri="{C3380CC4-5D6E-409C-BE32-E72D297353CC}">
                <c16:uniqueId val="{00000001-879D-42F1-9372-BC702BFBEE22}"/>
              </c:ext>
            </c:extLst>
          </c:dPt>
          <c:cat>
            <c:strRef>
              <c:f>Graphs!$Q$44:$Q$49</c:f>
              <c:strCache>
                <c:ptCount val="6"/>
                <c:pt idx="0">
                  <c:v>JAZZ</c:v>
                </c:pt>
                <c:pt idx="1">
                  <c:v>BIIB</c:v>
                </c:pt>
                <c:pt idx="2">
                  <c:v>ABBV</c:v>
                </c:pt>
                <c:pt idx="3">
                  <c:v>CPRX</c:v>
                </c:pt>
                <c:pt idx="4">
                  <c:v>AMGN</c:v>
                </c:pt>
                <c:pt idx="5">
                  <c:v>AVDL</c:v>
                </c:pt>
              </c:strCache>
            </c:strRef>
          </c:cat>
          <c:val>
            <c:numRef>
              <c:f>Graphs!$AA$34:$AA$39</c:f>
              <c:numCache>
                <c:formatCode>0.0\ \x</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879D-42F1-9372-BC702BFBEE22}"/>
            </c:ext>
          </c:extLst>
        </c:ser>
        <c:ser>
          <c:idx val="1"/>
          <c:order val="1"/>
          <c:spPr>
            <a:solidFill>
              <a:schemeClr val="accent4">
                <a:tint val="77000"/>
              </a:schemeClr>
            </a:solidFill>
            <a:ln>
              <a:noFill/>
            </a:ln>
            <a:effectLst/>
          </c:spPr>
          <c:invertIfNegative val="0"/>
          <c:dPt>
            <c:idx val="5"/>
            <c:invertIfNegative val="0"/>
            <c:bubble3D val="0"/>
            <c:spPr>
              <a:solidFill>
                <a:srgbClr val="FF0000"/>
              </a:solidFill>
              <a:ln>
                <a:noFill/>
              </a:ln>
              <a:effectLst/>
            </c:spPr>
            <c:extLst>
              <c:ext xmlns:c16="http://schemas.microsoft.com/office/drawing/2014/chart" uri="{C3380CC4-5D6E-409C-BE32-E72D297353CC}">
                <c16:uniqueId val="{00000004-879D-42F1-9372-BC702BFBEE22}"/>
              </c:ext>
            </c:extLst>
          </c:dPt>
          <c:cat>
            <c:strRef>
              <c:f>Graphs!$Q$44:$Q$49</c:f>
              <c:strCache>
                <c:ptCount val="6"/>
                <c:pt idx="0">
                  <c:v>JAZZ</c:v>
                </c:pt>
                <c:pt idx="1">
                  <c:v>BIIB</c:v>
                </c:pt>
                <c:pt idx="2">
                  <c:v>ABBV</c:v>
                </c:pt>
                <c:pt idx="3">
                  <c:v>CPRX</c:v>
                </c:pt>
                <c:pt idx="4">
                  <c:v>AMGN</c:v>
                </c:pt>
                <c:pt idx="5">
                  <c:v>AVDL</c:v>
                </c:pt>
              </c:strCache>
            </c:strRef>
          </c:cat>
          <c:val>
            <c:numRef>
              <c:f>Graphs!$AB$34:$AB$39</c:f>
              <c:numCache>
                <c:formatCode>0.0\ \x</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879D-42F1-9372-BC702BFBEE22}"/>
            </c:ext>
          </c:extLst>
        </c:ser>
        <c:dLbls>
          <c:showLegendKey val="0"/>
          <c:showVal val="0"/>
          <c:showCatName val="0"/>
          <c:showSerName val="0"/>
          <c:showPercent val="0"/>
          <c:showBubbleSize val="0"/>
        </c:dLbls>
        <c:gapWidth val="219"/>
        <c:overlap val="-27"/>
        <c:axId val="953707696"/>
        <c:axId val="951953760"/>
      </c:barChart>
      <c:catAx>
        <c:axId val="95370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1953760"/>
        <c:crosses val="autoZero"/>
        <c:auto val="1"/>
        <c:lblAlgn val="ctr"/>
        <c:lblOffset val="100"/>
        <c:noMultiLvlLbl val="0"/>
      </c:catAx>
      <c:valAx>
        <c:axId val="951953760"/>
        <c:scaling>
          <c:orientation val="minMax"/>
        </c:scaling>
        <c:delete val="0"/>
        <c:axPos val="l"/>
        <c:majorGridlines>
          <c:spPr>
            <a:ln w="9525" cap="flat" cmpd="sng" algn="ctr">
              <a:solidFill>
                <a:schemeClr val="tx1">
                  <a:lumMod val="15000"/>
                  <a:lumOff val="85000"/>
                </a:schemeClr>
              </a:solidFill>
              <a:round/>
            </a:ln>
            <a:effectLst/>
          </c:spPr>
        </c:majorGridlines>
        <c:numFmt formatCode="0.0\ \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3707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Graphs!$Q$52</c:f>
          <c:strCache>
            <c:ptCount val="1"/>
            <c:pt idx="0">
              <c:v>Avadel Pharmaceuticals, PLC: Revenue and Operating Margins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Summary!$B$5</c:f>
              <c:strCache>
                <c:ptCount val="1"/>
                <c:pt idx="0">
                  <c:v>Total Revenues</c:v>
                </c:pt>
              </c:strCache>
            </c:strRef>
          </c:tx>
          <c:spPr>
            <a:solidFill>
              <a:schemeClr val="accent4">
                <a:shade val="76000"/>
              </a:schemeClr>
            </a:solidFill>
            <a:ln>
              <a:noFill/>
            </a:ln>
            <a:effectLst/>
          </c:spPr>
          <c:invertIfNegative val="0"/>
          <c:cat>
            <c:numRef>
              <c:f>Summary!$F$3:$P$3</c:f>
              <c:numCache>
                <c:formatCode>"FY"yy</c:formatCode>
                <c:ptCount val="11"/>
                <c:pt idx="0">
                  <c:v>43646</c:v>
                </c:pt>
                <c:pt idx="1">
                  <c:v>44012</c:v>
                </c:pt>
                <c:pt idx="2">
                  <c:v>44377</c:v>
                </c:pt>
                <c:pt idx="3">
                  <c:v>44742</c:v>
                </c:pt>
                <c:pt idx="4">
                  <c:v>45107</c:v>
                </c:pt>
                <c:pt idx="5">
                  <c:v>45473</c:v>
                </c:pt>
                <c:pt idx="6">
                  <c:v>45838</c:v>
                </c:pt>
                <c:pt idx="7">
                  <c:v>46203</c:v>
                </c:pt>
                <c:pt idx="8">
                  <c:v>46568</c:v>
                </c:pt>
                <c:pt idx="9">
                  <c:v>46934</c:v>
                </c:pt>
                <c:pt idx="10">
                  <c:v>47299</c:v>
                </c:pt>
              </c:numCache>
            </c:numRef>
          </c:cat>
          <c:val>
            <c:numRef>
              <c:f>Summary!$K$5:$P$5</c:f>
              <c:numCache>
                <c:formatCode>_("$"* #,##0_);_("$"* \(#,##0\);_("$"* "-"_);_(@_)</c:formatCode>
                <c:ptCount val="6"/>
                <c:pt idx="0">
                  <c:v>169117</c:v>
                </c:pt>
                <c:pt idx="1">
                  <c:v>264448.8</c:v>
                </c:pt>
                <c:pt idx="2">
                  <c:v>364321.152</c:v>
                </c:pt>
                <c:pt idx="3">
                  <c:v>532478.25232155633</c:v>
                </c:pt>
                <c:pt idx="4">
                  <c:v>916063.01737108361</c:v>
                </c:pt>
                <c:pt idx="5">
                  <c:v>1269902.1834320638</c:v>
                </c:pt>
              </c:numCache>
            </c:numRef>
          </c:val>
          <c:extLst>
            <c:ext xmlns:c16="http://schemas.microsoft.com/office/drawing/2014/chart" uri="{C3380CC4-5D6E-409C-BE32-E72D297353CC}">
              <c16:uniqueId val="{00000000-4234-47E0-A250-DC4A75E3B6F0}"/>
            </c:ext>
          </c:extLst>
        </c:ser>
        <c:dLbls>
          <c:showLegendKey val="0"/>
          <c:showVal val="0"/>
          <c:showCatName val="0"/>
          <c:showSerName val="0"/>
          <c:showPercent val="0"/>
          <c:showBubbleSize val="0"/>
        </c:dLbls>
        <c:gapWidth val="219"/>
        <c:overlap val="-27"/>
        <c:axId val="1699023471"/>
        <c:axId val="1699024431"/>
      </c:barChart>
      <c:lineChart>
        <c:grouping val="standard"/>
        <c:varyColors val="0"/>
        <c:ser>
          <c:idx val="1"/>
          <c:order val="1"/>
          <c:tx>
            <c:strRef>
              <c:f>Summary!$B$9</c:f>
              <c:strCache>
                <c:ptCount val="1"/>
                <c:pt idx="0">
                  <c:v>Profit Margin</c:v>
                </c:pt>
              </c:strCache>
            </c:strRef>
          </c:tx>
          <c:spPr>
            <a:ln w="28575" cap="rnd">
              <a:solidFill>
                <a:srgbClr val="FF0000"/>
              </a:solidFill>
              <a:round/>
            </a:ln>
            <a:effectLst/>
          </c:spPr>
          <c:marker>
            <c:symbol val="none"/>
          </c:marker>
          <c:val>
            <c:numRef>
              <c:f>Summary!$J$9:$P$9</c:f>
              <c:numCache>
                <c:formatCode>0%</c:formatCode>
                <c:ptCount val="7"/>
                <c:pt idx="0">
                  <c:v>0.96974573543611198</c:v>
                </c:pt>
                <c:pt idx="1">
                  <c:v>0.9096660891572107</c:v>
                </c:pt>
                <c:pt idx="2">
                  <c:v>0.85</c:v>
                </c:pt>
                <c:pt idx="3">
                  <c:v>0.85064102564102562</c:v>
                </c:pt>
                <c:pt idx="4">
                  <c:v>0.85485721862052488</c:v>
                </c:pt>
                <c:pt idx="5">
                  <c:v>0.86495525717347521</c:v>
                </c:pt>
                <c:pt idx="6">
                  <c:v>0.87089681069581348</c:v>
                </c:pt>
              </c:numCache>
            </c:numRef>
          </c:val>
          <c:smooth val="0"/>
          <c:extLst>
            <c:ext xmlns:c16="http://schemas.microsoft.com/office/drawing/2014/chart" uri="{C3380CC4-5D6E-409C-BE32-E72D297353CC}">
              <c16:uniqueId val="{00000002-4234-47E0-A250-DC4A75E3B6F0}"/>
            </c:ext>
          </c:extLst>
        </c:ser>
        <c:dLbls>
          <c:showLegendKey val="0"/>
          <c:showVal val="0"/>
          <c:showCatName val="0"/>
          <c:showSerName val="0"/>
          <c:showPercent val="0"/>
          <c:showBubbleSize val="0"/>
        </c:dLbls>
        <c:marker val="1"/>
        <c:smooth val="0"/>
        <c:axId val="1699022031"/>
        <c:axId val="1699026831"/>
      </c:lineChart>
      <c:dateAx>
        <c:axId val="1699023471"/>
        <c:scaling>
          <c:orientation val="minMax"/>
        </c:scaling>
        <c:delete val="0"/>
        <c:axPos val="b"/>
        <c:numFmt formatCode="&quot;FY&quot;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99024431"/>
        <c:crosses val="autoZero"/>
        <c:auto val="1"/>
        <c:lblOffset val="100"/>
        <c:baseTimeUnit val="years"/>
      </c:dateAx>
      <c:valAx>
        <c:axId val="1699024431"/>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99023471"/>
        <c:crosses val="autoZero"/>
        <c:crossBetween val="between"/>
      </c:valAx>
      <c:valAx>
        <c:axId val="1699026831"/>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99022031"/>
        <c:crosses val="max"/>
        <c:crossBetween val="between"/>
      </c:valAx>
      <c:catAx>
        <c:axId val="1699022031"/>
        <c:scaling>
          <c:orientation val="minMax"/>
        </c:scaling>
        <c:delete val="1"/>
        <c:axPos val="b"/>
        <c:majorTickMark val="out"/>
        <c:minorTickMark val="none"/>
        <c:tickLblPos val="nextTo"/>
        <c:crossAx val="1699026831"/>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Graphs!$Q$54</c:f>
          <c:strCache>
            <c:ptCount val="1"/>
            <c:pt idx="0">
              <c:v>LUMRYZ : Patient Growth</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4">
                <a:shade val="76000"/>
              </a:schemeClr>
            </a:solidFill>
            <a:ln>
              <a:noFill/>
            </a:ln>
            <a:effectLst/>
          </c:spPr>
          <c:invertIfNegative val="0"/>
          <c:cat>
            <c:numRef>
              <c:f>Model!$L$17:$V$17</c:f>
              <c:numCache>
                <c:formatCode>"FY"\ yy</c:formatCode>
                <c:ptCount val="11"/>
                <c:pt idx="0">
                  <c:v>45473</c:v>
                </c:pt>
                <c:pt idx="1">
                  <c:v>45838</c:v>
                </c:pt>
                <c:pt idx="2">
                  <c:v>46203</c:v>
                </c:pt>
                <c:pt idx="3">
                  <c:v>46568</c:v>
                </c:pt>
                <c:pt idx="4">
                  <c:v>46934</c:v>
                </c:pt>
                <c:pt idx="5">
                  <c:v>47299</c:v>
                </c:pt>
                <c:pt idx="6">
                  <c:v>47664</c:v>
                </c:pt>
                <c:pt idx="7">
                  <c:v>48029</c:v>
                </c:pt>
                <c:pt idx="8">
                  <c:v>48395</c:v>
                </c:pt>
                <c:pt idx="9">
                  <c:v>48760</c:v>
                </c:pt>
                <c:pt idx="10">
                  <c:v>49125</c:v>
                </c:pt>
              </c:numCache>
            </c:numRef>
          </c:cat>
          <c:val>
            <c:numRef>
              <c:f>Model!#REF!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Model!#REF!</c15:sqref>
                        </c15:formulaRef>
                      </c:ext>
                    </c:extLst>
                    <c:strCache>
                      <c:ptCount val="1"/>
                      <c:pt idx="0">
                        <c:v>#REF!</c:v>
                      </c:pt>
                    </c:strCache>
                  </c:strRef>
                </c15:tx>
              </c15:filteredSeriesTitle>
            </c:ext>
            <c:ext xmlns:c16="http://schemas.microsoft.com/office/drawing/2014/chart" uri="{C3380CC4-5D6E-409C-BE32-E72D297353CC}">
              <c16:uniqueId val="{00000000-4B8A-4CD9-9EC9-7134E27512F9}"/>
            </c:ext>
          </c:extLst>
        </c:ser>
        <c:dLbls>
          <c:showLegendKey val="0"/>
          <c:showVal val="0"/>
          <c:showCatName val="0"/>
          <c:showSerName val="0"/>
          <c:showPercent val="0"/>
          <c:showBubbleSize val="0"/>
        </c:dLbls>
        <c:gapWidth val="219"/>
        <c:overlap val="-27"/>
        <c:axId val="1942986623"/>
        <c:axId val="1942987103"/>
      </c:barChart>
      <c:lineChart>
        <c:grouping val="stacked"/>
        <c:varyColors val="0"/>
        <c:ser>
          <c:idx val="1"/>
          <c:order val="1"/>
          <c:spPr>
            <a:ln w="28575" cap="rnd">
              <a:solidFill>
                <a:schemeClr val="accent4">
                  <a:tint val="77000"/>
                </a:schemeClr>
              </a:solidFill>
              <a:round/>
            </a:ln>
            <a:effectLst/>
          </c:spPr>
          <c:marker>
            <c:symbol val="none"/>
          </c:marker>
          <c:val>
            <c:numRef>
              <c:f>Model!#REF!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Model!#REF!</c15:sqref>
                        </c15:formulaRef>
                      </c:ext>
                    </c:extLst>
                    <c:strCache>
                      <c:ptCount val="1"/>
                      <c:pt idx="0">
                        <c:v>#REF!</c:v>
                      </c:pt>
                    </c:strCache>
                  </c:strRef>
                </c15:tx>
              </c15:filteredSeriesTitle>
            </c:ext>
            <c:ext xmlns:c16="http://schemas.microsoft.com/office/drawing/2014/chart" uri="{C3380CC4-5D6E-409C-BE32-E72D297353CC}">
              <c16:uniqueId val="{00000001-4B8A-4CD9-9EC9-7134E27512F9}"/>
            </c:ext>
          </c:extLst>
        </c:ser>
        <c:dLbls>
          <c:showLegendKey val="0"/>
          <c:showVal val="0"/>
          <c:showCatName val="0"/>
          <c:showSerName val="0"/>
          <c:showPercent val="0"/>
          <c:showBubbleSize val="0"/>
        </c:dLbls>
        <c:marker val="1"/>
        <c:smooth val="0"/>
        <c:axId val="1796900319"/>
        <c:axId val="1796899359"/>
      </c:lineChart>
      <c:dateAx>
        <c:axId val="1942986623"/>
        <c:scaling>
          <c:orientation val="minMax"/>
        </c:scaling>
        <c:delete val="0"/>
        <c:axPos val="b"/>
        <c:numFmt formatCode="&quot;FY&quot;\ 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2987103"/>
        <c:crosses val="autoZero"/>
        <c:auto val="1"/>
        <c:lblOffset val="100"/>
        <c:baseTimeUnit val="years"/>
      </c:dateAx>
      <c:valAx>
        <c:axId val="194298710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2986623"/>
        <c:crosses val="autoZero"/>
        <c:crossBetween val="between"/>
      </c:valAx>
      <c:valAx>
        <c:axId val="1796899359"/>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6900319"/>
        <c:crosses val="max"/>
        <c:crossBetween val="between"/>
      </c:valAx>
      <c:catAx>
        <c:axId val="1796900319"/>
        <c:scaling>
          <c:orientation val="minMax"/>
        </c:scaling>
        <c:delete val="1"/>
        <c:axPos val="b"/>
        <c:majorTickMark val="out"/>
        <c:minorTickMark val="none"/>
        <c:tickLblPos val="nextTo"/>
        <c:crossAx val="1796899359"/>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Graphs!$R$102</c:f>
          <c:strCache>
            <c:ptCount val="1"/>
            <c:pt idx="0">
              <c:v>Avadel Pharmaceuticals, PLC - LTM Price / Volume</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rgbClr val="C00000">
                <a:alpha val="37000"/>
              </a:srgbClr>
            </a:solidFill>
            <a:ln>
              <a:noFill/>
            </a:ln>
            <a:effectLst/>
          </c:spPr>
          <c:invertIfNegative val="0"/>
          <c:cat>
            <c:numRef>
              <c:f>Graphs!$R$107:$R$358</c:f>
              <c:numCache>
                <c:formatCode>d\-mmm\-yy</c:formatCode>
                <c:ptCount val="252"/>
                <c:pt idx="0">
                  <c:v>45686</c:v>
                </c:pt>
                <c:pt idx="1">
                  <c:v>45685</c:v>
                </c:pt>
                <c:pt idx="2">
                  <c:v>45684</c:v>
                </c:pt>
                <c:pt idx="3">
                  <c:v>45681</c:v>
                </c:pt>
                <c:pt idx="4">
                  <c:v>45680</c:v>
                </c:pt>
                <c:pt idx="5">
                  <c:v>45679</c:v>
                </c:pt>
                <c:pt idx="6">
                  <c:v>45678</c:v>
                </c:pt>
                <c:pt idx="7">
                  <c:v>45674</c:v>
                </c:pt>
                <c:pt idx="8">
                  <c:v>45673</c:v>
                </c:pt>
                <c:pt idx="9">
                  <c:v>45672</c:v>
                </c:pt>
                <c:pt idx="10">
                  <c:v>45671</c:v>
                </c:pt>
                <c:pt idx="11">
                  <c:v>45670</c:v>
                </c:pt>
                <c:pt idx="12">
                  <c:v>45667</c:v>
                </c:pt>
                <c:pt idx="13">
                  <c:v>45665</c:v>
                </c:pt>
                <c:pt idx="14">
                  <c:v>45664</c:v>
                </c:pt>
                <c:pt idx="15">
                  <c:v>45663</c:v>
                </c:pt>
                <c:pt idx="16">
                  <c:v>45660</c:v>
                </c:pt>
                <c:pt idx="17">
                  <c:v>45659</c:v>
                </c:pt>
                <c:pt idx="18">
                  <c:v>45657</c:v>
                </c:pt>
                <c:pt idx="19">
                  <c:v>45656</c:v>
                </c:pt>
                <c:pt idx="20">
                  <c:v>45653</c:v>
                </c:pt>
                <c:pt idx="21">
                  <c:v>45652</c:v>
                </c:pt>
                <c:pt idx="22">
                  <c:v>45650</c:v>
                </c:pt>
                <c:pt idx="23">
                  <c:v>45649</c:v>
                </c:pt>
                <c:pt idx="24">
                  <c:v>45646</c:v>
                </c:pt>
                <c:pt idx="25">
                  <c:v>45645</c:v>
                </c:pt>
                <c:pt idx="26">
                  <c:v>45644</c:v>
                </c:pt>
                <c:pt idx="27">
                  <c:v>45643</c:v>
                </c:pt>
                <c:pt idx="28">
                  <c:v>45642</c:v>
                </c:pt>
                <c:pt idx="29">
                  <c:v>45639</c:v>
                </c:pt>
                <c:pt idx="30">
                  <c:v>45638</c:v>
                </c:pt>
                <c:pt idx="31">
                  <c:v>45637</c:v>
                </c:pt>
                <c:pt idx="32">
                  <c:v>45636</c:v>
                </c:pt>
                <c:pt idx="33">
                  <c:v>45635</c:v>
                </c:pt>
                <c:pt idx="34">
                  <c:v>45632</c:v>
                </c:pt>
                <c:pt idx="35">
                  <c:v>45631</c:v>
                </c:pt>
                <c:pt idx="36">
                  <c:v>45630</c:v>
                </c:pt>
                <c:pt idx="37">
                  <c:v>45629</c:v>
                </c:pt>
                <c:pt idx="38">
                  <c:v>45628</c:v>
                </c:pt>
                <c:pt idx="39">
                  <c:v>45625</c:v>
                </c:pt>
                <c:pt idx="40">
                  <c:v>45623</c:v>
                </c:pt>
                <c:pt idx="41">
                  <c:v>45622</c:v>
                </c:pt>
                <c:pt idx="42">
                  <c:v>45621</c:v>
                </c:pt>
                <c:pt idx="43">
                  <c:v>45618</c:v>
                </c:pt>
                <c:pt idx="44">
                  <c:v>45617</c:v>
                </c:pt>
                <c:pt idx="45">
                  <c:v>45616</c:v>
                </c:pt>
                <c:pt idx="46">
                  <c:v>45615</c:v>
                </c:pt>
                <c:pt idx="47">
                  <c:v>45614</c:v>
                </c:pt>
                <c:pt idx="48">
                  <c:v>45611</c:v>
                </c:pt>
                <c:pt idx="49">
                  <c:v>45610</c:v>
                </c:pt>
                <c:pt idx="50">
                  <c:v>45609</c:v>
                </c:pt>
                <c:pt idx="51">
                  <c:v>45608</c:v>
                </c:pt>
                <c:pt idx="52">
                  <c:v>45607</c:v>
                </c:pt>
                <c:pt idx="53">
                  <c:v>45604</c:v>
                </c:pt>
                <c:pt idx="54">
                  <c:v>45603</c:v>
                </c:pt>
                <c:pt idx="55">
                  <c:v>45602</c:v>
                </c:pt>
                <c:pt idx="56">
                  <c:v>45601</c:v>
                </c:pt>
                <c:pt idx="57">
                  <c:v>45600</c:v>
                </c:pt>
                <c:pt idx="58">
                  <c:v>45597</c:v>
                </c:pt>
                <c:pt idx="59">
                  <c:v>45596</c:v>
                </c:pt>
                <c:pt idx="60">
                  <c:v>45595</c:v>
                </c:pt>
                <c:pt idx="61">
                  <c:v>45594</c:v>
                </c:pt>
                <c:pt idx="62">
                  <c:v>45593</c:v>
                </c:pt>
                <c:pt idx="63">
                  <c:v>45590</c:v>
                </c:pt>
                <c:pt idx="64">
                  <c:v>45589</c:v>
                </c:pt>
                <c:pt idx="65">
                  <c:v>45588</c:v>
                </c:pt>
                <c:pt idx="66">
                  <c:v>45587</c:v>
                </c:pt>
                <c:pt idx="67">
                  <c:v>45586</c:v>
                </c:pt>
                <c:pt idx="68">
                  <c:v>45583</c:v>
                </c:pt>
                <c:pt idx="69">
                  <c:v>45582</c:v>
                </c:pt>
                <c:pt idx="70">
                  <c:v>45581</c:v>
                </c:pt>
                <c:pt idx="71">
                  <c:v>45580</c:v>
                </c:pt>
                <c:pt idx="72">
                  <c:v>45579</c:v>
                </c:pt>
                <c:pt idx="73">
                  <c:v>45576</c:v>
                </c:pt>
                <c:pt idx="74">
                  <c:v>45575</c:v>
                </c:pt>
                <c:pt idx="75">
                  <c:v>45574</c:v>
                </c:pt>
                <c:pt idx="76">
                  <c:v>45573</c:v>
                </c:pt>
                <c:pt idx="77">
                  <c:v>45572</c:v>
                </c:pt>
                <c:pt idx="78">
                  <c:v>45569</c:v>
                </c:pt>
                <c:pt idx="79">
                  <c:v>45568</c:v>
                </c:pt>
                <c:pt idx="80">
                  <c:v>45567</c:v>
                </c:pt>
                <c:pt idx="81">
                  <c:v>45566</c:v>
                </c:pt>
                <c:pt idx="82">
                  <c:v>45565</c:v>
                </c:pt>
                <c:pt idx="83">
                  <c:v>45562</c:v>
                </c:pt>
                <c:pt idx="84">
                  <c:v>45561</c:v>
                </c:pt>
                <c:pt idx="85">
                  <c:v>45560</c:v>
                </c:pt>
                <c:pt idx="86">
                  <c:v>45559</c:v>
                </c:pt>
                <c:pt idx="87">
                  <c:v>45558</c:v>
                </c:pt>
                <c:pt idx="88">
                  <c:v>45555</c:v>
                </c:pt>
                <c:pt idx="89">
                  <c:v>45554</c:v>
                </c:pt>
                <c:pt idx="90">
                  <c:v>45553</c:v>
                </c:pt>
                <c:pt idx="91">
                  <c:v>45552</c:v>
                </c:pt>
                <c:pt idx="92">
                  <c:v>45551</c:v>
                </c:pt>
                <c:pt idx="93">
                  <c:v>45548</c:v>
                </c:pt>
                <c:pt idx="94">
                  <c:v>45547</c:v>
                </c:pt>
                <c:pt idx="95">
                  <c:v>45546</c:v>
                </c:pt>
                <c:pt idx="96">
                  <c:v>45545</c:v>
                </c:pt>
                <c:pt idx="97">
                  <c:v>45544</c:v>
                </c:pt>
                <c:pt idx="98">
                  <c:v>45541</c:v>
                </c:pt>
                <c:pt idx="99">
                  <c:v>45540</c:v>
                </c:pt>
                <c:pt idx="100">
                  <c:v>45539</c:v>
                </c:pt>
                <c:pt idx="101">
                  <c:v>45538</c:v>
                </c:pt>
                <c:pt idx="102">
                  <c:v>45534</c:v>
                </c:pt>
                <c:pt idx="103">
                  <c:v>45533</c:v>
                </c:pt>
                <c:pt idx="104">
                  <c:v>45532</c:v>
                </c:pt>
                <c:pt idx="105">
                  <c:v>45531</c:v>
                </c:pt>
                <c:pt idx="106">
                  <c:v>45530</c:v>
                </c:pt>
                <c:pt idx="107">
                  <c:v>45527</c:v>
                </c:pt>
                <c:pt idx="108">
                  <c:v>45526</c:v>
                </c:pt>
                <c:pt idx="109">
                  <c:v>45525</c:v>
                </c:pt>
                <c:pt idx="110">
                  <c:v>45524</c:v>
                </c:pt>
                <c:pt idx="111">
                  <c:v>45523</c:v>
                </c:pt>
                <c:pt idx="112">
                  <c:v>45520</c:v>
                </c:pt>
                <c:pt idx="113">
                  <c:v>45519</c:v>
                </c:pt>
                <c:pt idx="114">
                  <c:v>45518</c:v>
                </c:pt>
                <c:pt idx="115">
                  <c:v>45517</c:v>
                </c:pt>
                <c:pt idx="116">
                  <c:v>45516</c:v>
                </c:pt>
                <c:pt idx="117">
                  <c:v>45513</c:v>
                </c:pt>
                <c:pt idx="118">
                  <c:v>45512</c:v>
                </c:pt>
                <c:pt idx="119">
                  <c:v>45511</c:v>
                </c:pt>
                <c:pt idx="120">
                  <c:v>45510</c:v>
                </c:pt>
                <c:pt idx="121">
                  <c:v>45509</c:v>
                </c:pt>
                <c:pt idx="122">
                  <c:v>45506</c:v>
                </c:pt>
                <c:pt idx="123">
                  <c:v>45505</c:v>
                </c:pt>
                <c:pt idx="124">
                  <c:v>45504</c:v>
                </c:pt>
                <c:pt idx="125">
                  <c:v>45503</c:v>
                </c:pt>
                <c:pt idx="126">
                  <c:v>45502</c:v>
                </c:pt>
                <c:pt idx="127">
                  <c:v>45499</c:v>
                </c:pt>
                <c:pt idx="128">
                  <c:v>45498</c:v>
                </c:pt>
                <c:pt idx="129">
                  <c:v>45497</c:v>
                </c:pt>
                <c:pt idx="130">
                  <c:v>45496</c:v>
                </c:pt>
                <c:pt idx="131">
                  <c:v>45495</c:v>
                </c:pt>
                <c:pt idx="132">
                  <c:v>45492</c:v>
                </c:pt>
                <c:pt idx="133">
                  <c:v>45491</c:v>
                </c:pt>
                <c:pt idx="134">
                  <c:v>45490</c:v>
                </c:pt>
                <c:pt idx="135">
                  <c:v>45489</c:v>
                </c:pt>
                <c:pt idx="136">
                  <c:v>45488</c:v>
                </c:pt>
                <c:pt idx="137">
                  <c:v>45485</c:v>
                </c:pt>
                <c:pt idx="138">
                  <c:v>45484</c:v>
                </c:pt>
                <c:pt idx="139">
                  <c:v>45483</c:v>
                </c:pt>
                <c:pt idx="140">
                  <c:v>45482</c:v>
                </c:pt>
                <c:pt idx="141">
                  <c:v>45481</c:v>
                </c:pt>
                <c:pt idx="142">
                  <c:v>45478</c:v>
                </c:pt>
                <c:pt idx="143">
                  <c:v>45476</c:v>
                </c:pt>
                <c:pt idx="144">
                  <c:v>45475</c:v>
                </c:pt>
                <c:pt idx="145">
                  <c:v>45474</c:v>
                </c:pt>
                <c:pt idx="146">
                  <c:v>45471</c:v>
                </c:pt>
                <c:pt idx="147">
                  <c:v>45470</c:v>
                </c:pt>
                <c:pt idx="148">
                  <c:v>45469</c:v>
                </c:pt>
                <c:pt idx="149">
                  <c:v>45468</c:v>
                </c:pt>
                <c:pt idx="150">
                  <c:v>45467</c:v>
                </c:pt>
                <c:pt idx="151">
                  <c:v>45464</c:v>
                </c:pt>
                <c:pt idx="152">
                  <c:v>45463</c:v>
                </c:pt>
                <c:pt idx="153">
                  <c:v>45461</c:v>
                </c:pt>
                <c:pt idx="154">
                  <c:v>45460</c:v>
                </c:pt>
                <c:pt idx="155">
                  <c:v>45457</c:v>
                </c:pt>
                <c:pt idx="156">
                  <c:v>45456</c:v>
                </c:pt>
                <c:pt idx="157">
                  <c:v>45455</c:v>
                </c:pt>
                <c:pt idx="158">
                  <c:v>45454</c:v>
                </c:pt>
                <c:pt idx="159">
                  <c:v>45453</c:v>
                </c:pt>
                <c:pt idx="160">
                  <c:v>45450</c:v>
                </c:pt>
                <c:pt idx="161">
                  <c:v>45449</c:v>
                </c:pt>
                <c:pt idx="162">
                  <c:v>45448</c:v>
                </c:pt>
                <c:pt idx="163">
                  <c:v>45447</c:v>
                </c:pt>
                <c:pt idx="164">
                  <c:v>45446</c:v>
                </c:pt>
                <c:pt idx="165">
                  <c:v>45443</c:v>
                </c:pt>
                <c:pt idx="166">
                  <c:v>45442</c:v>
                </c:pt>
                <c:pt idx="167">
                  <c:v>45441</c:v>
                </c:pt>
                <c:pt idx="168">
                  <c:v>45440</c:v>
                </c:pt>
                <c:pt idx="169">
                  <c:v>45436</c:v>
                </c:pt>
                <c:pt idx="170">
                  <c:v>45435</c:v>
                </c:pt>
                <c:pt idx="171">
                  <c:v>45434</c:v>
                </c:pt>
                <c:pt idx="172">
                  <c:v>45433</c:v>
                </c:pt>
                <c:pt idx="173">
                  <c:v>45432</c:v>
                </c:pt>
                <c:pt idx="174">
                  <c:v>45429</c:v>
                </c:pt>
                <c:pt idx="175">
                  <c:v>45428</c:v>
                </c:pt>
                <c:pt idx="176">
                  <c:v>45427</c:v>
                </c:pt>
                <c:pt idx="177">
                  <c:v>45426</c:v>
                </c:pt>
                <c:pt idx="178">
                  <c:v>45425</c:v>
                </c:pt>
                <c:pt idx="179">
                  <c:v>45422</c:v>
                </c:pt>
                <c:pt idx="180">
                  <c:v>45421</c:v>
                </c:pt>
                <c:pt idx="181">
                  <c:v>45420</c:v>
                </c:pt>
                <c:pt idx="182">
                  <c:v>45419</c:v>
                </c:pt>
                <c:pt idx="183">
                  <c:v>45418</c:v>
                </c:pt>
                <c:pt idx="184">
                  <c:v>45415</c:v>
                </c:pt>
                <c:pt idx="185">
                  <c:v>45414</c:v>
                </c:pt>
                <c:pt idx="186">
                  <c:v>45413</c:v>
                </c:pt>
                <c:pt idx="187">
                  <c:v>45412</c:v>
                </c:pt>
                <c:pt idx="188">
                  <c:v>45411</c:v>
                </c:pt>
                <c:pt idx="189">
                  <c:v>45408</c:v>
                </c:pt>
                <c:pt idx="190">
                  <c:v>45407</c:v>
                </c:pt>
                <c:pt idx="191">
                  <c:v>45406</c:v>
                </c:pt>
                <c:pt idx="192">
                  <c:v>45405</c:v>
                </c:pt>
                <c:pt idx="193">
                  <c:v>45404</c:v>
                </c:pt>
                <c:pt idx="194">
                  <c:v>45401</c:v>
                </c:pt>
                <c:pt idx="195">
                  <c:v>45400</c:v>
                </c:pt>
                <c:pt idx="196">
                  <c:v>45399</c:v>
                </c:pt>
                <c:pt idx="197">
                  <c:v>45398</c:v>
                </c:pt>
                <c:pt idx="198">
                  <c:v>45397</c:v>
                </c:pt>
                <c:pt idx="199">
                  <c:v>45394</c:v>
                </c:pt>
                <c:pt idx="200">
                  <c:v>45393</c:v>
                </c:pt>
                <c:pt idx="201">
                  <c:v>45392</c:v>
                </c:pt>
                <c:pt idx="202">
                  <c:v>45391</c:v>
                </c:pt>
                <c:pt idx="203">
                  <c:v>45390</c:v>
                </c:pt>
                <c:pt idx="204">
                  <c:v>45387</c:v>
                </c:pt>
                <c:pt idx="205">
                  <c:v>45386</c:v>
                </c:pt>
                <c:pt idx="206">
                  <c:v>45385</c:v>
                </c:pt>
                <c:pt idx="207">
                  <c:v>45384</c:v>
                </c:pt>
                <c:pt idx="208">
                  <c:v>45383</c:v>
                </c:pt>
                <c:pt idx="209">
                  <c:v>45379</c:v>
                </c:pt>
                <c:pt idx="210">
                  <c:v>45378</c:v>
                </c:pt>
                <c:pt idx="211">
                  <c:v>45377</c:v>
                </c:pt>
                <c:pt idx="212">
                  <c:v>45376</c:v>
                </c:pt>
                <c:pt idx="213">
                  <c:v>45373</c:v>
                </c:pt>
                <c:pt idx="214">
                  <c:v>45372</c:v>
                </c:pt>
                <c:pt idx="215">
                  <c:v>45371</c:v>
                </c:pt>
                <c:pt idx="216">
                  <c:v>45370</c:v>
                </c:pt>
                <c:pt idx="217">
                  <c:v>45369</c:v>
                </c:pt>
                <c:pt idx="218">
                  <c:v>45366</c:v>
                </c:pt>
                <c:pt idx="219">
                  <c:v>45365</c:v>
                </c:pt>
                <c:pt idx="220">
                  <c:v>45364</c:v>
                </c:pt>
                <c:pt idx="221">
                  <c:v>45363</c:v>
                </c:pt>
                <c:pt idx="222">
                  <c:v>45362</c:v>
                </c:pt>
                <c:pt idx="223">
                  <c:v>45359</c:v>
                </c:pt>
                <c:pt idx="224">
                  <c:v>45358</c:v>
                </c:pt>
                <c:pt idx="225">
                  <c:v>45357</c:v>
                </c:pt>
                <c:pt idx="226">
                  <c:v>45356</c:v>
                </c:pt>
                <c:pt idx="227">
                  <c:v>45355</c:v>
                </c:pt>
                <c:pt idx="228">
                  <c:v>45352</c:v>
                </c:pt>
                <c:pt idx="229">
                  <c:v>45351</c:v>
                </c:pt>
                <c:pt idx="230">
                  <c:v>45350</c:v>
                </c:pt>
                <c:pt idx="231">
                  <c:v>45349</c:v>
                </c:pt>
                <c:pt idx="232">
                  <c:v>45348</c:v>
                </c:pt>
                <c:pt idx="233">
                  <c:v>45345</c:v>
                </c:pt>
                <c:pt idx="234">
                  <c:v>45344</c:v>
                </c:pt>
                <c:pt idx="235">
                  <c:v>45343</c:v>
                </c:pt>
                <c:pt idx="236">
                  <c:v>45342</c:v>
                </c:pt>
                <c:pt idx="237">
                  <c:v>45338</c:v>
                </c:pt>
                <c:pt idx="238">
                  <c:v>45337</c:v>
                </c:pt>
                <c:pt idx="239">
                  <c:v>45336</c:v>
                </c:pt>
                <c:pt idx="240">
                  <c:v>45335</c:v>
                </c:pt>
                <c:pt idx="241">
                  <c:v>45334</c:v>
                </c:pt>
                <c:pt idx="242">
                  <c:v>45331</c:v>
                </c:pt>
                <c:pt idx="243">
                  <c:v>45330</c:v>
                </c:pt>
                <c:pt idx="244">
                  <c:v>45329</c:v>
                </c:pt>
                <c:pt idx="245">
                  <c:v>45328</c:v>
                </c:pt>
                <c:pt idx="246">
                  <c:v>45327</c:v>
                </c:pt>
                <c:pt idx="247">
                  <c:v>45324</c:v>
                </c:pt>
                <c:pt idx="248">
                  <c:v>45323</c:v>
                </c:pt>
                <c:pt idx="249">
                  <c:v>45322</c:v>
                </c:pt>
                <c:pt idx="250">
                  <c:v>45321</c:v>
                </c:pt>
                <c:pt idx="251">
                  <c:v>45320</c:v>
                </c:pt>
              </c:numCache>
            </c:numRef>
          </c:cat>
          <c:val>
            <c:numRef>
              <c:f>Graphs!$S$107:$S$358</c:f>
              <c:numCache>
                <c:formatCode>General</c:formatCode>
                <c:ptCount val="252"/>
                <c:pt idx="0">
                  <c:v>7.61</c:v>
                </c:pt>
                <c:pt idx="1">
                  <c:v>7.64</c:v>
                </c:pt>
                <c:pt idx="2">
                  <c:v>7.49</c:v>
                </c:pt>
                <c:pt idx="3">
                  <c:v>7.85</c:v>
                </c:pt>
                <c:pt idx="4">
                  <c:v>7.94</c:v>
                </c:pt>
                <c:pt idx="5">
                  <c:v>8</c:v>
                </c:pt>
                <c:pt idx="6">
                  <c:v>7.9</c:v>
                </c:pt>
                <c:pt idx="7">
                  <c:v>7.75</c:v>
                </c:pt>
                <c:pt idx="8">
                  <c:v>8</c:v>
                </c:pt>
                <c:pt idx="9">
                  <c:v>8.16</c:v>
                </c:pt>
                <c:pt idx="10">
                  <c:v>8.0500000000000007</c:v>
                </c:pt>
                <c:pt idx="11">
                  <c:v>7.82</c:v>
                </c:pt>
                <c:pt idx="12">
                  <c:v>7.9</c:v>
                </c:pt>
                <c:pt idx="13">
                  <c:v>10.69</c:v>
                </c:pt>
                <c:pt idx="14">
                  <c:v>10.86</c:v>
                </c:pt>
                <c:pt idx="15">
                  <c:v>10.69</c:v>
                </c:pt>
                <c:pt idx="16">
                  <c:v>11.06</c:v>
                </c:pt>
                <c:pt idx="17">
                  <c:v>11</c:v>
                </c:pt>
                <c:pt idx="18">
                  <c:v>10.51</c:v>
                </c:pt>
                <c:pt idx="19">
                  <c:v>10.5</c:v>
                </c:pt>
                <c:pt idx="20">
                  <c:v>10.54</c:v>
                </c:pt>
                <c:pt idx="21">
                  <c:v>10.61</c:v>
                </c:pt>
                <c:pt idx="22">
                  <c:v>10.23</c:v>
                </c:pt>
                <c:pt idx="23">
                  <c:v>10.14</c:v>
                </c:pt>
                <c:pt idx="24">
                  <c:v>10.31</c:v>
                </c:pt>
                <c:pt idx="25">
                  <c:v>10.11</c:v>
                </c:pt>
                <c:pt idx="26">
                  <c:v>10.33</c:v>
                </c:pt>
                <c:pt idx="27">
                  <c:v>10.73</c:v>
                </c:pt>
                <c:pt idx="28">
                  <c:v>10.93</c:v>
                </c:pt>
                <c:pt idx="29">
                  <c:v>10.39</c:v>
                </c:pt>
                <c:pt idx="30">
                  <c:v>10.61</c:v>
                </c:pt>
                <c:pt idx="31">
                  <c:v>10.32</c:v>
                </c:pt>
                <c:pt idx="32">
                  <c:v>10</c:v>
                </c:pt>
                <c:pt idx="33">
                  <c:v>10.15</c:v>
                </c:pt>
                <c:pt idx="34">
                  <c:v>10</c:v>
                </c:pt>
                <c:pt idx="35">
                  <c:v>9.9499999999999993</c:v>
                </c:pt>
                <c:pt idx="36">
                  <c:v>9.9600000000000009</c:v>
                </c:pt>
                <c:pt idx="37">
                  <c:v>9.94</c:v>
                </c:pt>
                <c:pt idx="38">
                  <c:v>11.59</c:v>
                </c:pt>
                <c:pt idx="39">
                  <c:v>11.06</c:v>
                </c:pt>
                <c:pt idx="40">
                  <c:v>11.17</c:v>
                </c:pt>
                <c:pt idx="41">
                  <c:v>11.15</c:v>
                </c:pt>
                <c:pt idx="42">
                  <c:v>11.22</c:v>
                </c:pt>
                <c:pt idx="43">
                  <c:v>11.66</c:v>
                </c:pt>
                <c:pt idx="44">
                  <c:v>11.66</c:v>
                </c:pt>
                <c:pt idx="45">
                  <c:v>10.75</c:v>
                </c:pt>
                <c:pt idx="46">
                  <c:v>10.72</c:v>
                </c:pt>
                <c:pt idx="47">
                  <c:v>10.72</c:v>
                </c:pt>
                <c:pt idx="48">
                  <c:v>10.91</c:v>
                </c:pt>
                <c:pt idx="49">
                  <c:v>11.59</c:v>
                </c:pt>
                <c:pt idx="50">
                  <c:v>12.02</c:v>
                </c:pt>
                <c:pt idx="51">
                  <c:v>13.15</c:v>
                </c:pt>
                <c:pt idx="52">
                  <c:v>16.3</c:v>
                </c:pt>
                <c:pt idx="53">
                  <c:v>15.94</c:v>
                </c:pt>
                <c:pt idx="54">
                  <c:v>15.72</c:v>
                </c:pt>
                <c:pt idx="55">
                  <c:v>15.3</c:v>
                </c:pt>
                <c:pt idx="56">
                  <c:v>14.92</c:v>
                </c:pt>
                <c:pt idx="57">
                  <c:v>14.86</c:v>
                </c:pt>
                <c:pt idx="58">
                  <c:v>15.05</c:v>
                </c:pt>
                <c:pt idx="59">
                  <c:v>15.47</c:v>
                </c:pt>
                <c:pt idx="60">
                  <c:v>12.91</c:v>
                </c:pt>
                <c:pt idx="61">
                  <c:v>12.92</c:v>
                </c:pt>
                <c:pt idx="62">
                  <c:v>12.8</c:v>
                </c:pt>
                <c:pt idx="63">
                  <c:v>12.88</c:v>
                </c:pt>
                <c:pt idx="64">
                  <c:v>13</c:v>
                </c:pt>
                <c:pt idx="65">
                  <c:v>13.22</c:v>
                </c:pt>
                <c:pt idx="66">
                  <c:v>13.68</c:v>
                </c:pt>
                <c:pt idx="67">
                  <c:v>13.42</c:v>
                </c:pt>
                <c:pt idx="68">
                  <c:v>13.57</c:v>
                </c:pt>
                <c:pt idx="69">
                  <c:v>13.92</c:v>
                </c:pt>
                <c:pt idx="70">
                  <c:v>13.24</c:v>
                </c:pt>
                <c:pt idx="71">
                  <c:v>13.2</c:v>
                </c:pt>
                <c:pt idx="72">
                  <c:v>13.17</c:v>
                </c:pt>
                <c:pt idx="73">
                  <c:v>13.12</c:v>
                </c:pt>
                <c:pt idx="74">
                  <c:v>12.96</c:v>
                </c:pt>
                <c:pt idx="75">
                  <c:v>12.44</c:v>
                </c:pt>
                <c:pt idx="76">
                  <c:v>12.67</c:v>
                </c:pt>
                <c:pt idx="77">
                  <c:v>12.78</c:v>
                </c:pt>
                <c:pt idx="78">
                  <c:v>13.09</c:v>
                </c:pt>
                <c:pt idx="79">
                  <c:v>12.81</c:v>
                </c:pt>
                <c:pt idx="80">
                  <c:v>13.06</c:v>
                </c:pt>
                <c:pt idx="81">
                  <c:v>13.16</c:v>
                </c:pt>
                <c:pt idx="82">
                  <c:v>13.12</c:v>
                </c:pt>
                <c:pt idx="83">
                  <c:v>12.75</c:v>
                </c:pt>
                <c:pt idx="84">
                  <c:v>12.6</c:v>
                </c:pt>
                <c:pt idx="85">
                  <c:v>12.69</c:v>
                </c:pt>
                <c:pt idx="86">
                  <c:v>12.78</c:v>
                </c:pt>
                <c:pt idx="87">
                  <c:v>12.87</c:v>
                </c:pt>
                <c:pt idx="88">
                  <c:v>13.4</c:v>
                </c:pt>
                <c:pt idx="89">
                  <c:v>13.6</c:v>
                </c:pt>
                <c:pt idx="90">
                  <c:v>13.65</c:v>
                </c:pt>
                <c:pt idx="91">
                  <c:v>13.83</c:v>
                </c:pt>
                <c:pt idx="92">
                  <c:v>13.81</c:v>
                </c:pt>
                <c:pt idx="93">
                  <c:v>13.7</c:v>
                </c:pt>
                <c:pt idx="94">
                  <c:v>13.95</c:v>
                </c:pt>
                <c:pt idx="95">
                  <c:v>13.65</c:v>
                </c:pt>
                <c:pt idx="96">
                  <c:v>14.39</c:v>
                </c:pt>
                <c:pt idx="97">
                  <c:v>14.24</c:v>
                </c:pt>
                <c:pt idx="98">
                  <c:v>14.49</c:v>
                </c:pt>
                <c:pt idx="99">
                  <c:v>14.63</c:v>
                </c:pt>
                <c:pt idx="100">
                  <c:v>14.72</c:v>
                </c:pt>
                <c:pt idx="101">
                  <c:v>14.98</c:v>
                </c:pt>
                <c:pt idx="102">
                  <c:v>15.17</c:v>
                </c:pt>
                <c:pt idx="103">
                  <c:v>14.89</c:v>
                </c:pt>
                <c:pt idx="104">
                  <c:v>14.86</c:v>
                </c:pt>
                <c:pt idx="105">
                  <c:v>15.8</c:v>
                </c:pt>
                <c:pt idx="106">
                  <c:v>16.46</c:v>
                </c:pt>
                <c:pt idx="107">
                  <c:v>16.5</c:v>
                </c:pt>
                <c:pt idx="108">
                  <c:v>16.170000000000002</c:v>
                </c:pt>
                <c:pt idx="109">
                  <c:v>16.28</c:v>
                </c:pt>
                <c:pt idx="110">
                  <c:v>16.100000000000001</c:v>
                </c:pt>
                <c:pt idx="111">
                  <c:v>16.149999999999999</c:v>
                </c:pt>
                <c:pt idx="112">
                  <c:v>15.94</c:v>
                </c:pt>
                <c:pt idx="113">
                  <c:v>15.35</c:v>
                </c:pt>
                <c:pt idx="114">
                  <c:v>15.74</c:v>
                </c:pt>
                <c:pt idx="115">
                  <c:v>16.239999999999998</c:v>
                </c:pt>
                <c:pt idx="116">
                  <c:v>16</c:v>
                </c:pt>
                <c:pt idx="117">
                  <c:v>15.51</c:v>
                </c:pt>
                <c:pt idx="118">
                  <c:v>15.74</c:v>
                </c:pt>
                <c:pt idx="119">
                  <c:v>16.100000000000001</c:v>
                </c:pt>
                <c:pt idx="120">
                  <c:v>16.63</c:v>
                </c:pt>
                <c:pt idx="121">
                  <c:v>16.13</c:v>
                </c:pt>
                <c:pt idx="122">
                  <c:v>16.329999999999998</c:v>
                </c:pt>
                <c:pt idx="123">
                  <c:v>16.510000000000002</c:v>
                </c:pt>
                <c:pt idx="124">
                  <c:v>16.34</c:v>
                </c:pt>
                <c:pt idx="125">
                  <c:v>16.239999999999998</c:v>
                </c:pt>
                <c:pt idx="126">
                  <c:v>16.32</c:v>
                </c:pt>
                <c:pt idx="127">
                  <c:v>16.72</c:v>
                </c:pt>
                <c:pt idx="128">
                  <c:v>16.29</c:v>
                </c:pt>
                <c:pt idx="129">
                  <c:v>16.3</c:v>
                </c:pt>
                <c:pt idx="130">
                  <c:v>16.25</c:v>
                </c:pt>
                <c:pt idx="131">
                  <c:v>16.47</c:v>
                </c:pt>
                <c:pt idx="132">
                  <c:v>16.2</c:v>
                </c:pt>
                <c:pt idx="133">
                  <c:v>15.94</c:v>
                </c:pt>
                <c:pt idx="134">
                  <c:v>16.27</c:v>
                </c:pt>
                <c:pt idx="135">
                  <c:v>16.91</c:v>
                </c:pt>
                <c:pt idx="136">
                  <c:v>16.559999999999999</c:v>
                </c:pt>
                <c:pt idx="137">
                  <c:v>16.600000000000001</c:v>
                </c:pt>
                <c:pt idx="138">
                  <c:v>16.440000000000001</c:v>
                </c:pt>
                <c:pt idx="139">
                  <c:v>16.12</c:v>
                </c:pt>
                <c:pt idx="140">
                  <c:v>15.89</c:v>
                </c:pt>
                <c:pt idx="141">
                  <c:v>15.25</c:v>
                </c:pt>
                <c:pt idx="142">
                  <c:v>14.78</c:v>
                </c:pt>
                <c:pt idx="143">
                  <c:v>14.53</c:v>
                </c:pt>
                <c:pt idx="144">
                  <c:v>13.89</c:v>
                </c:pt>
                <c:pt idx="145">
                  <c:v>14.12</c:v>
                </c:pt>
                <c:pt idx="146">
                  <c:v>14.06</c:v>
                </c:pt>
                <c:pt idx="147">
                  <c:v>14.31</c:v>
                </c:pt>
                <c:pt idx="148">
                  <c:v>14.34</c:v>
                </c:pt>
                <c:pt idx="149">
                  <c:v>14.29</c:v>
                </c:pt>
                <c:pt idx="150">
                  <c:v>14.57</c:v>
                </c:pt>
                <c:pt idx="151">
                  <c:v>15.01</c:v>
                </c:pt>
                <c:pt idx="152">
                  <c:v>14.98</c:v>
                </c:pt>
                <c:pt idx="153">
                  <c:v>15.6</c:v>
                </c:pt>
                <c:pt idx="154">
                  <c:v>15.69</c:v>
                </c:pt>
                <c:pt idx="155">
                  <c:v>15.81</c:v>
                </c:pt>
                <c:pt idx="156">
                  <c:v>15.89</c:v>
                </c:pt>
                <c:pt idx="157">
                  <c:v>15.22</c:v>
                </c:pt>
                <c:pt idx="158">
                  <c:v>15.27</c:v>
                </c:pt>
                <c:pt idx="159">
                  <c:v>15.29</c:v>
                </c:pt>
                <c:pt idx="160">
                  <c:v>15.13</c:v>
                </c:pt>
                <c:pt idx="161">
                  <c:v>15.25</c:v>
                </c:pt>
                <c:pt idx="162">
                  <c:v>14.87</c:v>
                </c:pt>
                <c:pt idx="163">
                  <c:v>15.46</c:v>
                </c:pt>
                <c:pt idx="164">
                  <c:v>15.66</c:v>
                </c:pt>
                <c:pt idx="165">
                  <c:v>15.95</c:v>
                </c:pt>
                <c:pt idx="166">
                  <c:v>15.76</c:v>
                </c:pt>
                <c:pt idx="167">
                  <c:v>15.59</c:v>
                </c:pt>
                <c:pt idx="168">
                  <c:v>15.49</c:v>
                </c:pt>
                <c:pt idx="169">
                  <c:v>15.75</c:v>
                </c:pt>
                <c:pt idx="170">
                  <c:v>15.62</c:v>
                </c:pt>
                <c:pt idx="171">
                  <c:v>15.82</c:v>
                </c:pt>
                <c:pt idx="172">
                  <c:v>16</c:v>
                </c:pt>
                <c:pt idx="173">
                  <c:v>15.7</c:v>
                </c:pt>
                <c:pt idx="174">
                  <c:v>15.49</c:v>
                </c:pt>
                <c:pt idx="175">
                  <c:v>15.94</c:v>
                </c:pt>
                <c:pt idx="176">
                  <c:v>16.09</c:v>
                </c:pt>
                <c:pt idx="177">
                  <c:v>16.12</c:v>
                </c:pt>
                <c:pt idx="178">
                  <c:v>16.809999999999999</c:v>
                </c:pt>
                <c:pt idx="179">
                  <c:v>16.52</c:v>
                </c:pt>
                <c:pt idx="180">
                  <c:v>15.83</c:v>
                </c:pt>
                <c:pt idx="181">
                  <c:v>16.25</c:v>
                </c:pt>
                <c:pt idx="182">
                  <c:v>18.18</c:v>
                </c:pt>
                <c:pt idx="183">
                  <c:v>18.62</c:v>
                </c:pt>
                <c:pt idx="184">
                  <c:v>18.82</c:v>
                </c:pt>
                <c:pt idx="185">
                  <c:v>18.3</c:v>
                </c:pt>
                <c:pt idx="186">
                  <c:v>18.309999999999999</c:v>
                </c:pt>
                <c:pt idx="187">
                  <c:v>18.16</c:v>
                </c:pt>
                <c:pt idx="188">
                  <c:v>17.97</c:v>
                </c:pt>
                <c:pt idx="189">
                  <c:v>17.809999999999999</c:v>
                </c:pt>
                <c:pt idx="190">
                  <c:v>17.82</c:v>
                </c:pt>
                <c:pt idx="191">
                  <c:v>17.66</c:v>
                </c:pt>
                <c:pt idx="192">
                  <c:v>18.09</c:v>
                </c:pt>
                <c:pt idx="193">
                  <c:v>17.3</c:v>
                </c:pt>
                <c:pt idx="194">
                  <c:v>17.329999999999998</c:v>
                </c:pt>
                <c:pt idx="195">
                  <c:v>17.38</c:v>
                </c:pt>
                <c:pt idx="196">
                  <c:v>17.989999999999998</c:v>
                </c:pt>
                <c:pt idx="197">
                  <c:v>18.09</c:v>
                </c:pt>
                <c:pt idx="198">
                  <c:v>17</c:v>
                </c:pt>
                <c:pt idx="199">
                  <c:v>15.99</c:v>
                </c:pt>
                <c:pt idx="200">
                  <c:v>15.96</c:v>
                </c:pt>
                <c:pt idx="201">
                  <c:v>16.149999999999999</c:v>
                </c:pt>
                <c:pt idx="202">
                  <c:v>16.77</c:v>
                </c:pt>
                <c:pt idx="203">
                  <c:v>17.13</c:v>
                </c:pt>
                <c:pt idx="204">
                  <c:v>16.690000000000001</c:v>
                </c:pt>
                <c:pt idx="205">
                  <c:v>16.59</c:v>
                </c:pt>
                <c:pt idx="206">
                  <c:v>16.29</c:v>
                </c:pt>
                <c:pt idx="207">
                  <c:v>16.41</c:v>
                </c:pt>
                <c:pt idx="208">
                  <c:v>16.66</c:v>
                </c:pt>
                <c:pt idx="209">
                  <c:v>16.89</c:v>
                </c:pt>
                <c:pt idx="210">
                  <c:v>16.84</c:v>
                </c:pt>
                <c:pt idx="211">
                  <c:v>16.239999999999998</c:v>
                </c:pt>
                <c:pt idx="212">
                  <c:v>16.59</c:v>
                </c:pt>
                <c:pt idx="213">
                  <c:v>17.22</c:v>
                </c:pt>
                <c:pt idx="214">
                  <c:v>17.09</c:v>
                </c:pt>
                <c:pt idx="215">
                  <c:v>16.57</c:v>
                </c:pt>
                <c:pt idx="216">
                  <c:v>15.8</c:v>
                </c:pt>
                <c:pt idx="217">
                  <c:v>15.77</c:v>
                </c:pt>
                <c:pt idx="218">
                  <c:v>15.92</c:v>
                </c:pt>
                <c:pt idx="219">
                  <c:v>16.100000000000001</c:v>
                </c:pt>
                <c:pt idx="220">
                  <c:v>16.079999999999998</c:v>
                </c:pt>
                <c:pt idx="221">
                  <c:v>15.97</c:v>
                </c:pt>
                <c:pt idx="222">
                  <c:v>16</c:v>
                </c:pt>
                <c:pt idx="223">
                  <c:v>16.350000000000001</c:v>
                </c:pt>
                <c:pt idx="224">
                  <c:v>16.04</c:v>
                </c:pt>
                <c:pt idx="225">
                  <c:v>16.32</c:v>
                </c:pt>
                <c:pt idx="226">
                  <c:v>15.81</c:v>
                </c:pt>
                <c:pt idx="227">
                  <c:v>16.13</c:v>
                </c:pt>
                <c:pt idx="228">
                  <c:v>13.72</c:v>
                </c:pt>
                <c:pt idx="229">
                  <c:v>12.78</c:v>
                </c:pt>
                <c:pt idx="230">
                  <c:v>12.55</c:v>
                </c:pt>
                <c:pt idx="231">
                  <c:v>13.31</c:v>
                </c:pt>
                <c:pt idx="232">
                  <c:v>12.99</c:v>
                </c:pt>
                <c:pt idx="233">
                  <c:v>12.62</c:v>
                </c:pt>
                <c:pt idx="234">
                  <c:v>12.6</c:v>
                </c:pt>
                <c:pt idx="235">
                  <c:v>12.68</c:v>
                </c:pt>
                <c:pt idx="236">
                  <c:v>12.86</c:v>
                </c:pt>
                <c:pt idx="237">
                  <c:v>13.57</c:v>
                </c:pt>
                <c:pt idx="238">
                  <c:v>14.2</c:v>
                </c:pt>
                <c:pt idx="239">
                  <c:v>14.25</c:v>
                </c:pt>
                <c:pt idx="240">
                  <c:v>14.15</c:v>
                </c:pt>
                <c:pt idx="241">
                  <c:v>14.65</c:v>
                </c:pt>
                <c:pt idx="242">
                  <c:v>14.42</c:v>
                </c:pt>
                <c:pt idx="243">
                  <c:v>14.7</c:v>
                </c:pt>
                <c:pt idx="244">
                  <c:v>14.71</c:v>
                </c:pt>
                <c:pt idx="245">
                  <c:v>15.4</c:v>
                </c:pt>
                <c:pt idx="246">
                  <c:v>14.55</c:v>
                </c:pt>
                <c:pt idx="247">
                  <c:v>14.69</c:v>
                </c:pt>
                <c:pt idx="248">
                  <c:v>14.72</c:v>
                </c:pt>
                <c:pt idx="249">
                  <c:v>14.39</c:v>
                </c:pt>
                <c:pt idx="250">
                  <c:v>14.62</c:v>
                </c:pt>
                <c:pt idx="251">
                  <c:v>14.6</c:v>
                </c:pt>
              </c:numCache>
            </c:numRef>
          </c:val>
          <c:extLst>
            <c:ext xmlns:c16="http://schemas.microsoft.com/office/drawing/2014/chart" uri="{C3380CC4-5D6E-409C-BE32-E72D297353CC}">
              <c16:uniqueId val="{00000000-7535-4685-B630-8788BCFEF84B}"/>
            </c:ext>
          </c:extLst>
        </c:ser>
        <c:dLbls>
          <c:showLegendKey val="0"/>
          <c:showVal val="0"/>
          <c:showCatName val="0"/>
          <c:showSerName val="0"/>
          <c:showPercent val="0"/>
          <c:showBubbleSize val="0"/>
        </c:dLbls>
        <c:gapWidth val="0"/>
        <c:overlap val="100"/>
        <c:axId val="1196957807"/>
        <c:axId val="1196958767"/>
      </c:barChart>
      <c:lineChart>
        <c:grouping val="standard"/>
        <c:varyColors val="0"/>
        <c:ser>
          <c:idx val="1"/>
          <c:order val="1"/>
          <c:spPr>
            <a:ln w="28575" cap="rnd">
              <a:solidFill>
                <a:schemeClr val="tx2">
                  <a:lumMod val="50000"/>
                  <a:lumOff val="50000"/>
                </a:schemeClr>
              </a:solidFill>
              <a:round/>
            </a:ln>
            <a:effectLst/>
          </c:spPr>
          <c:marker>
            <c:symbol val="none"/>
          </c:marker>
          <c:cat>
            <c:numRef>
              <c:f>Graphs!$R$107:$R$358</c:f>
              <c:numCache>
                <c:formatCode>d\-mmm\-yy</c:formatCode>
                <c:ptCount val="252"/>
                <c:pt idx="0">
                  <c:v>45686</c:v>
                </c:pt>
                <c:pt idx="1">
                  <c:v>45685</c:v>
                </c:pt>
                <c:pt idx="2">
                  <c:v>45684</c:v>
                </c:pt>
                <c:pt idx="3">
                  <c:v>45681</c:v>
                </c:pt>
                <c:pt idx="4">
                  <c:v>45680</c:v>
                </c:pt>
                <c:pt idx="5">
                  <c:v>45679</c:v>
                </c:pt>
                <c:pt idx="6">
                  <c:v>45678</c:v>
                </c:pt>
                <c:pt idx="7">
                  <c:v>45674</c:v>
                </c:pt>
                <c:pt idx="8">
                  <c:v>45673</c:v>
                </c:pt>
                <c:pt idx="9">
                  <c:v>45672</c:v>
                </c:pt>
                <c:pt idx="10">
                  <c:v>45671</c:v>
                </c:pt>
                <c:pt idx="11">
                  <c:v>45670</c:v>
                </c:pt>
                <c:pt idx="12">
                  <c:v>45667</c:v>
                </c:pt>
                <c:pt idx="13">
                  <c:v>45665</c:v>
                </c:pt>
                <c:pt idx="14">
                  <c:v>45664</c:v>
                </c:pt>
                <c:pt idx="15">
                  <c:v>45663</c:v>
                </c:pt>
                <c:pt idx="16">
                  <c:v>45660</c:v>
                </c:pt>
                <c:pt idx="17">
                  <c:v>45659</c:v>
                </c:pt>
                <c:pt idx="18">
                  <c:v>45657</c:v>
                </c:pt>
                <c:pt idx="19">
                  <c:v>45656</c:v>
                </c:pt>
                <c:pt idx="20">
                  <c:v>45653</c:v>
                </c:pt>
                <c:pt idx="21">
                  <c:v>45652</c:v>
                </c:pt>
                <c:pt idx="22">
                  <c:v>45650</c:v>
                </c:pt>
                <c:pt idx="23">
                  <c:v>45649</c:v>
                </c:pt>
                <c:pt idx="24">
                  <c:v>45646</c:v>
                </c:pt>
                <c:pt idx="25">
                  <c:v>45645</c:v>
                </c:pt>
                <c:pt idx="26">
                  <c:v>45644</c:v>
                </c:pt>
                <c:pt idx="27">
                  <c:v>45643</c:v>
                </c:pt>
                <c:pt idx="28">
                  <c:v>45642</c:v>
                </c:pt>
                <c:pt idx="29">
                  <c:v>45639</c:v>
                </c:pt>
                <c:pt idx="30">
                  <c:v>45638</c:v>
                </c:pt>
                <c:pt idx="31">
                  <c:v>45637</c:v>
                </c:pt>
                <c:pt idx="32">
                  <c:v>45636</c:v>
                </c:pt>
                <c:pt idx="33">
                  <c:v>45635</c:v>
                </c:pt>
                <c:pt idx="34">
                  <c:v>45632</c:v>
                </c:pt>
                <c:pt idx="35">
                  <c:v>45631</c:v>
                </c:pt>
                <c:pt idx="36">
                  <c:v>45630</c:v>
                </c:pt>
                <c:pt idx="37">
                  <c:v>45629</c:v>
                </c:pt>
                <c:pt idx="38">
                  <c:v>45628</c:v>
                </c:pt>
                <c:pt idx="39">
                  <c:v>45625</c:v>
                </c:pt>
                <c:pt idx="40">
                  <c:v>45623</c:v>
                </c:pt>
                <c:pt idx="41">
                  <c:v>45622</c:v>
                </c:pt>
                <c:pt idx="42">
                  <c:v>45621</c:v>
                </c:pt>
                <c:pt idx="43">
                  <c:v>45618</c:v>
                </c:pt>
                <c:pt idx="44">
                  <c:v>45617</c:v>
                </c:pt>
                <c:pt idx="45">
                  <c:v>45616</c:v>
                </c:pt>
                <c:pt idx="46">
                  <c:v>45615</c:v>
                </c:pt>
                <c:pt idx="47">
                  <c:v>45614</c:v>
                </c:pt>
                <c:pt idx="48">
                  <c:v>45611</c:v>
                </c:pt>
                <c:pt idx="49">
                  <c:v>45610</c:v>
                </c:pt>
                <c:pt idx="50">
                  <c:v>45609</c:v>
                </c:pt>
                <c:pt idx="51">
                  <c:v>45608</c:v>
                </c:pt>
                <c:pt idx="52">
                  <c:v>45607</c:v>
                </c:pt>
                <c:pt idx="53">
                  <c:v>45604</c:v>
                </c:pt>
                <c:pt idx="54">
                  <c:v>45603</c:v>
                </c:pt>
                <c:pt idx="55">
                  <c:v>45602</c:v>
                </c:pt>
                <c:pt idx="56">
                  <c:v>45601</c:v>
                </c:pt>
                <c:pt idx="57">
                  <c:v>45600</c:v>
                </c:pt>
                <c:pt idx="58">
                  <c:v>45597</c:v>
                </c:pt>
                <c:pt idx="59">
                  <c:v>45596</c:v>
                </c:pt>
                <c:pt idx="60">
                  <c:v>45595</c:v>
                </c:pt>
                <c:pt idx="61">
                  <c:v>45594</c:v>
                </c:pt>
                <c:pt idx="62">
                  <c:v>45593</c:v>
                </c:pt>
                <c:pt idx="63">
                  <c:v>45590</c:v>
                </c:pt>
                <c:pt idx="64">
                  <c:v>45589</c:v>
                </c:pt>
                <c:pt idx="65">
                  <c:v>45588</c:v>
                </c:pt>
                <c:pt idx="66">
                  <c:v>45587</c:v>
                </c:pt>
                <c:pt idx="67">
                  <c:v>45586</c:v>
                </c:pt>
                <c:pt idx="68">
                  <c:v>45583</c:v>
                </c:pt>
                <c:pt idx="69">
                  <c:v>45582</c:v>
                </c:pt>
                <c:pt idx="70">
                  <c:v>45581</c:v>
                </c:pt>
                <c:pt idx="71">
                  <c:v>45580</c:v>
                </c:pt>
                <c:pt idx="72">
                  <c:v>45579</c:v>
                </c:pt>
                <c:pt idx="73">
                  <c:v>45576</c:v>
                </c:pt>
                <c:pt idx="74">
                  <c:v>45575</c:v>
                </c:pt>
                <c:pt idx="75">
                  <c:v>45574</c:v>
                </c:pt>
                <c:pt idx="76">
                  <c:v>45573</c:v>
                </c:pt>
                <c:pt idx="77">
                  <c:v>45572</c:v>
                </c:pt>
                <c:pt idx="78">
                  <c:v>45569</c:v>
                </c:pt>
                <c:pt idx="79">
                  <c:v>45568</c:v>
                </c:pt>
                <c:pt idx="80">
                  <c:v>45567</c:v>
                </c:pt>
                <c:pt idx="81">
                  <c:v>45566</c:v>
                </c:pt>
                <c:pt idx="82">
                  <c:v>45565</c:v>
                </c:pt>
                <c:pt idx="83">
                  <c:v>45562</c:v>
                </c:pt>
                <c:pt idx="84">
                  <c:v>45561</c:v>
                </c:pt>
                <c:pt idx="85">
                  <c:v>45560</c:v>
                </c:pt>
                <c:pt idx="86">
                  <c:v>45559</c:v>
                </c:pt>
                <c:pt idx="87">
                  <c:v>45558</c:v>
                </c:pt>
                <c:pt idx="88">
                  <c:v>45555</c:v>
                </c:pt>
                <c:pt idx="89">
                  <c:v>45554</c:v>
                </c:pt>
                <c:pt idx="90">
                  <c:v>45553</c:v>
                </c:pt>
                <c:pt idx="91">
                  <c:v>45552</c:v>
                </c:pt>
                <c:pt idx="92">
                  <c:v>45551</c:v>
                </c:pt>
                <c:pt idx="93">
                  <c:v>45548</c:v>
                </c:pt>
                <c:pt idx="94">
                  <c:v>45547</c:v>
                </c:pt>
                <c:pt idx="95">
                  <c:v>45546</c:v>
                </c:pt>
                <c:pt idx="96">
                  <c:v>45545</c:v>
                </c:pt>
                <c:pt idx="97">
                  <c:v>45544</c:v>
                </c:pt>
                <c:pt idx="98">
                  <c:v>45541</c:v>
                </c:pt>
                <c:pt idx="99">
                  <c:v>45540</c:v>
                </c:pt>
                <c:pt idx="100">
                  <c:v>45539</c:v>
                </c:pt>
                <c:pt idx="101">
                  <c:v>45538</c:v>
                </c:pt>
                <c:pt idx="102">
                  <c:v>45534</c:v>
                </c:pt>
                <c:pt idx="103">
                  <c:v>45533</c:v>
                </c:pt>
                <c:pt idx="104">
                  <c:v>45532</c:v>
                </c:pt>
                <c:pt idx="105">
                  <c:v>45531</c:v>
                </c:pt>
                <c:pt idx="106">
                  <c:v>45530</c:v>
                </c:pt>
                <c:pt idx="107">
                  <c:v>45527</c:v>
                </c:pt>
                <c:pt idx="108">
                  <c:v>45526</c:v>
                </c:pt>
                <c:pt idx="109">
                  <c:v>45525</c:v>
                </c:pt>
                <c:pt idx="110">
                  <c:v>45524</c:v>
                </c:pt>
                <c:pt idx="111">
                  <c:v>45523</c:v>
                </c:pt>
                <c:pt idx="112">
                  <c:v>45520</c:v>
                </c:pt>
                <c:pt idx="113">
                  <c:v>45519</c:v>
                </c:pt>
                <c:pt idx="114">
                  <c:v>45518</c:v>
                </c:pt>
                <c:pt idx="115">
                  <c:v>45517</c:v>
                </c:pt>
                <c:pt idx="116">
                  <c:v>45516</c:v>
                </c:pt>
                <c:pt idx="117">
                  <c:v>45513</c:v>
                </c:pt>
                <c:pt idx="118">
                  <c:v>45512</c:v>
                </c:pt>
                <c:pt idx="119">
                  <c:v>45511</c:v>
                </c:pt>
                <c:pt idx="120">
                  <c:v>45510</c:v>
                </c:pt>
                <c:pt idx="121">
                  <c:v>45509</c:v>
                </c:pt>
                <c:pt idx="122">
                  <c:v>45506</c:v>
                </c:pt>
                <c:pt idx="123">
                  <c:v>45505</c:v>
                </c:pt>
                <c:pt idx="124">
                  <c:v>45504</c:v>
                </c:pt>
                <c:pt idx="125">
                  <c:v>45503</c:v>
                </c:pt>
                <c:pt idx="126">
                  <c:v>45502</c:v>
                </c:pt>
                <c:pt idx="127">
                  <c:v>45499</c:v>
                </c:pt>
                <c:pt idx="128">
                  <c:v>45498</c:v>
                </c:pt>
                <c:pt idx="129">
                  <c:v>45497</c:v>
                </c:pt>
                <c:pt idx="130">
                  <c:v>45496</c:v>
                </c:pt>
                <c:pt idx="131">
                  <c:v>45495</c:v>
                </c:pt>
                <c:pt idx="132">
                  <c:v>45492</c:v>
                </c:pt>
                <c:pt idx="133">
                  <c:v>45491</c:v>
                </c:pt>
                <c:pt idx="134">
                  <c:v>45490</c:v>
                </c:pt>
                <c:pt idx="135">
                  <c:v>45489</c:v>
                </c:pt>
                <c:pt idx="136">
                  <c:v>45488</c:v>
                </c:pt>
                <c:pt idx="137">
                  <c:v>45485</c:v>
                </c:pt>
                <c:pt idx="138">
                  <c:v>45484</c:v>
                </c:pt>
                <c:pt idx="139">
                  <c:v>45483</c:v>
                </c:pt>
                <c:pt idx="140">
                  <c:v>45482</c:v>
                </c:pt>
                <c:pt idx="141">
                  <c:v>45481</c:v>
                </c:pt>
                <c:pt idx="142">
                  <c:v>45478</c:v>
                </c:pt>
                <c:pt idx="143">
                  <c:v>45476</c:v>
                </c:pt>
                <c:pt idx="144">
                  <c:v>45475</c:v>
                </c:pt>
                <c:pt idx="145">
                  <c:v>45474</c:v>
                </c:pt>
                <c:pt idx="146">
                  <c:v>45471</c:v>
                </c:pt>
                <c:pt idx="147">
                  <c:v>45470</c:v>
                </c:pt>
                <c:pt idx="148">
                  <c:v>45469</c:v>
                </c:pt>
                <c:pt idx="149">
                  <c:v>45468</c:v>
                </c:pt>
                <c:pt idx="150">
                  <c:v>45467</c:v>
                </c:pt>
                <c:pt idx="151">
                  <c:v>45464</c:v>
                </c:pt>
                <c:pt idx="152">
                  <c:v>45463</c:v>
                </c:pt>
                <c:pt idx="153">
                  <c:v>45461</c:v>
                </c:pt>
                <c:pt idx="154">
                  <c:v>45460</c:v>
                </c:pt>
                <c:pt idx="155">
                  <c:v>45457</c:v>
                </c:pt>
                <c:pt idx="156">
                  <c:v>45456</c:v>
                </c:pt>
                <c:pt idx="157">
                  <c:v>45455</c:v>
                </c:pt>
                <c:pt idx="158">
                  <c:v>45454</c:v>
                </c:pt>
                <c:pt idx="159">
                  <c:v>45453</c:v>
                </c:pt>
                <c:pt idx="160">
                  <c:v>45450</c:v>
                </c:pt>
                <c:pt idx="161">
                  <c:v>45449</c:v>
                </c:pt>
                <c:pt idx="162">
                  <c:v>45448</c:v>
                </c:pt>
                <c:pt idx="163">
                  <c:v>45447</c:v>
                </c:pt>
                <c:pt idx="164">
                  <c:v>45446</c:v>
                </c:pt>
                <c:pt idx="165">
                  <c:v>45443</c:v>
                </c:pt>
                <c:pt idx="166">
                  <c:v>45442</c:v>
                </c:pt>
                <c:pt idx="167">
                  <c:v>45441</c:v>
                </c:pt>
                <c:pt idx="168">
                  <c:v>45440</c:v>
                </c:pt>
                <c:pt idx="169">
                  <c:v>45436</c:v>
                </c:pt>
                <c:pt idx="170">
                  <c:v>45435</c:v>
                </c:pt>
                <c:pt idx="171">
                  <c:v>45434</c:v>
                </c:pt>
                <c:pt idx="172">
                  <c:v>45433</c:v>
                </c:pt>
                <c:pt idx="173">
                  <c:v>45432</c:v>
                </c:pt>
                <c:pt idx="174">
                  <c:v>45429</c:v>
                </c:pt>
                <c:pt idx="175">
                  <c:v>45428</c:v>
                </c:pt>
                <c:pt idx="176">
                  <c:v>45427</c:v>
                </c:pt>
                <c:pt idx="177">
                  <c:v>45426</c:v>
                </c:pt>
                <c:pt idx="178">
                  <c:v>45425</c:v>
                </c:pt>
                <c:pt idx="179">
                  <c:v>45422</c:v>
                </c:pt>
                <c:pt idx="180">
                  <c:v>45421</c:v>
                </c:pt>
                <c:pt idx="181">
                  <c:v>45420</c:v>
                </c:pt>
                <c:pt idx="182">
                  <c:v>45419</c:v>
                </c:pt>
                <c:pt idx="183">
                  <c:v>45418</c:v>
                </c:pt>
                <c:pt idx="184">
                  <c:v>45415</c:v>
                </c:pt>
                <c:pt idx="185">
                  <c:v>45414</c:v>
                </c:pt>
                <c:pt idx="186">
                  <c:v>45413</c:v>
                </c:pt>
                <c:pt idx="187">
                  <c:v>45412</c:v>
                </c:pt>
                <c:pt idx="188">
                  <c:v>45411</c:v>
                </c:pt>
                <c:pt idx="189">
                  <c:v>45408</c:v>
                </c:pt>
                <c:pt idx="190">
                  <c:v>45407</c:v>
                </c:pt>
                <c:pt idx="191">
                  <c:v>45406</c:v>
                </c:pt>
                <c:pt idx="192">
                  <c:v>45405</c:v>
                </c:pt>
                <c:pt idx="193">
                  <c:v>45404</c:v>
                </c:pt>
                <c:pt idx="194">
                  <c:v>45401</c:v>
                </c:pt>
                <c:pt idx="195">
                  <c:v>45400</c:v>
                </c:pt>
                <c:pt idx="196">
                  <c:v>45399</c:v>
                </c:pt>
                <c:pt idx="197">
                  <c:v>45398</c:v>
                </c:pt>
                <c:pt idx="198">
                  <c:v>45397</c:v>
                </c:pt>
                <c:pt idx="199">
                  <c:v>45394</c:v>
                </c:pt>
                <c:pt idx="200">
                  <c:v>45393</c:v>
                </c:pt>
                <c:pt idx="201">
                  <c:v>45392</c:v>
                </c:pt>
                <c:pt idx="202">
                  <c:v>45391</c:v>
                </c:pt>
                <c:pt idx="203">
                  <c:v>45390</c:v>
                </c:pt>
                <c:pt idx="204">
                  <c:v>45387</c:v>
                </c:pt>
                <c:pt idx="205">
                  <c:v>45386</c:v>
                </c:pt>
                <c:pt idx="206">
                  <c:v>45385</c:v>
                </c:pt>
                <c:pt idx="207">
                  <c:v>45384</c:v>
                </c:pt>
                <c:pt idx="208">
                  <c:v>45383</c:v>
                </c:pt>
                <c:pt idx="209">
                  <c:v>45379</c:v>
                </c:pt>
                <c:pt idx="210">
                  <c:v>45378</c:v>
                </c:pt>
                <c:pt idx="211">
                  <c:v>45377</c:v>
                </c:pt>
                <c:pt idx="212">
                  <c:v>45376</c:v>
                </c:pt>
                <c:pt idx="213">
                  <c:v>45373</c:v>
                </c:pt>
                <c:pt idx="214">
                  <c:v>45372</c:v>
                </c:pt>
                <c:pt idx="215">
                  <c:v>45371</c:v>
                </c:pt>
                <c:pt idx="216">
                  <c:v>45370</c:v>
                </c:pt>
                <c:pt idx="217">
                  <c:v>45369</c:v>
                </c:pt>
                <c:pt idx="218">
                  <c:v>45366</c:v>
                </c:pt>
                <c:pt idx="219">
                  <c:v>45365</c:v>
                </c:pt>
                <c:pt idx="220">
                  <c:v>45364</c:v>
                </c:pt>
                <c:pt idx="221">
                  <c:v>45363</c:v>
                </c:pt>
                <c:pt idx="222">
                  <c:v>45362</c:v>
                </c:pt>
                <c:pt idx="223">
                  <c:v>45359</c:v>
                </c:pt>
                <c:pt idx="224">
                  <c:v>45358</c:v>
                </c:pt>
                <c:pt idx="225">
                  <c:v>45357</c:v>
                </c:pt>
                <c:pt idx="226">
                  <c:v>45356</c:v>
                </c:pt>
                <c:pt idx="227">
                  <c:v>45355</c:v>
                </c:pt>
                <c:pt idx="228">
                  <c:v>45352</c:v>
                </c:pt>
                <c:pt idx="229">
                  <c:v>45351</c:v>
                </c:pt>
                <c:pt idx="230">
                  <c:v>45350</c:v>
                </c:pt>
                <c:pt idx="231">
                  <c:v>45349</c:v>
                </c:pt>
                <c:pt idx="232">
                  <c:v>45348</c:v>
                </c:pt>
                <c:pt idx="233">
                  <c:v>45345</c:v>
                </c:pt>
                <c:pt idx="234">
                  <c:v>45344</c:v>
                </c:pt>
                <c:pt idx="235">
                  <c:v>45343</c:v>
                </c:pt>
                <c:pt idx="236">
                  <c:v>45342</c:v>
                </c:pt>
                <c:pt idx="237">
                  <c:v>45338</c:v>
                </c:pt>
                <c:pt idx="238">
                  <c:v>45337</c:v>
                </c:pt>
                <c:pt idx="239">
                  <c:v>45336</c:v>
                </c:pt>
                <c:pt idx="240">
                  <c:v>45335</c:v>
                </c:pt>
                <c:pt idx="241">
                  <c:v>45334</c:v>
                </c:pt>
                <c:pt idx="242">
                  <c:v>45331</c:v>
                </c:pt>
                <c:pt idx="243">
                  <c:v>45330</c:v>
                </c:pt>
                <c:pt idx="244">
                  <c:v>45329</c:v>
                </c:pt>
                <c:pt idx="245">
                  <c:v>45328</c:v>
                </c:pt>
                <c:pt idx="246">
                  <c:v>45327</c:v>
                </c:pt>
                <c:pt idx="247">
                  <c:v>45324</c:v>
                </c:pt>
                <c:pt idx="248">
                  <c:v>45323</c:v>
                </c:pt>
                <c:pt idx="249">
                  <c:v>45322</c:v>
                </c:pt>
                <c:pt idx="250">
                  <c:v>45321</c:v>
                </c:pt>
                <c:pt idx="251">
                  <c:v>45320</c:v>
                </c:pt>
              </c:numCache>
            </c:numRef>
          </c:cat>
          <c:val>
            <c:numRef>
              <c:f>Graphs!$T$107:$T$358</c:f>
              <c:numCache>
                <c:formatCode>#,##0</c:formatCode>
                <c:ptCount val="252"/>
                <c:pt idx="0">
                  <c:v>827987</c:v>
                </c:pt>
                <c:pt idx="1">
                  <c:v>1001700</c:v>
                </c:pt>
                <c:pt idx="2">
                  <c:v>1252100</c:v>
                </c:pt>
                <c:pt idx="3">
                  <c:v>973100</c:v>
                </c:pt>
                <c:pt idx="4">
                  <c:v>1453100</c:v>
                </c:pt>
                <c:pt idx="5">
                  <c:v>1463800</c:v>
                </c:pt>
                <c:pt idx="6">
                  <c:v>2362900</c:v>
                </c:pt>
                <c:pt idx="7">
                  <c:v>1139900</c:v>
                </c:pt>
                <c:pt idx="8">
                  <c:v>1453800</c:v>
                </c:pt>
                <c:pt idx="9">
                  <c:v>1543200</c:v>
                </c:pt>
                <c:pt idx="10">
                  <c:v>1876600</c:v>
                </c:pt>
                <c:pt idx="11">
                  <c:v>3001900</c:v>
                </c:pt>
                <c:pt idx="12">
                  <c:v>7853100</c:v>
                </c:pt>
                <c:pt idx="13">
                  <c:v>2300600</c:v>
                </c:pt>
                <c:pt idx="14">
                  <c:v>1393000</c:v>
                </c:pt>
                <c:pt idx="15">
                  <c:v>982600</c:v>
                </c:pt>
                <c:pt idx="16">
                  <c:v>1364100</c:v>
                </c:pt>
                <c:pt idx="17">
                  <c:v>897600</c:v>
                </c:pt>
                <c:pt idx="18">
                  <c:v>702300</c:v>
                </c:pt>
                <c:pt idx="19">
                  <c:v>771800</c:v>
                </c:pt>
                <c:pt idx="20">
                  <c:v>493900</c:v>
                </c:pt>
                <c:pt idx="21">
                  <c:v>632500</c:v>
                </c:pt>
                <c:pt idx="22">
                  <c:v>279300</c:v>
                </c:pt>
                <c:pt idx="23">
                  <c:v>803700</c:v>
                </c:pt>
                <c:pt idx="24">
                  <c:v>1168900</c:v>
                </c:pt>
                <c:pt idx="25">
                  <c:v>908200</c:v>
                </c:pt>
                <c:pt idx="26">
                  <c:v>1150000</c:v>
                </c:pt>
                <c:pt idx="27">
                  <c:v>867700</c:v>
                </c:pt>
                <c:pt idx="28">
                  <c:v>1292300</c:v>
                </c:pt>
                <c:pt idx="29">
                  <c:v>1077200</c:v>
                </c:pt>
                <c:pt idx="30">
                  <c:v>1036600</c:v>
                </c:pt>
                <c:pt idx="31">
                  <c:v>1377700</c:v>
                </c:pt>
                <c:pt idx="32">
                  <c:v>1342900</c:v>
                </c:pt>
                <c:pt idx="33">
                  <c:v>972000</c:v>
                </c:pt>
                <c:pt idx="34">
                  <c:v>785300</c:v>
                </c:pt>
                <c:pt idx="35">
                  <c:v>700900</c:v>
                </c:pt>
                <c:pt idx="36">
                  <c:v>1376800</c:v>
                </c:pt>
                <c:pt idx="37">
                  <c:v>4254000</c:v>
                </c:pt>
                <c:pt idx="38">
                  <c:v>747600</c:v>
                </c:pt>
                <c:pt idx="39">
                  <c:v>558300</c:v>
                </c:pt>
                <c:pt idx="40">
                  <c:v>724600</c:v>
                </c:pt>
                <c:pt idx="41">
                  <c:v>1070900</c:v>
                </c:pt>
                <c:pt idx="42">
                  <c:v>2056500</c:v>
                </c:pt>
                <c:pt idx="43">
                  <c:v>1576800</c:v>
                </c:pt>
                <c:pt idx="44">
                  <c:v>1619600</c:v>
                </c:pt>
                <c:pt idx="45">
                  <c:v>845500</c:v>
                </c:pt>
                <c:pt idx="46">
                  <c:v>1184800</c:v>
                </c:pt>
                <c:pt idx="47">
                  <c:v>1339000</c:v>
                </c:pt>
                <c:pt idx="48">
                  <c:v>2076400</c:v>
                </c:pt>
                <c:pt idx="49">
                  <c:v>2349300</c:v>
                </c:pt>
                <c:pt idx="50">
                  <c:v>4503300</c:v>
                </c:pt>
                <c:pt idx="51">
                  <c:v>5015600</c:v>
                </c:pt>
                <c:pt idx="52">
                  <c:v>1659900</c:v>
                </c:pt>
                <c:pt idx="53">
                  <c:v>970200</c:v>
                </c:pt>
                <c:pt idx="54">
                  <c:v>763000</c:v>
                </c:pt>
                <c:pt idx="55">
                  <c:v>924600</c:v>
                </c:pt>
                <c:pt idx="56">
                  <c:v>731200</c:v>
                </c:pt>
                <c:pt idx="57">
                  <c:v>1403200</c:v>
                </c:pt>
                <c:pt idx="58">
                  <c:v>1570000</c:v>
                </c:pt>
                <c:pt idx="59">
                  <c:v>5112400</c:v>
                </c:pt>
                <c:pt idx="60">
                  <c:v>373800</c:v>
                </c:pt>
                <c:pt idx="61">
                  <c:v>365100</c:v>
                </c:pt>
                <c:pt idx="62">
                  <c:v>457400</c:v>
                </c:pt>
                <c:pt idx="63">
                  <c:v>378900</c:v>
                </c:pt>
                <c:pt idx="64">
                  <c:v>367900</c:v>
                </c:pt>
                <c:pt idx="65">
                  <c:v>899000</c:v>
                </c:pt>
                <c:pt idx="66">
                  <c:v>228700</c:v>
                </c:pt>
                <c:pt idx="67">
                  <c:v>398000</c:v>
                </c:pt>
                <c:pt idx="68">
                  <c:v>667600</c:v>
                </c:pt>
                <c:pt idx="69">
                  <c:v>1414400</c:v>
                </c:pt>
                <c:pt idx="70">
                  <c:v>633400</c:v>
                </c:pt>
                <c:pt idx="71">
                  <c:v>824500</c:v>
                </c:pt>
                <c:pt idx="72">
                  <c:v>676100</c:v>
                </c:pt>
                <c:pt idx="73">
                  <c:v>642500</c:v>
                </c:pt>
                <c:pt idx="74">
                  <c:v>735900</c:v>
                </c:pt>
                <c:pt idx="75">
                  <c:v>570100</c:v>
                </c:pt>
                <c:pt idx="76">
                  <c:v>757500</c:v>
                </c:pt>
                <c:pt idx="77">
                  <c:v>830300</c:v>
                </c:pt>
                <c:pt idx="78">
                  <c:v>363000</c:v>
                </c:pt>
                <c:pt idx="79">
                  <c:v>469300</c:v>
                </c:pt>
                <c:pt idx="80">
                  <c:v>516900</c:v>
                </c:pt>
                <c:pt idx="81">
                  <c:v>883300</c:v>
                </c:pt>
                <c:pt idx="82">
                  <c:v>1730000</c:v>
                </c:pt>
                <c:pt idx="83">
                  <c:v>802400</c:v>
                </c:pt>
                <c:pt idx="84">
                  <c:v>527700</c:v>
                </c:pt>
                <c:pt idx="85">
                  <c:v>449600</c:v>
                </c:pt>
                <c:pt idx="86">
                  <c:v>868000</c:v>
                </c:pt>
                <c:pt idx="87">
                  <c:v>981200</c:v>
                </c:pt>
                <c:pt idx="88">
                  <c:v>1303600</c:v>
                </c:pt>
                <c:pt idx="89">
                  <c:v>1085200</c:v>
                </c:pt>
                <c:pt idx="90">
                  <c:v>911900</c:v>
                </c:pt>
                <c:pt idx="91">
                  <c:v>608200</c:v>
                </c:pt>
                <c:pt idx="92">
                  <c:v>1465300</c:v>
                </c:pt>
                <c:pt idx="93">
                  <c:v>987800</c:v>
                </c:pt>
                <c:pt idx="94">
                  <c:v>1367100</c:v>
                </c:pt>
                <c:pt idx="95">
                  <c:v>1247200</c:v>
                </c:pt>
                <c:pt idx="96">
                  <c:v>762900</c:v>
                </c:pt>
                <c:pt idx="97">
                  <c:v>992100</c:v>
                </c:pt>
                <c:pt idx="98">
                  <c:v>1160200</c:v>
                </c:pt>
                <c:pt idx="99">
                  <c:v>715400</c:v>
                </c:pt>
                <c:pt idx="100">
                  <c:v>924000</c:v>
                </c:pt>
                <c:pt idx="101">
                  <c:v>1051400</c:v>
                </c:pt>
                <c:pt idx="102">
                  <c:v>2203200</c:v>
                </c:pt>
                <c:pt idx="103">
                  <c:v>960900</c:v>
                </c:pt>
                <c:pt idx="104">
                  <c:v>2721200</c:v>
                </c:pt>
                <c:pt idx="105">
                  <c:v>541400</c:v>
                </c:pt>
                <c:pt idx="106">
                  <c:v>407800</c:v>
                </c:pt>
                <c:pt idx="107">
                  <c:v>464300</c:v>
                </c:pt>
                <c:pt idx="108">
                  <c:v>348000</c:v>
                </c:pt>
                <c:pt idx="109">
                  <c:v>569400</c:v>
                </c:pt>
                <c:pt idx="110">
                  <c:v>465400</c:v>
                </c:pt>
                <c:pt idx="111">
                  <c:v>832700</c:v>
                </c:pt>
                <c:pt idx="112">
                  <c:v>953900</c:v>
                </c:pt>
                <c:pt idx="113">
                  <c:v>859700</c:v>
                </c:pt>
                <c:pt idx="114">
                  <c:v>578000</c:v>
                </c:pt>
                <c:pt idx="115">
                  <c:v>1258000</c:v>
                </c:pt>
                <c:pt idx="116">
                  <c:v>1050400</c:v>
                </c:pt>
                <c:pt idx="117">
                  <c:v>1323300</c:v>
                </c:pt>
                <c:pt idx="118">
                  <c:v>2382200</c:v>
                </c:pt>
                <c:pt idx="119">
                  <c:v>1005100</c:v>
                </c:pt>
                <c:pt idx="120">
                  <c:v>654300</c:v>
                </c:pt>
                <c:pt idx="121">
                  <c:v>987900</c:v>
                </c:pt>
                <c:pt idx="122">
                  <c:v>613800</c:v>
                </c:pt>
                <c:pt idx="123">
                  <c:v>1419800</c:v>
                </c:pt>
                <c:pt idx="124">
                  <c:v>998500</c:v>
                </c:pt>
                <c:pt idx="125">
                  <c:v>487700</c:v>
                </c:pt>
                <c:pt idx="126">
                  <c:v>513800</c:v>
                </c:pt>
                <c:pt idx="127">
                  <c:v>716000</c:v>
                </c:pt>
                <c:pt idx="128">
                  <c:v>688800</c:v>
                </c:pt>
                <c:pt idx="129">
                  <c:v>2102000</c:v>
                </c:pt>
                <c:pt idx="130">
                  <c:v>567900</c:v>
                </c:pt>
                <c:pt idx="131">
                  <c:v>674100</c:v>
                </c:pt>
                <c:pt idx="132">
                  <c:v>586200</c:v>
                </c:pt>
                <c:pt idx="133">
                  <c:v>755200</c:v>
                </c:pt>
                <c:pt idx="134">
                  <c:v>1181300</c:v>
                </c:pt>
                <c:pt idx="135">
                  <c:v>539400</c:v>
                </c:pt>
                <c:pt idx="136">
                  <c:v>982200</c:v>
                </c:pt>
                <c:pt idx="137">
                  <c:v>814600</c:v>
                </c:pt>
                <c:pt idx="138">
                  <c:v>693600</c:v>
                </c:pt>
                <c:pt idx="139">
                  <c:v>1050600</c:v>
                </c:pt>
                <c:pt idx="140">
                  <c:v>1673700</c:v>
                </c:pt>
                <c:pt idx="141">
                  <c:v>972200</c:v>
                </c:pt>
                <c:pt idx="142">
                  <c:v>1188100</c:v>
                </c:pt>
                <c:pt idx="143">
                  <c:v>457200</c:v>
                </c:pt>
                <c:pt idx="144">
                  <c:v>805700</c:v>
                </c:pt>
                <c:pt idx="145">
                  <c:v>1958200</c:v>
                </c:pt>
                <c:pt idx="146">
                  <c:v>16544600</c:v>
                </c:pt>
                <c:pt idx="147">
                  <c:v>1960700</c:v>
                </c:pt>
                <c:pt idx="148">
                  <c:v>1007100</c:v>
                </c:pt>
                <c:pt idx="149">
                  <c:v>2128700</c:v>
                </c:pt>
                <c:pt idx="150">
                  <c:v>1765300</c:v>
                </c:pt>
                <c:pt idx="151">
                  <c:v>1712600</c:v>
                </c:pt>
                <c:pt idx="152">
                  <c:v>1859000</c:v>
                </c:pt>
                <c:pt idx="153">
                  <c:v>1335300</c:v>
                </c:pt>
                <c:pt idx="154">
                  <c:v>737300</c:v>
                </c:pt>
                <c:pt idx="155">
                  <c:v>497700</c:v>
                </c:pt>
                <c:pt idx="156">
                  <c:v>813800</c:v>
                </c:pt>
                <c:pt idx="157">
                  <c:v>1049200</c:v>
                </c:pt>
                <c:pt idx="158">
                  <c:v>513200</c:v>
                </c:pt>
                <c:pt idx="159">
                  <c:v>905700</c:v>
                </c:pt>
                <c:pt idx="160">
                  <c:v>637900</c:v>
                </c:pt>
                <c:pt idx="161">
                  <c:v>813500</c:v>
                </c:pt>
                <c:pt idx="162">
                  <c:v>1224600</c:v>
                </c:pt>
                <c:pt idx="163">
                  <c:v>869200</c:v>
                </c:pt>
                <c:pt idx="164">
                  <c:v>648300</c:v>
                </c:pt>
                <c:pt idx="165">
                  <c:v>738600</c:v>
                </c:pt>
                <c:pt idx="166">
                  <c:v>1100900</c:v>
                </c:pt>
                <c:pt idx="167">
                  <c:v>469200</c:v>
                </c:pt>
                <c:pt idx="168">
                  <c:v>812400</c:v>
                </c:pt>
                <c:pt idx="169">
                  <c:v>642400</c:v>
                </c:pt>
                <c:pt idx="170">
                  <c:v>631600</c:v>
                </c:pt>
                <c:pt idx="171">
                  <c:v>965300</c:v>
                </c:pt>
                <c:pt idx="172">
                  <c:v>528600</c:v>
                </c:pt>
                <c:pt idx="173">
                  <c:v>402500</c:v>
                </c:pt>
                <c:pt idx="174">
                  <c:v>573300</c:v>
                </c:pt>
                <c:pt idx="175">
                  <c:v>606100</c:v>
                </c:pt>
                <c:pt idx="176">
                  <c:v>1116900</c:v>
                </c:pt>
                <c:pt idx="177">
                  <c:v>1506400</c:v>
                </c:pt>
                <c:pt idx="178">
                  <c:v>961300</c:v>
                </c:pt>
                <c:pt idx="179">
                  <c:v>1889600</c:v>
                </c:pt>
                <c:pt idx="180">
                  <c:v>2487400</c:v>
                </c:pt>
                <c:pt idx="181">
                  <c:v>4209900</c:v>
                </c:pt>
                <c:pt idx="182">
                  <c:v>1501400</c:v>
                </c:pt>
                <c:pt idx="183">
                  <c:v>638200</c:v>
                </c:pt>
                <c:pt idx="184">
                  <c:v>874900</c:v>
                </c:pt>
                <c:pt idx="185">
                  <c:v>849200</c:v>
                </c:pt>
                <c:pt idx="186">
                  <c:v>1032700</c:v>
                </c:pt>
                <c:pt idx="187">
                  <c:v>849700</c:v>
                </c:pt>
                <c:pt idx="188">
                  <c:v>553900</c:v>
                </c:pt>
                <c:pt idx="189">
                  <c:v>452400</c:v>
                </c:pt>
                <c:pt idx="190">
                  <c:v>777300</c:v>
                </c:pt>
                <c:pt idx="191">
                  <c:v>444100</c:v>
                </c:pt>
                <c:pt idx="192">
                  <c:v>985700</c:v>
                </c:pt>
                <c:pt idx="193">
                  <c:v>823400</c:v>
                </c:pt>
                <c:pt idx="194">
                  <c:v>1332500</c:v>
                </c:pt>
                <c:pt idx="195">
                  <c:v>1108200</c:v>
                </c:pt>
                <c:pt idx="196">
                  <c:v>1609900</c:v>
                </c:pt>
                <c:pt idx="197">
                  <c:v>2316000</c:v>
                </c:pt>
                <c:pt idx="198">
                  <c:v>2405700</c:v>
                </c:pt>
                <c:pt idx="199">
                  <c:v>1466000</c:v>
                </c:pt>
                <c:pt idx="200">
                  <c:v>981300</c:v>
                </c:pt>
                <c:pt idx="201">
                  <c:v>460800</c:v>
                </c:pt>
                <c:pt idx="202">
                  <c:v>471200</c:v>
                </c:pt>
                <c:pt idx="203">
                  <c:v>667500</c:v>
                </c:pt>
                <c:pt idx="204">
                  <c:v>427600</c:v>
                </c:pt>
                <c:pt idx="205">
                  <c:v>446700</c:v>
                </c:pt>
                <c:pt idx="206">
                  <c:v>371200</c:v>
                </c:pt>
                <c:pt idx="207">
                  <c:v>452800</c:v>
                </c:pt>
                <c:pt idx="208">
                  <c:v>789400</c:v>
                </c:pt>
                <c:pt idx="209">
                  <c:v>510800</c:v>
                </c:pt>
                <c:pt idx="210">
                  <c:v>355900</c:v>
                </c:pt>
                <c:pt idx="211">
                  <c:v>463600</c:v>
                </c:pt>
                <c:pt idx="212">
                  <c:v>783200</c:v>
                </c:pt>
                <c:pt idx="213">
                  <c:v>917900</c:v>
                </c:pt>
                <c:pt idx="214">
                  <c:v>1188300</c:v>
                </c:pt>
                <c:pt idx="215">
                  <c:v>663000</c:v>
                </c:pt>
                <c:pt idx="216">
                  <c:v>402000</c:v>
                </c:pt>
                <c:pt idx="217">
                  <c:v>655500</c:v>
                </c:pt>
                <c:pt idx="218">
                  <c:v>685700</c:v>
                </c:pt>
                <c:pt idx="219">
                  <c:v>887700</c:v>
                </c:pt>
                <c:pt idx="220">
                  <c:v>981000</c:v>
                </c:pt>
                <c:pt idx="221">
                  <c:v>1440400</c:v>
                </c:pt>
                <c:pt idx="222">
                  <c:v>667900</c:v>
                </c:pt>
                <c:pt idx="223">
                  <c:v>1084900</c:v>
                </c:pt>
                <c:pt idx="224">
                  <c:v>1274400</c:v>
                </c:pt>
                <c:pt idx="225">
                  <c:v>2280400</c:v>
                </c:pt>
                <c:pt idx="226">
                  <c:v>2090800</c:v>
                </c:pt>
                <c:pt idx="227">
                  <c:v>10234200</c:v>
                </c:pt>
                <c:pt idx="228">
                  <c:v>4112500</c:v>
                </c:pt>
                <c:pt idx="229">
                  <c:v>1613700</c:v>
                </c:pt>
                <c:pt idx="230">
                  <c:v>2028800</c:v>
                </c:pt>
                <c:pt idx="231">
                  <c:v>1343000</c:v>
                </c:pt>
                <c:pt idx="232">
                  <c:v>1345600</c:v>
                </c:pt>
                <c:pt idx="233">
                  <c:v>1529100</c:v>
                </c:pt>
                <c:pt idx="234">
                  <c:v>970200</c:v>
                </c:pt>
                <c:pt idx="235">
                  <c:v>1065000</c:v>
                </c:pt>
                <c:pt idx="236">
                  <c:v>1441300</c:v>
                </c:pt>
                <c:pt idx="237">
                  <c:v>641100</c:v>
                </c:pt>
                <c:pt idx="238">
                  <c:v>647500</c:v>
                </c:pt>
                <c:pt idx="239">
                  <c:v>264300</c:v>
                </c:pt>
                <c:pt idx="240">
                  <c:v>571100</c:v>
                </c:pt>
                <c:pt idx="241">
                  <c:v>1108400</c:v>
                </c:pt>
                <c:pt idx="242">
                  <c:v>2678200</c:v>
                </c:pt>
                <c:pt idx="243">
                  <c:v>507700</c:v>
                </c:pt>
                <c:pt idx="244">
                  <c:v>592800</c:v>
                </c:pt>
                <c:pt idx="245">
                  <c:v>1851600</c:v>
                </c:pt>
                <c:pt idx="246">
                  <c:v>563300</c:v>
                </c:pt>
                <c:pt idx="247">
                  <c:v>571800</c:v>
                </c:pt>
                <c:pt idx="248">
                  <c:v>704600</c:v>
                </c:pt>
                <c:pt idx="249">
                  <c:v>830200</c:v>
                </c:pt>
                <c:pt idx="250">
                  <c:v>1033200</c:v>
                </c:pt>
                <c:pt idx="251">
                  <c:v>1504500</c:v>
                </c:pt>
              </c:numCache>
            </c:numRef>
          </c:val>
          <c:smooth val="0"/>
          <c:extLst>
            <c:ext xmlns:c16="http://schemas.microsoft.com/office/drawing/2014/chart" uri="{C3380CC4-5D6E-409C-BE32-E72D297353CC}">
              <c16:uniqueId val="{00000001-7535-4685-B630-8788BCFEF84B}"/>
            </c:ext>
          </c:extLst>
        </c:ser>
        <c:dLbls>
          <c:showLegendKey val="0"/>
          <c:showVal val="0"/>
          <c:showCatName val="0"/>
          <c:showSerName val="0"/>
          <c:showPercent val="0"/>
          <c:showBubbleSize val="0"/>
        </c:dLbls>
        <c:marker val="1"/>
        <c:smooth val="0"/>
        <c:axId val="1359616479"/>
        <c:axId val="1359618399"/>
      </c:lineChart>
      <c:dateAx>
        <c:axId val="1196957807"/>
        <c:scaling>
          <c:orientation val="minMax"/>
        </c:scaling>
        <c:delete val="0"/>
        <c:axPos val="b"/>
        <c:numFmt formatCode="d\-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6958767"/>
        <c:crosses val="autoZero"/>
        <c:auto val="1"/>
        <c:lblOffset val="100"/>
        <c:baseTimeUnit val="days"/>
      </c:dateAx>
      <c:valAx>
        <c:axId val="11969587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6957807"/>
        <c:crosses val="autoZero"/>
        <c:crossBetween val="between"/>
      </c:valAx>
      <c:valAx>
        <c:axId val="1359618399"/>
        <c:scaling>
          <c:orientation val="minMax"/>
        </c:scaling>
        <c:delete val="0"/>
        <c:axPos val="r"/>
        <c:numFmt formatCode="0,,\ \M"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9616479"/>
        <c:crosses val="max"/>
        <c:crossBetween val="between"/>
      </c:valAx>
      <c:dateAx>
        <c:axId val="1359616479"/>
        <c:scaling>
          <c:orientation val="minMax"/>
        </c:scaling>
        <c:delete val="1"/>
        <c:axPos val="b"/>
        <c:numFmt formatCode="d\-mmm\-yy" sourceLinked="1"/>
        <c:majorTickMark val="out"/>
        <c:minorTickMark val="none"/>
        <c:tickLblPos val="nextTo"/>
        <c:crossAx val="1359618399"/>
        <c:crosses val="autoZero"/>
        <c:auto val="1"/>
        <c:lblOffset val="100"/>
        <c:baseTimeUnit val="day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ValGraph!$W$1</c:f>
          <c:strCache>
            <c:ptCount val="1"/>
            <c:pt idx="0">
              <c:v>Avadel Pharmaceuticals, PLC Valuation - Base Case - Range of Implied Share Prices</c:v>
            </c:pt>
          </c:strCache>
        </c:strRef>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1"/>
          <c:tx>
            <c:strRef>
              <c:f>ValGraph!$J$32</c:f>
              <c:strCache>
                <c:ptCount val="1"/>
                <c:pt idx="0">
                  <c:v>Min</c:v>
                </c:pt>
              </c:strCache>
            </c:strRef>
          </c:tx>
          <c:spPr>
            <a:noFill/>
            <a:ln>
              <a:noFill/>
            </a:ln>
            <a:effectLst/>
          </c:spPr>
          <c:invertIfNegative val="0"/>
          <c:cat>
            <c:strRef>
              <c:f>ValGraph!$A$33:$A$51</c:f>
              <c:strCache>
                <c:ptCount val="19"/>
                <c:pt idx="1">
                  <c:v>(8% - 13% WACC)</c:v>
                </c:pt>
                <c:pt idx="2">
                  <c:v>Risk-adjusted Net Present Value Analysis:</c:v>
                </c:pt>
                <c:pt idx="4">
                  <c:v>1-Month Premiums:</c:v>
                </c:pt>
                <c:pt idx="5">
                  <c:v>1-Week Premiums:</c:v>
                </c:pt>
                <c:pt idx="6">
                  <c:v>1-Day Premiums:</c:v>
                </c:pt>
                <c:pt idx="7">
                  <c:v>2025-03-31 EV / Revenue:</c:v>
                </c:pt>
                <c:pt idx="8">
                  <c:v>EV/Peak Sales</c:v>
                </c:pt>
                <c:pt idx="9">
                  <c:v>Precedent Transactions:</c:v>
                </c:pt>
                <c:pt idx="11">
                  <c:v>2028/12/31 TEV / R&amp;D:</c:v>
                </c:pt>
                <c:pt idx="12">
                  <c:v>2027/12/31 TEV / R&amp;D:</c:v>
                </c:pt>
                <c:pt idx="13">
                  <c:v>2026/12/31 TEV / R&amp;D:</c:v>
                </c:pt>
                <c:pt idx="14">
                  <c:v>TEV/rNPV</c:v>
                </c:pt>
                <c:pt idx="15">
                  <c:v>2028/12/31 TEV / Revenue:</c:v>
                </c:pt>
                <c:pt idx="16">
                  <c:v>2027/12/31 TEV / Revenue:</c:v>
                </c:pt>
                <c:pt idx="17">
                  <c:v>2026/12/31 TEV / Revenue:</c:v>
                </c:pt>
                <c:pt idx="18">
                  <c:v>Public Company Comparables:</c:v>
                </c:pt>
              </c:strCache>
            </c:strRef>
          </c:cat>
          <c:val>
            <c:numRef>
              <c:f>ValGraph!$J$33:$J$50</c:f>
              <c:numCache>
                <c:formatCode>_("$"* #,##0.00_);_("$"* \(#,##0.00\);_("$"* "-"??_);_(@_)</c:formatCode>
                <c:ptCount val="18"/>
                <c:pt idx="2" formatCode="_(* #,##0.00_);_(* \(#,##0.00\);_(* &quot;-&quot;??_);_(@_)">
                  <c:v>38.617396446620845</c:v>
                </c:pt>
                <c:pt idx="4" formatCode="_(* #,##0.00_);_(* \(#,##0.00\);_(* &quot;-&quot;??_);_(@_)">
                  <c:v>15.4</c:v>
                </c:pt>
                <c:pt idx="5" formatCode="_(* #,##0.00_);_(* \(#,##0.00\);_(* &quot;-&quot;??_);_(@_)">
                  <c:v>15.4</c:v>
                </c:pt>
                <c:pt idx="6" formatCode="_(* #,##0.00_);_(* \(#,##0.00\);_(* &quot;-&quot;??_);_(@_)">
                  <c:v>23.165811965811965</c:v>
                </c:pt>
                <c:pt idx="7" formatCode="_(* #,##0.00_);_(* \(#,##0.00\);_(* &quot;-&quot;??_);_(@_)">
                  <c:v>25.29937221387603</c:v>
                </c:pt>
                <c:pt idx="8" formatCode="_(* #,##0.00_);_(* \(#,##0.00\);_(* &quot;-&quot;??_);_(@_)">
                  <c:v>35.826429093943048</c:v>
                </c:pt>
                <c:pt idx="11" formatCode="_(* #,##0.00_);_(* \(#,##0.00\);_(* &quot;-&quot;??_);_(@_)">
                  <c:v>0.65598830374083672</c:v>
                </c:pt>
                <c:pt idx="12" formatCode="_(* #,##0.00_);_(* \(#,##0.00\);_(* &quot;-&quot;??_);_(@_)">
                  <c:v>0.67563343340052939</c:v>
                </c:pt>
                <c:pt idx="13" formatCode="_(* #,##0.00_);_(* \(#,##0.00\);_(* &quot;-&quot;??_);_(@_)">
                  <c:v>0.68984693335703906</c:v>
                </c:pt>
                <c:pt idx="14" formatCode="_(* #,##0.00_);_(* \(#,##0.00\);_(* &quot;-&quot;??_);_(@_)">
                  <c:v>10.169603746626093</c:v>
                </c:pt>
                <c:pt idx="15" formatCode="_(* #,##0.00_);_(* \(#,##0.00\);_(* &quot;-&quot;??_);_(@_)">
                  <c:v>8.2262778379802874</c:v>
                </c:pt>
                <c:pt idx="16" formatCode="_(* #,##0.00_);_(* \(#,##0.00\);_(* &quot;-&quot;??_);_(@_)">
                  <c:v>6.7428352021664946</c:v>
                </c:pt>
                <c:pt idx="17" formatCode="_(* #,##0.00_);_(* \(#,##0.00\);_(* &quot;-&quot;??_);_(@_)">
                  <c:v>5.8935955230629586</c:v>
                </c:pt>
              </c:numCache>
            </c:numRef>
          </c:val>
          <c:extLst>
            <c:ext xmlns:c16="http://schemas.microsoft.com/office/drawing/2014/chart" uri="{C3380CC4-5D6E-409C-BE32-E72D297353CC}">
              <c16:uniqueId val="{00000000-BE90-4A2E-81C4-861E6CF04014}"/>
            </c:ext>
          </c:extLst>
        </c:ser>
        <c:ser>
          <c:idx val="1"/>
          <c:order val="2"/>
          <c:tx>
            <c:strRef>
              <c:f>ValGraph!$K$32</c:f>
              <c:strCache>
                <c:ptCount val="1"/>
                <c:pt idx="0">
                  <c:v>25th</c:v>
                </c:pt>
              </c:strCache>
            </c:strRef>
          </c:tx>
          <c:spPr>
            <a:solidFill>
              <a:schemeClr val="accent4">
                <a:shade val="70000"/>
              </a:schemeClr>
            </a:solidFill>
            <a:ln>
              <a:solidFill>
                <a:schemeClr val="tx1"/>
              </a:solidFill>
            </a:ln>
            <a:effectLst/>
          </c:spPr>
          <c:invertIfNegative val="0"/>
          <c:cat>
            <c:strRef>
              <c:f>ValGraph!$A$33:$A$51</c:f>
              <c:strCache>
                <c:ptCount val="19"/>
                <c:pt idx="1">
                  <c:v>(8% - 13% WACC)</c:v>
                </c:pt>
                <c:pt idx="2">
                  <c:v>Risk-adjusted Net Present Value Analysis:</c:v>
                </c:pt>
                <c:pt idx="4">
                  <c:v>1-Month Premiums:</c:v>
                </c:pt>
                <c:pt idx="5">
                  <c:v>1-Week Premiums:</c:v>
                </c:pt>
                <c:pt idx="6">
                  <c:v>1-Day Premiums:</c:v>
                </c:pt>
                <c:pt idx="7">
                  <c:v>2025-03-31 EV / Revenue:</c:v>
                </c:pt>
                <c:pt idx="8">
                  <c:v>EV/Peak Sales</c:v>
                </c:pt>
                <c:pt idx="9">
                  <c:v>Precedent Transactions:</c:v>
                </c:pt>
                <c:pt idx="11">
                  <c:v>2028/12/31 TEV / R&amp;D:</c:v>
                </c:pt>
                <c:pt idx="12">
                  <c:v>2027/12/31 TEV / R&amp;D:</c:v>
                </c:pt>
                <c:pt idx="13">
                  <c:v>2026/12/31 TEV / R&amp;D:</c:v>
                </c:pt>
                <c:pt idx="14">
                  <c:v>TEV/rNPV</c:v>
                </c:pt>
                <c:pt idx="15">
                  <c:v>2028/12/31 TEV / Revenue:</c:v>
                </c:pt>
                <c:pt idx="16">
                  <c:v>2027/12/31 TEV / Revenue:</c:v>
                </c:pt>
                <c:pt idx="17">
                  <c:v>2026/12/31 TEV / Revenue:</c:v>
                </c:pt>
                <c:pt idx="18">
                  <c:v>Public Company Comparables:</c:v>
                </c:pt>
              </c:strCache>
            </c:strRef>
          </c:cat>
          <c:val>
            <c:numRef>
              <c:f>ValGraph!$K$33:$K$50</c:f>
              <c:numCache>
                <c:formatCode>_("$"* #,##0.00_);_("$"* \(#,##0.00\);_("$"* "-"??_);_(@_)</c:formatCode>
                <c:ptCount val="18"/>
                <c:pt idx="2" formatCode="_(* #,##0.00_);_(* \(#,##0.00\);_(* &quot;-&quot;??_);_(@_)">
                  <c:v>3.8531591378644166</c:v>
                </c:pt>
                <c:pt idx="4" formatCode="_(* #,##0.00_);_(* \(#,##0.00\);_(* &quot;-&quot;??_);_(@_)">
                  <c:v>3.9019918973666439</c:v>
                </c:pt>
                <c:pt idx="5" formatCode="_(* #,##0.00_);_(* \(#,##0.00\);_(* &quot;-&quot;??_);_(@_)">
                  <c:v>5.9794409036410681</c:v>
                </c:pt>
                <c:pt idx="6" formatCode="_(* #,##0.00_);_(* \(#,##0.00\);_(* &quot;-&quot;??_);_(@_)">
                  <c:v>1.9532750728589008</c:v>
                </c:pt>
                <c:pt idx="7" formatCode="_(* #,##0.00_);_(* \(#,##0.00\);_(* &quot;-&quot;??_);_(@_)">
                  <c:v>0.90001081705213792</c:v>
                </c:pt>
                <c:pt idx="8" formatCode="_(* #,##0.00_);_(* \(#,##0.00\);_(* &quot;-&quot;??_);_(@_)">
                  <c:v>8.1432154832262</c:v>
                </c:pt>
                <c:pt idx="11" formatCode="_(* #,##0.00_);_(* \(#,##0.00\);_(* &quot;-&quot;??_);_(@_)">
                  <c:v>0.63098241145237677</c:v>
                </c:pt>
                <c:pt idx="12" formatCode="_(* #,##0.00_);_(* \(#,##0.00\);_(* &quot;-&quot;??_);_(@_)">
                  <c:v>0.66758645054750398</c:v>
                </c:pt>
                <c:pt idx="13" formatCode="_(* #,##0.00_);_(* \(#,##0.00\);_(* &quot;-&quot;??_);_(@_)">
                  <c:v>0.70465390006932338</c:v>
                </c:pt>
                <c:pt idx="14" formatCode="_(* #,##0.00_);_(* \(#,##0.00\);_(* &quot;-&quot;??_);_(@_)">
                  <c:v>17.286642992541154</c:v>
                </c:pt>
                <c:pt idx="15" formatCode="_(* #,##0.00_);_(* \(#,##0.00\);_(* &quot;-&quot;??_);_(@_)">
                  <c:v>15.724026841672726</c:v>
                </c:pt>
                <c:pt idx="16" formatCode="_(* #,##0.00_);_(* \(#,##0.00\);_(* &quot;-&quot;??_);_(@_)">
                  <c:v>12.616338462146217</c:v>
                </c:pt>
                <c:pt idx="17" formatCode="_(* #,##0.00_);_(* \(#,##0.00\);_(* &quot;-&quot;??_);_(@_)">
                  <c:v>10.418183993160556</c:v>
                </c:pt>
              </c:numCache>
            </c:numRef>
          </c:val>
          <c:extLst>
            <c:ext xmlns:c16="http://schemas.microsoft.com/office/drawing/2014/chart" uri="{C3380CC4-5D6E-409C-BE32-E72D297353CC}">
              <c16:uniqueId val="{00000001-BE90-4A2E-81C4-861E6CF04014}"/>
            </c:ext>
          </c:extLst>
        </c:ser>
        <c:ser>
          <c:idx val="2"/>
          <c:order val="3"/>
          <c:tx>
            <c:strRef>
              <c:f>ValGraph!$L$32</c:f>
              <c:strCache>
                <c:ptCount val="1"/>
                <c:pt idx="0">
                  <c:v>Median</c:v>
                </c:pt>
              </c:strCache>
            </c:strRef>
          </c:tx>
          <c:spPr>
            <a:solidFill>
              <a:schemeClr val="accent4">
                <a:shade val="90000"/>
              </a:schemeClr>
            </a:solidFill>
            <a:ln>
              <a:solidFill>
                <a:schemeClr val="tx1"/>
              </a:solidFill>
            </a:ln>
            <a:effectLst/>
          </c:spPr>
          <c:invertIfNegative val="0"/>
          <c:cat>
            <c:strRef>
              <c:f>ValGraph!$A$33:$A$51</c:f>
              <c:strCache>
                <c:ptCount val="19"/>
                <c:pt idx="1">
                  <c:v>(8% - 13% WACC)</c:v>
                </c:pt>
                <c:pt idx="2">
                  <c:v>Risk-adjusted Net Present Value Analysis:</c:v>
                </c:pt>
                <c:pt idx="4">
                  <c:v>1-Month Premiums:</c:v>
                </c:pt>
                <c:pt idx="5">
                  <c:v>1-Week Premiums:</c:v>
                </c:pt>
                <c:pt idx="6">
                  <c:v>1-Day Premiums:</c:v>
                </c:pt>
                <c:pt idx="7">
                  <c:v>2025-03-31 EV / Revenue:</c:v>
                </c:pt>
                <c:pt idx="8">
                  <c:v>EV/Peak Sales</c:v>
                </c:pt>
                <c:pt idx="9">
                  <c:v>Precedent Transactions:</c:v>
                </c:pt>
                <c:pt idx="11">
                  <c:v>2028/12/31 TEV / R&amp;D:</c:v>
                </c:pt>
                <c:pt idx="12">
                  <c:v>2027/12/31 TEV / R&amp;D:</c:v>
                </c:pt>
                <c:pt idx="13">
                  <c:v>2026/12/31 TEV / R&amp;D:</c:v>
                </c:pt>
                <c:pt idx="14">
                  <c:v>TEV/rNPV</c:v>
                </c:pt>
                <c:pt idx="15">
                  <c:v>2028/12/31 TEV / Revenue:</c:v>
                </c:pt>
                <c:pt idx="16">
                  <c:v>2027/12/31 TEV / Revenue:</c:v>
                </c:pt>
                <c:pt idx="17">
                  <c:v>2026/12/31 TEV / Revenue:</c:v>
                </c:pt>
                <c:pt idx="18">
                  <c:v>Public Company Comparables:</c:v>
                </c:pt>
              </c:strCache>
            </c:strRef>
          </c:cat>
          <c:val>
            <c:numRef>
              <c:f>ValGraph!$L$33:$L$50</c:f>
              <c:numCache>
                <c:formatCode>_("$"* #,##0.00_);_("$"* \(#,##0.00\);_("$"* "-"??_);_(@_)</c:formatCode>
                <c:ptCount val="18"/>
                <c:pt idx="2" formatCode="_(* #,##0.00_);_(* \(#,##0.00\);_(* &quot;-&quot;??_);_(@_)">
                  <c:v>5.4719811567436665</c:v>
                </c:pt>
                <c:pt idx="4" formatCode="_(* #,##0.00_);_(* \(#,##0.00\);_(* &quot;-&quot;??_);_(@_)">
                  <c:v>7.7114717815225156</c:v>
                </c:pt>
                <c:pt idx="5" formatCode="_(* #,##0.00_);_(* \(#,##0.00\);_(* &quot;-&quot;??_);_(@_)">
                  <c:v>2.9380002981586841</c:v>
                </c:pt>
                <c:pt idx="6" formatCode="_(* #,##0.00_);_(* \(#,##0.00\);_(* &quot;-&quot;??_);_(@_)">
                  <c:v>2.1635047999913581</c:v>
                </c:pt>
                <c:pt idx="7" formatCode="_(* #,##0.00_);_(* \(#,##0.00\);_(* &quot;-&quot;??_);_(@_)">
                  <c:v>8.5634508534742508</c:v>
                </c:pt>
                <c:pt idx="8" formatCode="_(* #,##0.00_);_(* \(#,##0.00\);_(* &quot;-&quot;??_);_(@_)">
                  <c:v>1.0941884099699095</c:v>
                </c:pt>
                <c:pt idx="11" formatCode="_(* #,##0.00_);_(* \(#,##0.00\);_(* &quot;-&quot;??_);_(@_)">
                  <c:v>0.39502365643871729</c:v>
                </c:pt>
                <c:pt idx="12" formatCode="_(* #,##0.00_);_(* \(#,##0.00\);_(* &quot;-&quot;??_);_(@_)">
                  <c:v>0.39588525329582303</c:v>
                </c:pt>
                <c:pt idx="13" formatCode="_(* #,##0.00_);_(* \(#,##0.00\);_(* &quot;-&quot;??_);_(@_)">
                  <c:v>0.42710136145684063</c:v>
                </c:pt>
                <c:pt idx="14" formatCode="_(* #,##0.00_);_(* \(#,##0.00\);_(* &quot;-&quot;??_);_(@_)">
                  <c:v>5.4601803904803923</c:v>
                </c:pt>
                <c:pt idx="15" formatCode="_(* #,##0.00_);_(* \(#,##0.00\);_(* &quot;-&quot;??_);_(@_)">
                  <c:v>18.255159439184261</c:v>
                </c:pt>
                <c:pt idx="16" formatCode="_(* #,##0.00_);_(* \(#,##0.00\);_(* &quot;-&quot;??_);_(@_)">
                  <c:v>13.862005440152114</c:v>
                </c:pt>
                <c:pt idx="17" formatCode="_(* #,##0.00_);_(* \(#,##0.00\);_(* &quot;-&quot;??_);_(@_)">
                  <c:v>11.520005323918648</c:v>
                </c:pt>
              </c:numCache>
            </c:numRef>
          </c:val>
          <c:extLst>
            <c:ext xmlns:c16="http://schemas.microsoft.com/office/drawing/2014/chart" uri="{C3380CC4-5D6E-409C-BE32-E72D297353CC}">
              <c16:uniqueId val="{00000002-BE90-4A2E-81C4-861E6CF04014}"/>
            </c:ext>
          </c:extLst>
        </c:ser>
        <c:ser>
          <c:idx val="3"/>
          <c:order val="4"/>
          <c:tx>
            <c:strRef>
              <c:f>ValGraph!$M$32</c:f>
              <c:strCache>
                <c:ptCount val="1"/>
                <c:pt idx="0">
                  <c:v>75th</c:v>
                </c:pt>
              </c:strCache>
            </c:strRef>
          </c:tx>
          <c:spPr>
            <a:solidFill>
              <a:schemeClr val="accent4">
                <a:tint val="90000"/>
              </a:schemeClr>
            </a:solidFill>
            <a:ln>
              <a:solidFill>
                <a:schemeClr val="tx1"/>
              </a:solidFill>
            </a:ln>
            <a:effectLst/>
          </c:spPr>
          <c:invertIfNegative val="0"/>
          <c:cat>
            <c:strRef>
              <c:f>ValGraph!$A$33:$A$51</c:f>
              <c:strCache>
                <c:ptCount val="19"/>
                <c:pt idx="1">
                  <c:v>(8% - 13% WACC)</c:v>
                </c:pt>
                <c:pt idx="2">
                  <c:v>Risk-adjusted Net Present Value Analysis:</c:v>
                </c:pt>
                <c:pt idx="4">
                  <c:v>1-Month Premiums:</c:v>
                </c:pt>
                <c:pt idx="5">
                  <c:v>1-Week Premiums:</c:v>
                </c:pt>
                <c:pt idx="6">
                  <c:v>1-Day Premiums:</c:v>
                </c:pt>
                <c:pt idx="7">
                  <c:v>2025-03-31 EV / Revenue:</c:v>
                </c:pt>
                <c:pt idx="8">
                  <c:v>EV/Peak Sales</c:v>
                </c:pt>
                <c:pt idx="9">
                  <c:v>Precedent Transactions:</c:v>
                </c:pt>
                <c:pt idx="11">
                  <c:v>2028/12/31 TEV / R&amp;D:</c:v>
                </c:pt>
                <c:pt idx="12">
                  <c:v>2027/12/31 TEV / R&amp;D:</c:v>
                </c:pt>
                <c:pt idx="13">
                  <c:v>2026/12/31 TEV / R&amp;D:</c:v>
                </c:pt>
                <c:pt idx="14">
                  <c:v>TEV/rNPV</c:v>
                </c:pt>
                <c:pt idx="15">
                  <c:v>2028/12/31 TEV / Revenue:</c:v>
                </c:pt>
                <c:pt idx="16">
                  <c:v>2027/12/31 TEV / Revenue:</c:v>
                </c:pt>
                <c:pt idx="17">
                  <c:v>2026/12/31 TEV / Revenue:</c:v>
                </c:pt>
                <c:pt idx="18">
                  <c:v>Public Company Comparables:</c:v>
                </c:pt>
              </c:strCache>
            </c:strRef>
          </c:cat>
          <c:val>
            <c:numRef>
              <c:f>ValGraph!$M$33:$M$50</c:f>
              <c:numCache>
                <c:formatCode>_("$"* #,##0.00_);_("$"* \(#,##0.00\);_("$"* "-"??_);_(@_)</c:formatCode>
                <c:ptCount val="18"/>
                <c:pt idx="2" formatCode="_(* #,##0.00_);_(* \(#,##0.00\);_(* &quot;-&quot;??_);_(@_)">
                  <c:v>6.1221962587047898</c:v>
                </c:pt>
                <c:pt idx="4" formatCode="_(* #,##0.00_);_(* \(#,##0.00\);_(* &quot;-&quot;??_);_(@_)">
                  <c:v>1.1349520045566628</c:v>
                </c:pt>
                <c:pt idx="5" formatCode="_(* #,##0.00_);_(* \(#,##0.00\);_(* &quot;-&quot;??_);_(@_)">
                  <c:v>1.8152681441377148</c:v>
                </c:pt>
                <c:pt idx="6" formatCode="_(* #,##0.00_);_(* \(#,##0.00\);_(* &quot;-&quot;??_);_(@_)">
                  <c:v>0.27181135885319918</c:v>
                </c:pt>
                <c:pt idx="7" formatCode="_(* #,##0.00_);_(* \(#,##0.00\);_(* &quot;-&quot;??_);_(@_)">
                  <c:v>29.863852963355932</c:v>
                </c:pt>
                <c:pt idx="8" formatCode="_(* #,##0.00_);_(* \(#,##0.00\);_(* &quot;-&quot;??_);_(@_)">
                  <c:v>8.46682091084039</c:v>
                </c:pt>
                <c:pt idx="11" formatCode="_(* #,##0.00_);_(* \(#,##0.00\);_(* &quot;-&quot;??_);_(@_)">
                  <c:v>0.97604428352652772</c:v>
                </c:pt>
                <c:pt idx="12" formatCode="_(* #,##0.00_);_(* \(#,##0.00\);_(* &quot;-&quot;??_);_(@_)">
                  <c:v>0.96363839842662036</c:v>
                </c:pt>
                <c:pt idx="13" formatCode="_(* #,##0.00_);_(* \(#,##0.00\);_(* &quot;-&quot;??_);_(@_)">
                  <c:v>0.96711633135125097</c:v>
                </c:pt>
                <c:pt idx="14" formatCode="_(* #,##0.00_);_(* \(#,##0.00\);_(* &quot;-&quot;??_);_(@_)">
                  <c:v>16.336265461654364</c:v>
                </c:pt>
                <c:pt idx="15" formatCode="_(* #,##0.00_);_(* \(#,##0.00\);_(* &quot;-&quot;??_);_(@_)">
                  <c:v>20.116363337574434</c:v>
                </c:pt>
                <c:pt idx="16" formatCode="_(* #,##0.00_);_(* \(#,##0.00\);_(* &quot;-&quot;??_);_(@_)">
                  <c:v>16.003866902973567</c:v>
                </c:pt>
                <c:pt idx="17" formatCode="_(* #,##0.00_);_(* \(#,##0.00\);_(* &quot;-&quot;??_);_(@_)">
                  <c:v>13.160993756295342</c:v>
                </c:pt>
              </c:numCache>
            </c:numRef>
          </c:val>
          <c:extLst>
            <c:ext xmlns:c16="http://schemas.microsoft.com/office/drawing/2014/chart" uri="{C3380CC4-5D6E-409C-BE32-E72D297353CC}">
              <c16:uniqueId val="{00000003-BE90-4A2E-81C4-861E6CF04014}"/>
            </c:ext>
          </c:extLst>
        </c:ser>
        <c:ser>
          <c:idx val="4"/>
          <c:order val="5"/>
          <c:tx>
            <c:strRef>
              <c:f>ValGraph!$N$32</c:f>
              <c:strCache>
                <c:ptCount val="1"/>
                <c:pt idx="0">
                  <c:v>Max</c:v>
                </c:pt>
              </c:strCache>
            </c:strRef>
          </c:tx>
          <c:spPr>
            <a:noFill/>
            <a:ln>
              <a:noFill/>
            </a:ln>
            <a:effectLst/>
          </c:spPr>
          <c:invertIfNegative val="0"/>
          <c:cat>
            <c:strRef>
              <c:f>ValGraph!$A$33:$A$51</c:f>
              <c:strCache>
                <c:ptCount val="19"/>
                <c:pt idx="1">
                  <c:v>(8% - 13% WACC)</c:v>
                </c:pt>
                <c:pt idx="2">
                  <c:v>Risk-adjusted Net Present Value Analysis:</c:v>
                </c:pt>
                <c:pt idx="4">
                  <c:v>1-Month Premiums:</c:v>
                </c:pt>
                <c:pt idx="5">
                  <c:v>1-Week Premiums:</c:v>
                </c:pt>
                <c:pt idx="6">
                  <c:v>1-Day Premiums:</c:v>
                </c:pt>
                <c:pt idx="7">
                  <c:v>2025-03-31 EV / Revenue:</c:v>
                </c:pt>
                <c:pt idx="8">
                  <c:v>EV/Peak Sales</c:v>
                </c:pt>
                <c:pt idx="9">
                  <c:v>Precedent Transactions:</c:v>
                </c:pt>
                <c:pt idx="11">
                  <c:v>2028/12/31 TEV / R&amp;D:</c:v>
                </c:pt>
                <c:pt idx="12">
                  <c:v>2027/12/31 TEV / R&amp;D:</c:v>
                </c:pt>
                <c:pt idx="13">
                  <c:v>2026/12/31 TEV / R&amp;D:</c:v>
                </c:pt>
                <c:pt idx="14">
                  <c:v>TEV/rNPV</c:v>
                </c:pt>
                <c:pt idx="15">
                  <c:v>2028/12/31 TEV / Revenue:</c:v>
                </c:pt>
                <c:pt idx="16">
                  <c:v>2027/12/31 TEV / Revenue:</c:v>
                </c:pt>
                <c:pt idx="17">
                  <c:v>2026/12/31 TEV / Revenue:</c:v>
                </c:pt>
                <c:pt idx="18">
                  <c:v>Public Company Comparables:</c:v>
                </c:pt>
              </c:strCache>
            </c:strRef>
          </c:cat>
          <c:val>
            <c:numRef>
              <c:f>ValGraph!$N$33:$N$50</c:f>
              <c:numCache>
                <c:formatCode>_("$"* #,##0.00_);_("$"* \(#,##0.00\);_("$"* "-"??_);_(@_)</c:formatCode>
                <c:ptCount val="18"/>
                <c:pt idx="2" formatCode="_(* #,##0.00_);_(* \(#,##0.00\);_(* &quot;-&quot;??_);_(@_)">
                  <c:v>6.8583515815581535</c:v>
                </c:pt>
                <c:pt idx="4" formatCode="_(* #,##0.00_);_(* \(#,##0.00\);_(* &quot;-&quot;??_);_(@_)">
                  <c:v>1.1273231418322034</c:v>
                </c:pt>
                <c:pt idx="5" formatCode="_(* #,##0.00_);_(* \(#,##0.00\);_(* &quot;-&quot;??_);_(@_)">
                  <c:v>0.9179830605188819</c:v>
                </c:pt>
                <c:pt idx="6" formatCode="_(* #,##0.00_);_(* \(#,##0.00\);_(* &quot;-&quot;??_);_(@_)">
                  <c:v>1.5202855991650708</c:v>
                </c:pt>
                <c:pt idx="7" formatCode="_(* #,##0.00_);_(* \(#,##0.00\);_(* &quot;-&quot;??_);_(@_)">
                  <c:v>1.4097721065211601</c:v>
                </c:pt>
                <c:pt idx="8" formatCode="_(* #,##0.00_);_(* \(#,##0.00\);_(* &quot;-&quot;??_);_(@_)">
                  <c:v>823.14220256439557</c:v>
                </c:pt>
                <c:pt idx="11" formatCode="_(* #,##0.00_);_(* \(#,##0.00\);_(* &quot;-&quot;??_);_(@_)">
                  <c:v>2.5939157565033089</c:v>
                </c:pt>
                <c:pt idx="12" formatCode="_(* #,##0.00_);_(* \(#,##0.00\);_(* &quot;-&quot;??_);_(@_)">
                  <c:v>3.1831376550869761</c:v>
                </c:pt>
                <c:pt idx="13" formatCode="_(* #,##0.00_);_(* \(#,##0.00\);_(* &quot;-&quot;??_);_(@_)">
                  <c:v>3.2127412465927594</c:v>
                </c:pt>
                <c:pt idx="14" formatCode="_(* #,##0.00_);_(* \(#,##0.00\);_(* &quot;-&quot;??_);_(@_)">
                  <c:v>92.290143296287567</c:v>
                </c:pt>
                <c:pt idx="15" formatCode="_(* #,##0.00_);_(* \(#,##0.00\);_(* &quot;-&quot;??_);_(@_)">
                  <c:v>26.886231817047069</c:v>
                </c:pt>
                <c:pt idx="16" formatCode="_(* #,##0.00_);_(* \(#,##0.00\);_(* &quot;-&quot;??_);_(@_)">
                  <c:v>30.148928871693592</c:v>
                </c:pt>
                <c:pt idx="17" formatCode="_(* #,##0.00_);_(* \(#,##0.00\);_(* &quot;-&quot;??_);_(@_)">
                  <c:v>34.407459556469433</c:v>
                </c:pt>
              </c:numCache>
            </c:numRef>
          </c:val>
          <c:extLst>
            <c:ext xmlns:c16="http://schemas.microsoft.com/office/drawing/2014/chart" uri="{C3380CC4-5D6E-409C-BE32-E72D297353CC}">
              <c16:uniqueId val="{00000004-BE90-4A2E-81C4-861E6CF04014}"/>
            </c:ext>
          </c:extLst>
        </c:ser>
        <c:dLbls>
          <c:showLegendKey val="0"/>
          <c:showVal val="0"/>
          <c:showCatName val="0"/>
          <c:showSerName val="0"/>
          <c:showPercent val="0"/>
          <c:showBubbleSize val="0"/>
        </c:dLbls>
        <c:gapWidth val="150"/>
        <c:overlap val="100"/>
        <c:axId val="1751929391"/>
        <c:axId val="1751934671"/>
      </c:barChart>
      <c:scatterChart>
        <c:scatterStyle val="smoothMarker"/>
        <c:varyColors val="0"/>
        <c:ser>
          <c:idx val="5"/>
          <c:order val="0"/>
          <c:tx>
            <c:strRef>
              <c:f>ValGraph!$A$53</c:f>
              <c:strCache>
                <c:ptCount val="1"/>
                <c:pt idx="0">
                  <c:v>Current Share Price</c:v>
                </c:pt>
              </c:strCache>
            </c:strRef>
          </c:tx>
          <c:spPr>
            <a:ln w="28575" cap="rnd">
              <a:solidFill>
                <a:srgbClr val="FF0000"/>
              </a:solidFill>
              <a:round/>
            </a:ln>
            <a:effectLst/>
          </c:spPr>
          <c:marker>
            <c:symbol val="none"/>
          </c:marker>
          <c:xVal>
            <c:numRef>
              <c:f>ValGraph!$D$53:$H$53</c:f>
              <c:numCache>
                <c:formatCode>_(* #,##0.00_);_(* \(#,##0.00\);_(* "-"??_);_(@_)</c:formatCode>
                <c:ptCount val="5"/>
                <c:pt idx="0">
                  <c:v>15.4</c:v>
                </c:pt>
                <c:pt idx="1">
                  <c:v>15.4</c:v>
                </c:pt>
                <c:pt idx="2">
                  <c:v>15.4</c:v>
                </c:pt>
                <c:pt idx="3">
                  <c:v>15.4</c:v>
                </c:pt>
                <c:pt idx="4">
                  <c:v>15.4</c:v>
                </c:pt>
              </c:numCache>
            </c:numRef>
          </c:xVal>
          <c:yVal>
            <c:numRef>
              <c:f>ValGraph!$J$53:$N$53</c:f>
              <c:numCache>
                <c:formatCode>_(* #,##0.00_);_(* \(#,##0.00\);_(* "-"??_);_(@_)</c:formatCode>
                <c:ptCount val="5"/>
                <c:pt idx="0">
                  <c:v>1000</c:v>
                </c:pt>
                <c:pt idx="1">
                  <c:v>0</c:v>
                </c:pt>
                <c:pt idx="2">
                  <c:v>0</c:v>
                </c:pt>
                <c:pt idx="3">
                  <c:v>0</c:v>
                </c:pt>
                <c:pt idx="4">
                  <c:v>0</c:v>
                </c:pt>
              </c:numCache>
            </c:numRef>
          </c:yVal>
          <c:smooth val="1"/>
          <c:extLst>
            <c:ext xmlns:c16="http://schemas.microsoft.com/office/drawing/2014/chart" uri="{C3380CC4-5D6E-409C-BE32-E72D297353CC}">
              <c16:uniqueId val="{00000006-BE90-4A2E-81C4-861E6CF04014}"/>
            </c:ext>
          </c:extLst>
        </c:ser>
        <c:dLbls>
          <c:showLegendKey val="0"/>
          <c:showVal val="0"/>
          <c:showCatName val="0"/>
          <c:showSerName val="0"/>
          <c:showPercent val="0"/>
          <c:showBubbleSize val="0"/>
        </c:dLbls>
        <c:axId val="1354906703"/>
        <c:axId val="1354904303"/>
      </c:scatterChart>
      <c:catAx>
        <c:axId val="175192939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751934671"/>
        <c:crosses val="autoZero"/>
        <c:auto val="1"/>
        <c:lblAlgn val="ctr"/>
        <c:lblOffset val="100"/>
        <c:noMultiLvlLbl val="0"/>
      </c:catAx>
      <c:valAx>
        <c:axId val="1751934671"/>
        <c:scaling>
          <c:orientation val="minMax"/>
          <c:max val="8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751929391"/>
        <c:crosses val="autoZero"/>
        <c:crossBetween val="between"/>
      </c:valAx>
      <c:valAx>
        <c:axId val="1354904303"/>
        <c:scaling>
          <c:orientation val="minMax"/>
          <c:max val="1000"/>
          <c:min val="0"/>
        </c:scaling>
        <c:delete val="1"/>
        <c:axPos val="r"/>
        <c:numFmt formatCode="_(* #,##0.00_);_(* \(#,##0.00\);_(* &quot;-&quot;??_);_(@_)" sourceLinked="1"/>
        <c:majorTickMark val="out"/>
        <c:minorTickMark val="none"/>
        <c:tickLblPos val="nextTo"/>
        <c:crossAx val="1354906703"/>
        <c:crosses val="max"/>
        <c:crossBetween val="midCat"/>
      </c:valAx>
      <c:valAx>
        <c:axId val="1354906703"/>
        <c:scaling>
          <c:orientation val="minMax"/>
        </c:scaling>
        <c:delete val="1"/>
        <c:axPos val="b"/>
        <c:numFmt formatCode="_(* #,##0.00_);_(* \(#,##0.00\);_(* &quot;-&quot;??_);_(@_)" sourceLinked="1"/>
        <c:majorTickMark val="out"/>
        <c:minorTickMark val="none"/>
        <c:tickLblPos val="nextTo"/>
        <c:crossAx val="1354904303"/>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withinLinear" id="17">
  <a:schemeClr val="accent4"/>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2</xdr:row>
      <xdr:rowOff>19050</xdr:rowOff>
    </xdr:from>
    <xdr:to>
      <xdr:col>2</xdr:col>
      <xdr:colOff>3429000</xdr:colOff>
      <xdr:row>8</xdr:row>
      <xdr:rowOff>11904</xdr:rowOff>
    </xdr:to>
    <xdr:pic>
      <xdr:nvPicPr>
        <xdr:cNvPr id="4" name="Picture 3" descr="Avadel Pharmaceuticals plc - AnnualReports.com">
          <a:extLst>
            <a:ext uri="{FF2B5EF4-FFF2-40B4-BE49-F238E27FC236}">
              <a16:creationId xmlns:a16="http://schemas.microsoft.com/office/drawing/2014/main" id="{C2CA2F26-3401-8093-A22B-086DF071E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4500" y="457200"/>
          <a:ext cx="3613150" cy="12120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108119</xdr:colOff>
      <xdr:row>2</xdr:row>
      <xdr:rowOff>121507</xdr:rowOff>
    </xdr:from>
    <xdr:to>
      <xdr:col>14</xdr:col>
      <xdr:colOff>463378</xdr:colOff>
      <xdr:row>29</xdr:row>
      <xdr:rowOff>128717</xdr:rowOff>
    </xdr:to>
    <xdr:graphicFrame macro="">
      <xdr:nvGraphicFramePr>
        <xdr:cNvPr id="2" name="Chart 1">
          <a:extLst>
            <a:ext uri="{FF2B5EF4-FFF2-40B4-BE49-F238E27FC236}">
              <a16:creationId xmlns:a16="http://schemas.microsoft.com/office/drawing/2014/main" id="{96ACE105-3378-4019-9528-0A46AC80B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402559</xdr:colOff>
      <xdr:row>86</xdr:row>
      <xdr:rowOff>81714</xdr:rowOff>
    </xdr:from>
    <xdr:to>
      <xdr:col>8</xdr:col>
      <xdr:colOff>96658</xdr:colOff>
      <xdr:row>103</xdr:row>
      <xdr:rowOff>21079</xdr:rowOff>
    </xdr:to>
    <xdr:graphicFrame macro="">
      <xdr:nvGraphicFramePr>
        <xdr:cNvPr id="6" name="Chart 5">
          <a:extLst>
            <a:ext uri="{FF2B5EF4-FFF2-40B4-BE49-F238E27FC236}">
              <a16:creationId xmlns:a16="http://schemas.microsoft.com/office/drawing/2014/main" id="{691DA91D-C322-4F20-B53B-0E7F355EB7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414453</xdr:colOff>
      <xdr:row>70</xdr:row>
      <xdr:rowOff>102438</xdr:rowOff>
    </xdr:from>
    <xdr:to>
      <xdr:col>8</xdr:col>
      <xdr:colOff>112399</xdr:colOff>
      <xdr:row>85</xdr:row>
      <xdr:rowOff>143823</xdr:rowOff>
    </xdr:to>
    <xdr:graphicFrame macro="">
      <xdr:nvGraphicFramePr>
        <xdr:cNvPr id="8" name="Chart 7">
          <a:extLst>
            <a:ext uri="{FF2B5EF4-FFF2-40B4-BE49-F238E27FC236}">
              <a16:creationId xmlns:a16="http://schemas.microsoft.com/office/drawing/2014/main" id="{7AEBDC71-A7D1-4FAE-B1B2-96FEA5F903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267074</xdr:colOff>
      <xdr:row>70</xdr:row>
      <xdr:rowOff>122325</xdr:rowOff>
    </xdr:from>
    <xdr:to>
      <xdr:col>15</xdr:col>
      <xdr:colOff>574277</xdr:colOff>
      <xdr:row>85</xdr:row>
      <xdr:rowOff>162484</xdr:rowOff>
    </xdr:to>
    <xdr:graphicFrame macro="">
      <xdr:nvGraphicFramePr>
        <xdr:cNvPr id="9" name="Chart 8">
          <a:extLst>
            <a:ext uri="{FF2B5EF4-FFF2-40B4-BE49-F238E27FC236}">
              <a16:creationId xmlns:a16="http://schemas.microsoft.com/office/drawing/2014/main" id="{ED652F2A-8270-48E5-9D10-426A89214C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247658</xdr:colOff>
      <xdr:row>86</xdr:row>
      <xdr:rowOff>107646</xdr:rowOff>
    </xdr:from>
    <xdr:to>
      <xdr:col>15</xdr:col>
      <xdr:colOff>527934</xdr:colOff>
      <xdr:row>103</xdr:row>
      <xdr:rowOff>49185</xdr:rowOff>
    </xdr:to>
    <xdr:graphicFrame macro="">
      <xdr:nvGraphicFramePr>
        <xdr:cNvPr id="10" name="Chart 9">
          <a:extLst>
            <a:ext uri="{FF2B5EF4-FFF2-40B4-BE49-F238E27FC236}">
              <a16:creationId xmlns:a16="http://schemas.microsoft.com/office/drawing/2014/main" id="{F8D20A9A-F296-4E4C-8566-1EAFB430C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110225</xdr:colOff>
      <xdr:row>30</xdr:row>
      <xdr:rowOff>240</xdr:rowOff>
    </xdr:from>
    <xdr:to>
      <xdr:col>14</xdr:col>
      <xdr:colOff>515188</xdr:colOff>
      <xdr:row>49</xdr:row>
      <xdr:rowOff>0</xdr:rowOff>
    </xdr:to>
    <xdr:graphicFrame macro="">
      <xdr:nvGraphicFramePr>
        <xdr:cNvPr id="12" name="Chart 11">
          <a:extLst>
            <a:ext uri="{FF2B5EF4-FFF2-40B4-BE49-F238E27FC236}">
              <a16:creationId xmlns:a16="http://schemas.microsoft.com/office/drawing/2014/main" id="{C068098D-1A31-BCC3-8672-F968C054AA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97771</xdr:colOff>
      <xdr:row>49</xdr:row>
      <xdr:rowOff>140305</xdr:rowOff>
    </xdr:from>
    <xdr:to>
      <xdr:col>14</xdr:col>
      <xdr:colOff>534206</xdr:colOff>
      <xdr:row>69</xdr:row>
      <xdr:rowOff>30238</xdr:rowOff>
    </xdr:to>
    <xdr:graphicFrame macro="">
      <xdr:nvGraphicFramePr>
        <xdr:cNvPr id="13" name="Chart 12">
          <a:extLst>
            <a:ext uri="{FF2B5EF4-FFF2-40B4-BE49-F238E27FC236}">
              <a16:creationId xmlns:a16="http://schemas.microsoft.com/office/drawing/2014/main" id="{1BF57351-8DBD-3B6A-DC69-158B2514347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410230</xdr:colOff>
      <xdr:row>103</xdr:row>
      <xdr:rowOff>140306</xdr:rowOff>
    </xdr:from>
    <xdr:to>
      <xdr:col>15</xdr:col>
      <xdr:colOff>524127</xdr:colOff>
      <xdr:row>127</xdr:row>
      <xdr:rowOff>221746</xdr:rowOff>
    </xdr:to>
    <xdr:graphicFrame macro="">
      <xdr:nvGraphicFramePr>
        <xdr:cNvPr id="3" name="Chart 2">
          <a:extLst>
            <a:ext uri="{FF2B5EF4-FFF2-40B4-BE49-F238E27FC236}">
              <a16:creationId xmlns:a16="http://schemas.microsoft.com/office/drawing/2014/main" id="{D159F4DC-F3BE-9998-F236-B795AD9B30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496455</xdr:colOff>
      <xdr:row>30</xdr:row>
      <xdr:rowOff>103909</xdr:rowOff>
    </xdr:to>
    <xdr:graphicFrame macro="">
      <xdr:nvGraphicFramePr>
        <xdr:cNvPr id="3" name="Chart 2">
          <a:extLst>
            <a:ext uri="{FF2B5EF4-FFF2-40B4-BE49-F238E27FC236}">
              <a16:creationId xmlns:a16="http://schemas.microsoft.com/office/drawing/2014/main" id="{1D8E1A1C-256F-51F7-3F5C-62766E94E58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grent\Downloads\VERUMODEL.xlsx" TargetMode="External"/><Relationship Id="rId1" Type="http://schemas.openxmlformats.org/officeDocument/2006/relationships/externalLinkPath" Target="VERU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Summary"/>
      <sheetName val="Model"/>
      <sheetName val="Drivers"/>
      <sheetName val="NPV"/>
      <sheetName val="WACC"/>
      <sheetName val="Valsum"/>
      <sheetName val="ValGraph"/>
      <sheetName val="PubComps"/>
      <sheetName val="PubComps_Data"/>
      <sheetName val="MAComps"/>
      <sheetName val="PPT"/>
    </sheetNames>
    <sheetDataSet>
      <sheetData sheetId="0"/>
      <sheetData sheetId="1"/>
      <sheetData sheetId="2"/>
      <sheetData sheetId="3"/>
      <sheetData sheetId="4"/>
      <sheetData sheetId="5">
        <row r="22">
          <cell r="L22">
            <v>0.71903277636962626</v>
          </cell>
        </row>
      </sheetData>
      <sheetData sheetId="6"/>
      <sheetData sheetId="7"/>
      <sheetData sheetId="8"/>
      <sheetData sheetId="9">
        <row r="73">
          <cell r="C73" t="str">
            <v>rNPV</v>
          </cell>
        </row>
      </sheetData>
      <sheetData sheetId="10"/>
      <sheetData sheetId="1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D04E5-28E8-4797-9F3B-B7210FCCA0DC}">
  <dimension ref="B2:H97"/>
  <sheetViews>
    <sheetView showGridLines="0" topLeftCell="A18" workbookViewId="0">
      <selection activeCell="D27" sqref="D27"/>
    </sheetView>
  </sheetViews>
  <sheetFormatPr defaultColWidth="9.1796875" defaultRowHeight="16"/>
  <cols>
    <col min="1" max="1" width="2.7265625" style="417" customWidth="1"/>
    <col min="2" max="2" width="6.26953125" style="417" bestFit="1" customWidth="1"/>
    <col min="3" max="3" width="53.7265625" style="417" bestFit="1" customWidth="1"/>
    <col min="4" max="7" width="12.7265625" style="417" customWidth="1"/>
    <col min="8" max="8" width="2.7265625" style="417" customWidth="1"/>
    <col min="9" max="16384" width="9.1796875" style="417"/>
  </cols>
  <sheetData>
    <row r="2" spans="2:8" ht="18.5">
      <c r="B2" s="105" t="str">
        <f>Company_Name&amp;" - Operating Model and Valuation - Cover Page and Navigation"</f>
        <v>Avadel Pharmaceuticals, PLC - Operating Model and Valuation - Cover Page and Navigation</v>
      </c>
      <c r="H2" s="10"/>
    </row>
    <row r="3" spans="2:8">
      <c r="H3" s="187"/>
    </row>
    <row r="5" spans="2:8">
      <c r="C5"/>
    </row>
    <row r="6" spans="2:8">
      <c r="E6"/>
    </row>
    <row r="7" spans="2:8">
      <c r="C7" s="179"/>
    </row>
    <row r="10" spans="2:8">
      <c r="C10" s="417" t="s">
        <v>3</v>
      </c>
      <c r="D10" s="468" t="str">
        <f>Company_Name</f>
        <v>Avadel Pharmaceuticals, PLC</v>
      </c>
    </row>
    <row r="11" spans="2:8">
      <c r="C11" s="417" t="s">
        <v>330</v>
      </c>
      <c r="D11" s="417" t="s">
        <v>360</v>
      </c>
    </row>
    <row r="12" spans="2:8">
      <c r="C12" s="417" t="s">
        <v>331</v>
      </c>
      <c r="D12" s="417" t="s">
        <v>332</v>
      </c>
    </row>
    <row r="13" spans="2:8">
      <c r="H13" s="10"/>
    </row>
    <row r="14" spans="2:8">
      <c r="C14" s="417" t="s">
        <v>333</v>
      </c>
      <c r="D14" s="417" t="str">
        <f ca="1">MID(CELL("filename"),SEARCH("[",CELL("filename"))+1, SEARCH("]",CELL("filename"))-SEARCH("[",CELL("filename"))-1)</f>
        <v>AVDLMODEL.xlsx</v>
      </c>
      <c r="H14" s="187"/>
    </row>
    <row r="15" spans="2:8">
      <c r="C15" s="417" t="s">
        <v>334</v>
      </c>
      <c r="D15" s="469">
        <v>45686</v>
      </c>
    </row>
    <row r="17" spans="2:6">
      <c r="C17" s="417" t="s">
        <v>335</v>
      </c>
      <c r="D17" s="470"/>
    </row>
    <row r="18" spans="2:6">
      <c r="C18" s="417" t="s">
        <v>336</v>
      </c>
      <c r="D18" s="505"/>
    </row>
    <row r="19" spans="2:6">
      <c r="C19" s="417" t="s">
        <v>337</v>
      </c>
      <c r="D19" s="471"/>
    </row>
    <row r="21" spans="2:6">
      <c r="B21" s="472" t="s">
        <v>20</v>
      </c>
      <c r="C21" s="473" t="s">
        <v>338</v>
      </c>
      <c r="D21" s="473" t="s">
        <v>339</v>
      </c>
      <c r="E21" s="473"/>
      <c r="F21" s="473"/>
    </row>
    <row r="22" spans="2:6">
      <c r="B22" s="416">
        <f ca="1">_xlfn.SHEET(INDIRECT(D22&amp;"!A1"))</f>
        <v>1</v>
      </c>
      <c r="C22" s="417" t="s">
        <v>359</v>
      </c>
      <c r="D22" s="180" t="s">
        <v>359</v>
      </c>
      <c r="E22" s="415"/>
      <c r="F22" s="415"/>
    </row>
    <row r="23" spans="2:6">
      <c r="B23" s="416">
        <f ca="1">_xlfn.SHEET(INDIRECT(D23&amp;"!A1"))</f>
        <v>2</v>
      </c>
      <c r="C23" s="417" t="s">
        <v>340</v>
      </c>
      <c r="D23" s="180" t="s">
        <v>341</v>
      </c>
    </row>
    <row r="24" spans="2:6">
      <c r="B24" s="416">
        <f t="shared" ref="B24:B34" ca="1" si="0">_xlfn.SHEET(INDIRECT(D24&amp;"!A1"))</f>
        <v>3</v>
      </c>
      <c r="C24" s="417" t="s">
        <v>342</v>
      </c>
      <c r="D24" s="180" t="s">
        <v>343</v>
      </c>
    </row>
    <row r="25" spans="2:6">
      <c r="B25" s="416">
        <f ca="1">_xlfn.SHEET(INDIRECT(D25&amp;"!A1"))</f>
        <v>4</v>
      </c>
      <c r="C25" s="417" t="s">
        <v>344</v>
      </c>
      <c r="D25" s="180" t="s">
        <v>345</v>
      </c>
    </row>
    <row r="26" spans="2:6">
      <c r="B26" s="416">
        <f ca="1">_xlfn.SHEET(INDIRECT(D26&amp;"!A1"))</f>
        <v>5</v>
      </c>
      <c r="C26" s="417" t="s">
        <v>406</v>
      </c>
      <c r="D26" s="180" t="s">
        <v>405</v>
      </c>
    </row>
    <row r="27" spans="2:6">
      <c r="B27" s="416">
        <f t="shared" ca="1" si="0"/>
        <v>6</v>
      </c>
      <c r="C27" s="417" t="s">
        <v>346</v>
      </c>
      <c r="D27" s="180" t="s">
        <v>519</v>
      </c>
    </row>
    <row r="28" spans="2:6">
      <c r="B28" s="416">
        <f t="shared" ca="1" si="0"/>
        <v>7</v>
      </c>
      <c r="C28" s="417" t="s">
        <v>347</v>
      </c>
      <c r="D28" s="180" t="s">
        <v>407</v>
      </c>
    </row>
    <row r="29" spans="2:6">
      <c r="B29" s="416">
        <f t="shared" ca="1" si="0"/>
        <v>8</v>
      </c>
      <c r="C29" s="417" t="s">
        <v>348</v>
      </c>
      <c r="D29" s="180" t="s">
        <v>349</v>
      </c>
    </row>
    <row r="30" spans="2:6">
      <c r="B30" s="416">
        <f t="shared" ca="1" si="0"/>
        <v>9</v>
      </c>
      <c r="C30" s="417" t="s">
        <v>350</v>
      </c>
      <c r="D30" s="180" t="s">
        <v>351</v>
      </c>
    </row>
    <row r="31" spans="2:6">
      <c r="B31" s="416">
        <f t="shared" ca="1" si="0"/>
        <v>10</v>
      </c>
      <c r="C31" s="417" t="s">
        <v>352</v>
      </c>
      <c r="D31" s="180" t="s">
        <v>353</v>
      </c>
    </row>
    <row r="32" spans="2:6">
      <c r="B32" s="416">
        <f t="shared" ca="1" si="0"/>
        <v>11</v>
      </c>
      <c r="C32" s="417" t="s">
        <v>354</v>
      </c>
      <c r="D32" s="180" t="s">
        <v>355</v>
      </c>
    </row>
    <row r="33" spans="2:8">
      <c r="B33" s="416">
        <f t="shared" ca="1" si="0"/>
        <v>12</v>
      </c>
      <c r="C33" s="417" t="s">
        <v>356</v>
      </c>
      <c r="D33" s="180" t="s">
        <v>482</v>
      </c>
    </row>
    <row r="34" spans="2:8">
      <c r="B34" s="416">
        <f t="shared" ca="1" si="0"/>
        <v>13</v>
      </c>
      <c r="C34" s="417" t="s">
        <v>357</v>
      </c>
      <c r="D34" s="180" t="s">
        <v>358</v>
      </c>
    </row>
    <row r="41" spans="2:8">
      <c r="H41" s="10"/>
    </row>
    <row r="42" spans="2:8">
      <c r="H42" s="187"/>
    </row>
    <row r="56" spans="8:8">
      <c r="H56" s="10"/>
    </row>
    <row r="57" spans="8:8">
      <c r="H57" s="187"/>
    </row>
    <row r="96" spans="8:8">
      <c r="H96" s="10"/>
    </row>
    <row r="97" spans="8:8">
      <c r="H97" s="187"/>
    </row>
  </sheetData>
  <hyperlinks>
    <hyperlink ref="D23" location="Summary!A1" display="Summary" xr:uid="{2BE7784F-33E9-44FF-A9CE-DFDC74933B73}"/>
    <hyperlink ref="D24" location="Graphs!A1" display="Graphs" xr:uid="{42C01431-8385-4446-8DAE-C856B20EC404}"/>
    <hyperlink ref="D25" location="WMT_Model!A1" display="WMT_Model" xr:uid="{F7F9F3EE-7A75-4E39-8CB5-49DA3FC9ED27}"/>
    <hyperlink ref="D27" location="Q1_Results!A1" display="Q1_Results" xr:uid="{61DABB93-5AC5-48F7-89E1-7FA911DB3D57}"/>
    <hyperlink ref="D28" location="DCF!A1" display="DCF" xr:uid="{136DE4AA-9D2B-4944-884D-08A62C89A82C}"/>
    <hyperlink ref="D29" location="WACC!A1" display="WACC" xr:uid="{7A0584EA-9EB5-4312-B39F-7CD485A45E26}"/>
    <hyperlink ref="D30" location="ValSum!A1" display="ValSum" xr:uid="{576D7F4E-2E4A-4D03-881F-6F21DA95318B}"/>
    <hyperlink ref="D31" location="ValGraph!A1" display="ValGraph" xr:uid="{220BE2CF-31D8-4C43-BD2D-5FBAE9736E30}"/>
    <hyperlink ref="D32" location="Public_Comps!A1" display="Public_Comps" xr:uid="{61091F54-3FCA-4AD2-859B-F398FFF139A8}"/>
    <hyperlink ref="D33" location="Public_Comps_Data!A1" display="Public_Comps_Data" xr:uid="{EE76BA5B-48F8-4B31-99BD-C940A324D9D9}"/>
    <hyperlink ref="D34" location="MA_Comps!A1" display="MA_Comps" xr:uid="{4E2BC8D9-43B7-4166-9533-427C3BA5BF72}"/>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37934-EB72-4440-B3A2-EC12C9AF09AA}">
  <dimension ref="A1:W53"/>
  <sheetViews>
    <sheetView showGridLines="0" tabSelected="1" zoomScale="68" zoomScaleNormal="55" workbookViewId="0">
      <selection activeCell="Q19" sqref="Q19"/>
    </sheetView>
  </sheetViews>
  <sheetFormatPr defaultRowHeight="14.5"/>
  <cols>
    <col min="1" max="1" width="18.453125" bestFit="1" customWidth="1"/>
    <col min="4" max="7" width="9.90625" bestFit="1" customWidth="1"/>
    <col min="8" max="8" width="10.81640625" bestFit="1" customWidth="1"/>
    <col min="9" max="9" width="9.453125" bestFit="1" customWidth="1"/>
    <col min="10" max="10" width="10.453125" bestFit="1" customWidth="1"/>
    <col min="11" max="11" width="11.08984375" bestFit="1" customWidth="1"/>
    <col min="12" max="13" width="8.81640625" bestFit="1" customWidth="1"/>
    <col min="14" max="14" width="9.7265625" bestFit="1" customWidth="1"/>
    <col min="15" max="15" width="12" bestFit="1" customWidth="1"/>
    <col min="16" max="16" width="9.54296875" bestFit="1" customWidth="1"/>
    <col min="17" max="17" width="9.1796875" bestFit="1" customWidth="1"/>
  </cols>
  <sheetData>
    <row r="1" spans="23:23" ht="16">
      <c r="W1" s="379" t="str">
        <f>Company_Name&amp;" Valuation - "&amp;Scenario&amp;" Case - Range of Implied Share Prices"</f>
        <v>Avadel Pharmaceuticals, PLC Valuation - Base Case - Range of Implied Share Prices</v>
      </c>
    </row>
    <row r="32" spans="10:17" ht="16">
      <c r="J32" s="380" t="s">
        <v>284</v>
      </c>
      <c r="K32" s="380" t="s">
        <v>246</v>
      </c>
      <c r="L32" s="380" t="s">
        <v>217</v>
      </c>
      <c r="M32" s="380" t="s">
        <v>245</v>
      </c>
      <c r="N32" s="380" t="s">
        <v>285</v>
      </c>
      <c r="O32" s="380"/>
      <c r="P32" s="380"/>
      <c r="Q32" s="380"/>
    </row>
    <row r="34" spans="1:17" ht="16">
      <c r="A34" s="382" t="s">
        <v>449</v>
      </c>
      <c r="D34" s="643"/>
      <c r="E34" s="643"/>
      <c r="F34" s="643"/>
      <c r="G34" s="643"/>
      <c r="H34" s="643"/>
      <c r="I34" s="644"/>
      <c r="J34" s="643"/>
      <c r="K34" s="643"/>
      <c r="L34" s="643"/>
      <c r="M34" s="643"/>
      <c r="N34" s="643"/>
      <c r="O34" s="381"/>
      <c r="P34" s="381"/>
      <c r="Q34" s="381"/>
    </row>
    <row r="35" spans="1:17" ht="16">
      <c r="A35" s="382" t="s">
        <v>448</v>
      </c>
      <c r="D35" s="644">
        <f>ValSum!I28</f>
        <v>38.617396446620845</v>
      </c>
      <c r="E35" s="644">
        <f>ValSum!J28</f>
        <v>42.470555584485261</v>
      </c>
      <c r="F35" s="644">
        <f>ValSum!K28</f>
        <v>47.942536741228928</v>
      </c>
      <c r="G35" s="644">
        <f>ValSum!L28</f>
        <v>54.064732999933717</v>
      </c>
      <c r="H35" s="644">
        <f>ValSum!M28</f>
        <v>60.923084581491871</v>
      </c>
      <c r="I35" s="644"/>
      <c r="J35" s="647">
        <f>D35</f>
        <v>38.617396446620845</v>
      </c>
      <c r="K35" s="647">
        <f t="shared" ref="K35:N35" si="0">E35-D35</f>
        <v>3.8531591378644166</v>
      </c>
      <c r="L35" s="647">
        <f t="shared" si="0"/>
        <v>5.4719811567436665</v>
      </c>
      <c r="M35" s="647">
        <f t="shared" si="0"/>
        <v>6.1221962587047898</v>
      </c>
      <c r="N35" s="647">
        <f t="shared" si="0"/>
        <v>6.8583515815581535</v>
      </c>
    </row>
    <row r="36" spans="1:17" ht="16">
      <c r="A36" s="382"/>
      <c r="D36" s="644"/>
      <c r="E36" s="644"/>
      <c r="F36" s="644"/>
      <c r="G36" s="644"/>
      <c r="H36" s="644"/>
      <c r="I36" s="644"/>
      <c r="J36" s="648"/>
      <c r="K36" s="648"/>
      <c r="L36" s="648"/>
      <c r="M36" s="648"/>
      <c r="N36" s="649"/>
      <c r="O36" s="383"/>
      <c r="P36" s="383"/>
      <c r="Q36" s="383"/>
    </row>
    <row r="37" spans="1:17" ht="16">
      <c r="A37" s="382" t="s">
        <v>257</v>
      </c>
      <c r="B37" s="42"/>
      <c r="D37" s="644">
        <f>ValSum!H25</f>
        <v>15.4</v>
      </c>
      <c r="E37" s="644">
        <f>ValSum!I25</f>
        <v>19.301991897366644</v>
      </c>
      <c r="F37" s="644">
        <f>ValSum!J25</f>
        <v>27.01346367888916</v>
      </c>
      <c r="G37" s="644">
        <f>ValSum!K25</f>
        <v>28.148415683445823</v>
      </c>
      <c r="H37" s="644">
        <f>ValSum!L25</f>
        <v>29.275738825278026</v>
      </c>
      <c r="J37" s="647">
        <f>+D37</f>
        <v>15.4</v>
      </c>
      <c r="K37" s="647">
        <f t="shared" ref="K37:N38" si="1">+E37-D37</f>
        <v>3.9019918973666439</v>
      </c>
      <c r="L37" s="647">
        <f t="shared" si="1"/>
        <v>7.7114717815225156</v>
      </c>
      <c r="M37" s="647">
        <f t="shared" si="1"/>
        <v>1.1349520045566628</v>
      </c>
      <c r="N37" s="647">
        <f t="shared" si="1"/>
        <v>1.1273231418322034</v>
      </c>
      <c r="O37" s="383"/>
      <c r="P37" s="383"/>
      <c r="Q37" s="383"/>
    </row>
    <row r="38" spans="1:17" ht="16">
      <c r="A38" s="382" t="s">
        <v>256</v>
      </c>
      <c r="B38" s="42"/>
      <c r="D38" s="644">
        <f>ValSum!H24</f>
        <v>15.4</v>
      </c>
      <c r="E38" s="644">
        <f>ValSum!I24</f>
        <v>21.379440903641068</v>
      </c>
      <c r="F38" s="644">
        <f>ValSum!J24</f>
        <v>24.317441201799753</v>
      </c>
      <c r="G38" s="644">
        <f>ValSum!K24</f>
        <v>26.132709345937467</v>
      </c>
      <c r="H38" s="644">
        <f>ValSum!L24</f>
        <v>27.050692406456349</v>
      </c>
      <c r="J38" s="647">
        <f>+D38</f>
        <v>15.4</v>
      </c>
      <c r="K38" s="647">
        <f t="shared" si="1"/>
        <v>5.9794409036410681</v>
      </c>
      <c r="L38" s="647">
        <f t="shared" si="1"/>
        <v>2.9380002981586841</v>
      </c>
      <c r="M38" s="647">
        <f t="shared" si="1"/>
        <v>1.8152681441377148</v>
      </c>
      <c r="N38" s="647">
        <f t="shared" si="1"/>
        <v>0.9179830605188819</v>
      </c>
      <c r="O38" s="383"/>
      <c r="P38" s="383"/>
      <c r="Q38" s="383"/>
    </row>
    <row r="39" spans="1:17" ht="16">
      <c r="A39" s="382" t="s">
        <v>255</v>
      </c>
      <c r="B39" s="42"/>
      <c r="D39" s="644">
        <f>ValSum!I23</f>
        <v>23.165811965811965</v>
      </c>
      <c r="E39" s="644">
        <f>ValSum!J23</f>
        <v>25.119087038670866</v>
      </c>
      <c r="F39" s="644">
        <f>ValSum!K23</f>
        <v>27.282591838662224</v>
      </c>
      <c r="G39" s="644">
        <f>ValSum!L23</f>
        <v>27.554403197515423</v>
      </c>
      <c r="H39" s="644">
        <f>ValSum!M23</f>
        <v>29.074688796680494</v>
      </c>
      <c r="I39" s="644"/>
      <c r="J39" s="647">
        <f>D39</f>
        <v>23.165811965811965</v>
      </c>
      <c r="K39" s="647">
        <f>E39-D39</f>
        <v>1.9532750728589008</v>
      </c>
      <c r="L39" s="647">
        <f t="shared" ref="L39:N47" si="2">F39-E39</f>
        <v>2.1635047999913581</v>
      </c>
      <c r="M39" s="647">
        <f t="shared" si="2"/>
        <v>0.27181135885319918</v>
      </c>
      <c r="N39" s="647">
        <f t="shared" si="2"/>
        <v>1.5202855991650708</v>
      </c>
      <c r="O39" s="383"/>
      <c r="P39" s="383"/>
      <c r="Q39" s="383"/>
    </row>
    <row r="40" spans="1:17" ht="16">
      <c r="A40" s="382" t="s">
        <v>472</v>
      </c>
      <c r="B40" s="42"/>
      <c r="D40" s="644">
        <f>ValSum!I22</f>
        <v>25.29937221387603</v>
      </c>
      <c r="E40" s="644">
        <f>ValSum!J22</f>
        <v>26.199383030928168</v>
      </c>
      <c r="F40" s="644">
        <f>ValSum!K22</f>
        <v>34.762833884402419</v>
      </c>
      <c r="G40" s="644">
        <f>ValSum!L22</f>
        <v>64.62668684775835</v>
      </c>
      <c r="H40" s="644">
        <f>ValSum!M22</f>
        <v>66.03645895427951</v>
      </c>
      <c r="I40" s="644"/>
      <c r="J40" s="647">
        <f>D40</f>
        <v>25.29937221387603</v>
      </c>
      <c r="K40" s="647">
        <f>E40-D40</f>
        <v>0.90001081705213792</v>
      </c>
      <c r="L40" s="647">
        <f t="shared" si="2"/>
        <v>8.5634508534742508</v>
      </c>
      <c r="M40" s="647">
        <f t="shared" si="2"/>
        <v>29.863852963355932</v>
      </c>
      <c r="N40" s="647">
        <f t="shared" si="2"/>
        <v>1.4097721065211601</v>
      </c>
      <c r="O40" s="383"/>
      <c r="P40" s="383"/>
      <c r="Q40" s="383"/>
    </row>
    <row r="41" spans="1:17" ht="16">
      <c r="A41" s="382" t="s">
        <v>447</v>
      </c>
      <c r="B41" s="42"/>
      <c r="D41" s="644">
        <f>ValSum!I21</f>
        <v>35.826429093943048</v>
      </c>
      <c r="E41" s="644">
        <f>ValSum!J21</f>
        <v>43.969644577169248</v>
      </c>
      <c r="F41" s="644">
        <f>ValSum!K21</f>
        <v>45.063832987139158</v>
      </c>
      <c r="G41" s="644">
        <f>ValSum!L21</f>
        <v>53.530653897979548</v>
      </c>
      <c r="H41" s="644">
        <f>ValSum!M21</f>
        <v>876.67285646237508</v>
      </c>
      <c r="I41" s="644"/>
      <c r="J41" s="647">
        <f>D41</f>
        <v>35.826429093943048</v>
      </c>
      <c r="K41" s="647">
        <f>E41-D41</f>
        <v>8.1432154832262</v>
      </c>
      <c r="L41" s="647">
        <f t="shared" si="2"/>
        <v>1.0941884099699095</v>
      </c>
      <c r="M41" s="647">
        <f t="shared" si="2"/>
        <v>8.46682091084039</v>
      </c>
      <c r="N41" s="647">
        <f t="shared" si="2"/>
        <v>823.14220256439557</v>
      </c>
      <c r="O41" s="383"/>
      <c r="P41" s="383"/>
      <c r="Q41" s="383"/>
    </row>
    <row r="42" spans="1:17" ht="16">
      <c r="A42" s="382" t="s">
        <v>254</v>
      </c>
      <c r="B42" s="42"/>
      <c r="D42" s="644"/>
      <c r="E42" s="644"/>
      <c r="F42" s="644"/>
      <c r="G42" s="644"/>
      <c r="H42" s="644"/>
      <c r="I42" s="644"/>
      <c r="J42" s="647"/>
      <c r="K42" s="647"/>
      <c r="L42" s="647"/>
      <c r="M42" s="647"/>
      <c r="N42" s="647"/>
      <c r="O42" s="383"/>
      <c r="P42" s="383"/>
      <c r="Q42" s="383"/>
    </row>
    <row r="43" spans="1:17" ht="16">
      <c r="A43" s="382"/>
      <c r="B43" s="42"/>
      <c r="D43" s="644"/>
      <c r="E43" s="644"/>
      <c r="F43" s="644"/>
      <c r="G43" s="644"/>
      <c r="H43" s="644"/>
      <c r="I43" s="644"/>
      <c r="J43" s="647"/>
      <c r="K43" s="647"/>
      <c r="L43" s="647"/>
      <c r="M43" s="647"/>
      <c r="N43" s="647"/>
      <c r="O43" s="383"/>
      <c r="P43" s="383"/>
      <c r="Q43" s="383"/>
    </row>
    <row r="44" spans="1:17" ht="16">
      <c r="A44" s="382" t="s">
        <v>473</v>
      </c>
      <c r="B44" s="42"/>
      <c r="D44" s="644">
        <f>ValSum!I18</f>
        <v>0.65598830374083672</v>
      </c>
      <c r="E44" s="644">
        <f>ValSum!J18</f>
        <v>1.2869707151932135</v>
      </c>
      <c r="F44" s="644">
        <f>ValSum!K18</f>
        <v>1.6819943716319308</v>
      </c>
      <c r="G44" s="644">
        <f>ValSum!L18</f>
        <v>2.6580386551584585</v>
      </c>
      <c r="H44" s="644">
        <f>ValSum!M18</f>
        <v>5.2519544116617674</v>
      </c>
      <c r="I44" s="644"/>
      <c r="J44" s="647">
        <f t="shared" ref="J44:J47" si="3">D44</f>
        <v>0.65598830374083672</v>
      </c>
      <c r="K44" s="647">
        <f t="shared" ref="K44:K47" si="4">E44-D44</f>
        <v>0.63098241145237677</v>
      </c>
      <c r="L44" s="647">
        <f t="shared" si="2"/>
        <v>0.39502365643871729</v>
      </c>
      <c r="M44" s="647">
        <f t="shared" si="2"/>
        <v>0.97604428352652772</v>
      </c>
      <c r="N44" s="647">
        <f t="shared" si="2"/>
        <v>2.5939157565033089</v>
      </c>
      <c r="O44" s="383"/>
      <c r="P44" s="383"/>
      <c r="Q44" s="383"/>
    </row>
    <row r="45" spans="1:17" ht="16">
      <c r="A45" s="382" t="s">
        <v>474</v>
      </c>
      <c r="D45" s="644">
        <f>ValSum!I17</f>
        <v>0.67563343340052939</v>
      </c>
      <c r="E45" s="644">
        <f>ValSum!J17</f>
        <v>1.3432198839480334</v>
      </c>
      <c r="F45" s="644">
        <f>ValSum!K17</f>
        <v>1.7391051372438564</v>
      </c>
      <c r="G45" s="644">
        <f>ValSum!L17</f>
        <v>2.7027435356704768</v>
      </c>
      <c r="H45" s="644">
        <f>ValSum!M17</f>
        <v>5.8858811907574529</v>
      </c>
      <c r="I45" s="644"/>
      <c r="J45" s="647">
        <f t="shared" si="3"/>
        <v>0.67563343340052939</v>
      </c>
      <c r="K45" s="647">
        <f t="shared" si="4"/>
        <v>0.66758645054750398</v>
      </c>
      <c r="L45" s="647">
        <f t="shared" si="2"/>
        <v>0.39588525329582303</v>
      </c>
      <c r="M45" s="647">
        <f t="shared" si="2"/>
        <v>0.96363839842662036</v>
      </c>
      <c r="N45" s="647">
        <f t="shared" si="2"/>
        <v>3.1831376550869761</v>
      </c>
      <c r="O45" s="383"/>
      <c r="P45" s="383"/>
      <c r="Q45" s="383"/>
    </row>
    <row r="46" spans="1:17" ht="16">
      <c r="A46" s="382" t="s">
        <v>475</v>
      </c>
      <c r="D46" s="644">
        <f>ValSum!I16</f>
        <v>0.68984693335703906</v>
      </c>
      <c r="E46" s="644">
        <f>ValSum!J16</f>
        <v>1.3945008334263624</v>
      </c>
      <c r="F46" s="644">
        <f>ValSum!K16</f>
        <v>1.8216021948832031</v>
      </c>
      <c r="G46" s="644">
        <f>ValSum!L16</f>
        <v>2.788718526234454</v>
      </c>
      <c r="H46" s="644">
        <f>ValSum!M16</f>
        <v>6.0014597728272134</v>
      </c>
      <c r="I46" s="644"/>
      <c r="J46" s="647">
        <f t="shared" si="3"/>
        <v>0.68984693335703906</v>
      </c>
      <c r="K46" s="647">
        <f t="shared" si="4"/>
        <v>0.70465390006932338</v>
      </c>
      <c r="L46" s="647">
        <f t="shared" si="2"/>
        <v>0.42710136145684063</v>
      </c>
      <c r="M46" s="647">
        <f t="shared" si="2"/>
        <v>0.96711633135125097</v>
      </c>
      <c r="N46" s="647">
        <f t="shared" si="2"/>
        <v>3.2127412465927594</v>
      </c>
      <c r="O46" s="383"/>
      <c r="P46" s="383"/>
      <c r="Q46" s="383"/>
    </row>
    <row r="47" spans="1:17" ht="16">
      <c r="A47" s="382" t="s">
        <v>446</v>
      </c>
      <c r="D47" s="644">
        <f>ValSum!I15</f>
        <v>10.169603746626093</v>
      </c>
      <c r="E47" s="644">
        <f>ValSum!J15</f>
        <v>27.456246739167245</v>
      </c>
      <c r="F47" s="644">
        <f>ValSum!K15</f>
        <v>32.916427129647637</v>
      </c>
      <c r="G47" s="644">
        <f>ValSum!L15</f>
        <v>49.252692591302001</v>
      </c>
      <c r="H47" s="644">
        <f>ValSum!M15</f>
        <v>141.54283588758958</v>
      </c>
      <c r="I47" s="644"/>
      <c r="J47" s="647">
        <f t="shared" si="3"/>
        <v>10.169603746626093</v>
      </c>
      <c r="K47" s="647">
        <f t="shared" si="4"/>
        <v>17.286642992541154</v>
      </c>
      <c r="L47" s="647">
        <f t="shared" si="2"/>
        <v>5.4601803904803923</v>
      </c>
      <c r="M47" s="647">
        <f t="shared" si="2"/>
        <v>16.336265461654364</v>
      </c>
      <c r="N47" s="647">
        <f t="shared" si="2"/>
        <v>92.290143296287567</v>
      </c>
      <c r="O47" s="383"/>
      <c r="P47" s="383"/>
      <c r="Q47" s="383"/>
    </row>
    <row r="48" spans="1:17" ht="16">
      <c r="A48" s="382" t="s">
        <v>476</v>
      </c>
      <c r="D48" s="644">
        <f>ValSum!I14</f>
        <v>8.2262778379802874</v>
      </c>
      <c r="E48" s="644">
        <f>ValSum!J14</f>
        <v>15.724026841672726</v>
      </c>
      <c r="F48" s="644">
        <f>ValSum!K14</f>
        <v>18.255159439184261</v>
      </c>
      <c r="G48" s="644">
        <f>ValSum!L14</f>
        <v>20.116363337574434</v>
      </c>
      <c r="H48" s="644">
        <f>ValSum!M14</f>
        <v>26.886231817047069</v>
      </c>
      <c r="I48" s="644"/>
      <c r="J48" s="647">
        <f t="shared" ref="J48" si="5">D48</f>
        <v>8.2262778379802874</v>
      </c>
      <c r="K48" s="647">
        <f t="shared" ref="K48" si="6">E48</f>
        <v>15.724026841672726</v>
      </c>
      <c r="L48" s="647">
        <f t="shared" ref="L48" si="7">F48</f>
        <v>18.255159439184261</v>
      </c>
      <c r="M48" s="647">
        <f t="shared" ref="M48" si="8">G48</f>
        <v>20.116363337574434</v>
      </c>
      <c r="N48" s="647">
        <f t="shared" ref="N48" si="9">H48</f>
        <v>26.886231817047069</v>
      </c>
      <c r="O48" s="383"/>
      <c r="P48" s="383"/>
      <c r="Q48" s="383"/>
    </row>
    <row r="49" spans="1:17" ht="16">
      <c r="A49" s="382" t="s">
        <v>477</v>
      </c>
      <c r="D49" s="644">
        <f>ValSum!I13</f>
        <v>6.7428352021664946</v>
      </c>
      <c r="E49" s="644">
        <f>ValSum!J13</f>
        <v>12.616338462146217</v>
      </c>
      <c r="F49" s="644">
        <f>ValSum!K13</f>
        <v>13.862005440152114</v>
      </c>
      <c r="G49" s="644">
        <f>ValSum!L13</f>
        <v>16.003866902973567</v>
      </c>
      <c r="H49" s="644">
        <f>ValSum!M13</f>
        <v>30.148928871693592</v>
      </c>
      <c r="I49" s="644"/>
      <c r="J49" s="647">
        <f t="shared" ref="J49:J50" si="10">D49</f>
        <v>6.7428352021664946</v>
      </c>
      <c r="K49" s="647">
        <f t="shared" ref="K49:K50" si="11">E49</f>
        <v>12.616338462146217</v>
      </c>
      <c r="L49" s="647">
        <f t="shared" ref="L49:L50" si="12">F49</f>
        <v>13.862005440152114</v>
      </c>
      <c r="M49" s="647">
        <f t="shared" ref="M49:M50" si="13">G49</f>
        <v>16.003866902973567</v>
      </c>
      <c r="N49" s="647">
        <f t="shared" ref="N49:N50" si="14">H49</f>
        <v>30.148928871693592</v>
      </c>
      <c r="O49" s="383"/>
      <c r="P49" s="383"/>
      <c r="Q49" s="383"/>
    </row>
    <row r="50" spans="1:17" ht="16">
      <c r="A50" s="382" t="s">
        <v>478</v>
      </c>
      <c r="D50" s="644">
        <f>ValSum!I12</f>
        <v>5.8935955230629586</v>
      </c>
      <c r="E50" s="644">
        <f>ValSum!J12</f>
        <v>10.418183993160556</v>
      </c>
      <c r="F50" s="644">
        <f>ValSum!K12</f>
        <v>11.520005323918648</v>
      </c>
      <c r="G50" s="644">
        <f>ValSum!L12</f>
        <v>13.160993756295342</v>
      </c>
      <c r="H50" s="644">
        <f>ValSum!M12</f>
        <v>34.407459556469433</v>
      </c>
      <c r="I50" s="644"/>
      <c r="J50" s="647">
        <f t="shared" si="10"/>
        <v>5.8935955230629586</v>
      </c>
      <c r="K50" s="647">
        <f t="shared" si="11"/>
        <v>10.418183993160556</v>
      </c>
      <c r="L50" s="647">
        <f t="shared" si="12"/>
        <v>11.520005323918648</v>
      </c>
      <c r="M50" s="647">
        <f t="shared" si="13"/>
        <v>13.160993756295342</v>
      </c>
      <c r="N50" s="647">
        <f t="shared" si="14"/>
        <v>34.407459556469433</v>
      </c>
      <c r="O50" s="383"/>
      <c r="P50" s="383"/>
      <c r="Q50" s="383"/>
    </row>
    <row r="51" spans="1:17" ht="16">
      <c r="A51" s="382" t="s">
        <v>253</v>
      </c>
      <c r="D51" s="644"/>
      <c r="J51" s="649"/>
      <c r="K51" s="649"/>
      <c r="L51" s="649"/>
      <c r="M51" s="649"/>
      <c r="N51" s="649"/>
      <c r="O51" s="383"/>
      <c r="P51" s="383"/>
      <c r="Q51" s="383"/>
    </row>
    <row r="52" spans="1:17" ht="16">
      <c r="A52" s="382"/>
      <c r="J52" s="649"/>
      <c r="K52" s="649"/>
      <c r="L52" s="649"/>
      <c r="M52" s="649"/>
      <c r="N52" s="649"/>
      <c r="O52" s="383"/>
      <c r="P52" s="383"/>
      <c r="Q52" s="383"/>
    </row>
    <row r="53" spans="1:17" ht="16">
      <c r="A53" s="379" t="s">
        <v>286</v>
      </c>
      <c r="D53" s="645">
        <f>Share_Price</f>
        <v>15.4</v>
      </c>
      <c r="E53" s="645">
        <f>Share_Price</f>
        <v>15.4</v>
      </c>
      <c r="F53" s="645">
        <f>Share_Price</f>
        <v>15.4</v>
      </c>
      <c r="G53" s="645">
        <f>Share_Price</f>
        <v>15.4</v>
      </c>
      <c r="H53" s="645">
        <f>Share_Price</f>
        <v>15.4</v>
      </c>
      <c r="J53" s="646">
        <v>1000</v>
      </c>
      <c r="K53" s="647">
        <v>0</v>
      </c>
      <c r="L53" s="647">
        <v>0</v>
      </c>
      <c r="M53" s="647">
        <v>0</v>
      </c>
      <c r="N53" s="647">
        <v>0</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81869-2597-4A7B-93E8-9AF2E63CDF5E}">
  <dimension ref="A2:BL40"/>
  <sheetViews>
    <sheetView showGridLines="0" topLeftCell="A14" zoomScale="66" workbookViewId="0">
      <selection activeCell="P24" sqref="P24"/>
    </sheetView>
  </sheetViews>
  <sheetFormatPr defaultRowHeight="14.5"/>
  <cols>
    <col min="2" max="2" width="33" bestFit="1" customWidth="1"/>
    <col min="3" max="3" width="7.6328125" bestFit="1" customWidth="1"/>
    <col min="4" max="4" width="10.453125" bestFit="1" customWidth="1"/>
    <col min="5" max="5" width="8.453125" bestFit="1" customWidth="1"/>
    <col min="6" max="6" width="13.7265625" bestFit="1" customWidth="1"/>
    <col min="7" max="8" width="8.453125" bestFit="1" customWidth="1"/>
    <col min="9" max="10" width="10.7265625" bestFit="1" customWidth="1"/>
    <col min="11" max="11" width="10.26953125" bestFit="1" customWidth="1"/>
    <col min="12" max="12" width="9" bestFit="1" customWidth="1"/>
    <col min="13" max="13" width="13.7265625" bestFit="1" customWidth="1"/>
    <col min="14" max="15" width="12.453125" bestFit="1" customWidth="1"/>
    <col min="16" max="16" width="12" bestFit="1" customWidth="1"/>
    <col min="17" max="17" width="12.453125" bestFit="1" customWidth="1"/>
    <col min="18" max="18" width="12.453125" customWidth="1"/>
    <col min="19" max="20" width="12.453125" bestFit="1" customWidth="1"/>
    <col min="21" max="24" width="8.81640625" bestFit="1" customWidth="1"/>
    <col min="25" max="30" width="10.1796875" bestFit="1" customWidth="1"/>
  </cols>
  <sheetData>
    <row r="2" spans="2:64" ht="16">
      <c r="B2" s="253" t="s">
        <v>484</v>
      </c>
      <c r="C2" s="94"/>
      <c r="D2" s="94"/>
      <c r="E2" s="94"/>
      <c r="F2" s="12"/>
      <c r="G2" s="12"/>
      <c r="H2" s="12"/>
      <c r="I2" s="12"/>
      <c r="J2" s="12"/>
      <c r="K2" s="12"/>
      <c r="L2" s="12"/>
      <c r="M2" s="12"/>
      <c r="N2" s="12"/>
      <c r="O2" s="12"/>
      <c r="P2" s="12"/>
      <c r="Q2" s="12"/>
      <c r="R2" s="12"/>
      <c r="S2" s="12"/>
      <c r="T2" s="12"/>
      <c r="U2" s="12"/>
      <c r="V2" s="12"/>
      <c r="W2" s="12"/>
      <c r="X2" s="12"/>
    </row>
    <row r="3" spans="2:64" ht="16">
      <c r="B3" s="12" t="s">
        <v>223</v>
      </c>
      <c r="C3" s="12"/>
      <c r="D3" s="94"/>
      <c r="E3" s="94"/>
      <c r="F3" s="12"/>
      <c r="G3" s="12"/>
      <c r="H3" s="12"/>
      <c r="I3" s="12"/>
      <c r="J3" s="12"/>
      <c r="K3" s="12"/>
      <c r="L3" s="12"/>
      <c r="M3" s="12"/>
      <c r="N3" s="12"/>
      <c r="O3" s="12"/>
      <c r="P3" s="12"/>
      <c r="Q3" s="12"/>
      <c r="R3" s="12"/>
      <c r="S3" s="12"/>
      <c r="T3" s="12"/>
      <c r="U3" s="12"/>
      <c r="V3" s="12"/>
      <c r="W3" s="12"/>
      <c r="X3" s="12"/>
    </row>
    <row r="4" spans="2:64" ht="16">
      <c r="B4" s="12"/>
      <c r="C4" s="12"/>
      <c r="D4" s="94"/>
      <c r="E4" s="94"/>
      <c r="F4" s="12"/>
      <c r="G4" s="12"/>
      <c r="H4" s="12"/>
      <c r="I4" s="12"/>
      <c r="J4" s="12"/>
      <c r="K4" s="12"/>
      <c r="L4" s="12"/>
      <c r="M4" s="12"/>
      <c r="N4" s="12"/>
      <c r="O4" s="12"/>
      <c r="P4" s="12"/>
      <c r="Q4" s="12"/>
      <c r="R4" s="12"/>
      <c r="S4" s="12"/>
      <c r="T4" s="12"/>
      <c r="U4" s="12"/>
      <c r="V4" s="12"/>
      <c r="W4" s="12"/>
      <c r="X4" s="12"/>
    </row>
    <row r="5" spans="2:64" ht="16">
      <c r="B5" s="197" t="s">
        <v>3</v>
      </c>
      <c r="C5" s="254" t="s">
        <v>6</v>
      </c>
      <c r="D5" s="255" t="s">
        <v>153</v>
      </c>
      <c r="E5" s="150" t="s">
        <v>165</v>
      </c>
      <c r="F5" s="119" t="s">
        <v>167</v>
      </c>
      <c r="G5" s="119" t="s">
        <v>169</v>
      </c>
      <c r="H5" s="114" t="s">
        <v>14</v>
      </c>
      <c r="I5" s="128" t="s">
        <v>146</v>
      </c>
      <c r="J5" s="128" t="s">
        <v>149</v>
      </c>
      <c r="K5" s="128" t="s">
        <v>111</v>
      </c>
      <c r="L5" s="128" t="s">
        <v>114</v>
      </c>
      <c r="M5" s="119" t="s">
        <v>168</v>
      </c>
      <c r="N5" s="114" t="str">
        <f>PubComps_Data!C72</f>
        <v>2025-12-31 Revenue</v>
      </c>
      <c r="O5" s="119" t="str">
        <f>PubComps_Data!C76</f>
        <v>2026-12-31 Revenue</v>
      </c>
      <c r="P5" s="119" t="str">
        <f>PubComps_Data!C79</f>
        <v>2027-12-31 Revenue</v>
      </c>
      <c r="Q5" s="256" t="str">
        <f>[1]PubComps_Data!C73</f>
        <v>rNPV</v>
      </c>
      <c r="R5" s="256" t="str">
        <f>PubComps_Data!C74</f>
        <v>2025-12-31 R&amp;D expense</v>
      </c>
      <c r="S5" s="128" t="str">
        <f>PubComps_Data!C77</f>
        <v>2026-12-31 R&amp;D expense</v>
      </c>
      <c r="T5" s="119" t="str">
        <f>PubComps_Data!C80</f>
        <v>2027-12-31 R&amp;D expense</v>
      </c>
      <c r="U5" s="119" t="str">
        <f>PubComps_Data!C82</f>
        <v>Year 1 Projected Revenue Growth:</v>
      </c>
      <c r="V5" s="119"/>
      <c r="W5" s="119"/>
      <c r="X5" s="119"/>
      <c r="Y5" s="119"/>
      <c r="Z5" s="12"/>
    </row>
    <row r="6" spans="2:64" ht="16">
      <c r="B6" s="257" t="s">
        <v>224</v>
      </c>
      <c r="C6" s="258"/>
      <c r="D6" s="258"/>
      <c r="E6" s="258"/>
      <c r="F6" s="259" t="s">
        <v>225</v>
      </c>
      <c r="G6" s="259"/>
      <c r="H6" s="259"/>
      <c r="I6" s="259"/>
      <c r="J6" s="259"/>
      <c r="K6" s="259"/>
      <c r="L6" s="259"/>
      <c r="M6" s="260"/>
      <c r="N6" s="261"/>
      <c r="O6" s="607" t="s">
        <v>444</v>
      </c>
      <c r="P6" s="261"/>
      <c r="Q6" s="261"/>
      <c r="R6" s="261"/>
      <c r="S6" s="607" t="s">
        <v>444</v>
      </c>
      <c r="T6" s="261"/>
      <c r="U6" s="262" t="s">
        <v>226</v>
      </c>
      <c r="V6" s="605"/>
      <c r="W6" s="605"/>
      <c r="X6" s="606"/>
    </row>
    <row r="7" spans="2:64" ht="16">
      <c r="B7" s="261"/>
      <c r="C7" s="261"/>
      <c r="D7" s="262" t="s">
        <v>227</v>
      </c>
      <c r="E7" s="262" t="s">
        <v>228</v>
      </c>
      <c r="F7" s="262" t="s">
        <v>229</v>
      </c>
      <c r="G7" s="262"/>
      <c r="H7" s="262"/>
      <c r="I7" s="262"/>
      <c r="J7" s="262"/>
      <c r="K7" s="262"/>
      <c r="L7" s="262" t="s">
        <v>230</v>
      </c>
      <c r="M7" s="262" t="s">
        <v>203</v>
      </c>
      <c r="N7" s="261"/>
      <c r="O7" s="607" t="s">
        <v>212</v>
      </c>
      <c r="P7" s="259"/>
      <c r="Q7" s="607" t="str">
        <f>[1]PubComps_Data!C73</f>
        <v>rNPV</v>
      </c>
      <c r="R7" s="607"/>
      <c r="S7" s="607" t="s">
        <v>445</v>
      </c>
      <c r="T7" s="259"/>
      <c r="U7" s="262" t="s">
        <v>212</v>
      </c>
      <c r="V7" s="605"/>
      <c r="W7" s="605"/>
      <c r="X7" s="605"/>
      <c r="AC7" s="114"/>
      <c r="AD7" s="115"/>
      <c r="AE7" s="608"/>
      <c r="AF7" s="608"/>
      <c r="AG7" s="609"/>
      <c r="AH7" s="120"/>
      <c r="AI7" s="119"/>
      <c r="AJ7" s="608"/>
      <c r="AK7" s="608"/>
      <c r="AL7" s="609"/>
      <c r="AM7" s="120"/>
      <c r="AN7" s="119"/>
      <c r="AO7" s="608"/>
      <c r="AP7" s="608"/>
      <c r="AQ7" s="609"/>
      <c r="AR7" s="120"/>
      <c r="AS7" s="119"/>
      <c r="AT7" s="608"/>
      <c r="AU7" s="608"/>
      <c r="AV7" s="609"/>
      <c r="AW7" s="120"/>
      <c r="AX7" s="119"/>
      <c r="AY7" s="608"/>
      <c r="AZ7" s="608"/>
      <c r="BA7" s="609"/>
      <c r="BB7" s="120"/>
      <c r="BC7" s="119"/>
      <c r="BD7" s="608"/>
      <c r="BE7" s="608"/>
      <c r="BF7" s="609"/>
      <c r="BG7" s="120"/>
      <c r="BH7" s="120"/>
      <c r="BI7" s="608"/>
      <c r="BJ7" s="608"/>
      <c r="BK7" s="609"/>
      <c r="BL7" s="120"/>
    </row>
    <row r="8" spans="2:64" ht="16">
      <c r="B8" s="610" t="s">
        <v>233</v>
      </c>
      <c r="C8" s="262" t="s">
        <v>234</v>
      </c>
      <c r="D8" s="610" t="s">
        <v>213</v>
      </c>
      <c r="E8" s="610" t="s">
        <v>235</v>
      </c>
      <c r="F8" s="610" t="s">
        <v>236</v>
      </c>
      <c r="G8" s="610" t="s">
        <v>237</v>
      </c>
      <c r="H8" s="610" t="s">
        <v>238</v>
      </c>
      <c r="I8" s="610" t="s">
        <v>239</v>
      </c>
      <c r="J8" s="610" t="s">
        <v>240</v>
      </c>
      <c r="K8" s="610" t="s">
        <v>241</v>
      </c>
      <c r="L8" s="610" t="s">
        <v>242</v>
      </c>
      <c r="M8" s="610" t="s">
        <v>211</v>
      </c>
      <c r="N8" s="611">
        <f>Forward_Year_1</f>
        <v>46022</v>
      </c>
      <c r="O8" s="611">
        <f>EOMONTH(N8,12)</f>
        <v>46387</v>
      </c>
      <c r="P8" s="611">
        <f>EOMONTH(O8,12)</f>
        <v>46752</v>
      </c>
      <c r="Q8" s="611"/>
      <c r="R8" s="611">
        <f>N8</f>
        <v>46022</v>
      </c>
      <c r="S8" s="611">
        <f t="shared" ref="S8:T8" si="0">O8</f>
        <v>46387</v>
      </c>
      <c r="T8" s="611">
        <f t="shared" si="0"/>
        <v>46752</v>
      </c>
      <c r="U8" s="610" t="s">
        <v>243</v>
      </c>
      <c r="V8" s="612"/>
      <c r="W8" s="456"/>
      <c r="X8" s="456"/>
    </row>
    <row r="9" spans="2:64" ht="16">
      <c r="B9" s="197" t="str">
        <f t="shared" ref="B9:B14" si="1">INDEX(Pub_Comps_Range,MATCH(B$5,Pub_Comps_Params,0),MATCH($C9,Pub_Comps_Tickers,0))</f>
        <v>Jazz Pharmaceuticals, PLC</v>
      </c>
      <c r="C9" t="s">
        <v>193</v>
      </c>
      <c r="D9" s="613">
        <f t="shared" ref="D9:M14" si="2">INDEX(Pub_Comps_Range,MATCH(D$5,Pub_Comps_Params,0),MATCH($C9,Pub_Comps_Tickers,0))</f>
        <v>126.16</v>
      </c>
      <c r="E9" s="638">
        <f t="shared" si="2"/>
        <v>60.7</v>
      </c>
      <c r="F9" s="638">
        <f t="shared" si="2"/>
        <v>7657.9120000000003</v>
      </c>
      <c r="G9" s="638">
        <f t="shared" si="2"/>
        <v>0.82</v>
      </c>
      <c r="H9" s="639">
        <f t="shared" si="2"/>
        <v>0.12</v>
      </c>
      <c r="I9" s="638">
        <f t="shared" si="2"/>
        <v>-1669.9</v>
      </c>
      <c r="J9" s="638">
        <f t="shared" si="2"/>
        <v>5433.1</v>
      </c>
      <c r="K9" s="638">
        <f t="shared" si="2"/>
        <v>0</v>
      </c>
      <c r="L9" s="638">
        <f t="shared" si="2"/>
        <v>0</v>
      </c>
      <c r="M9" s="638">
        <f t="shared" si="2"/>
        <v>11421.112000000001</v>
      </c>
      <c r="N9" s="638">
        <f t="shared" ref="N9:U14" si="3">INDEX(Pub_Comps_Range,MATCH(N$5,Pub_Comps_Params,0),MATCH($C9,Pub_Comps_Tickers,0))</f>
        <v>4217</v>
      </c>
      <c r="O9" s="638">
        <f t="shared" si="3"/>
        <v>4476</v>
      </c>
      <c r="P9" s="638">
        <f t="shared" si="3"/>
        <v>4620</v>
      </c>
      <c r="Q9" s="638">
        <f t="shared" si="3"/>
        <v>468.18181818181813</v>
      </c>
      <c r="R9" s="638">
        <f t="shared" si="3"/>
        <v>760</v>
      </c>
      <c r="S9" s="638">
        <f t="shared" si="3"/>
        <v>831</v>
      </c>
      <c r="T9" s="638">
        <f t="shared" si="3"/>
        <v>878</v>
      </c>
      <c r="U9" s="614">
        <f t="shared" si="3"/>
        <v>6.1418069717808832E-2</v>
      </c>
      <c r="V9" s="615"/>
      <c r="W9" s="615"/>
      <c r="X9" s="615"/>
      <c r="AB9" s="119"/>
    </row>
    <row r="10" spans="2:64" ht="16">
      <c r="B10" s="197" t="str">
        <f t="shared" si="1"/>
        <v>Harmony Biosciences Holdings, Inc</v>
      </c>
      <c r="C10" t="s">
        <v>425</v>
      </c>
      <c r="D10" s="613">
        <f t="shared" si="2"/>
        <v>32.39</v>
      </c>
      <c r="E10" s="638">
        <f t="shared" si="2"/>
        <v>57.5</v>
      </c>
      <c r="F10" s="638">
        <f t="shared" si="2"/>
        <v>1862.425</v>
      </c>
      <c r="G10" s="638">
        <f t="shared" si="2"/>
        <v>2.2599999999999998</v>
      </c>
      <c r="H10" s="639">
        <f t="shared" si="2"/>
        <v>0.19600000000000001</v>
      </c>
      <c r="I10" s="638">
        <f t="shared" si="2"/>
        <v>-773.1</v>
      </c>
      <c r="J10" s="638">
        <f t="shared" si="2"/>
        <v>173.4</v>
      </c>
      <c r="K10" s="638">
        <f t="shared" si="2"/>
        <v>0</v>
      </c>
      <c r="L10" s="638">
        <f t="shared" si="2"/>
        <v>0</v>
      </c>
      <c r="M10" s="638">
        <f t="shared" si="2"/>
        <v>1262.7249999999999</v>
      </c>
      <c r="N10" s="638">
        <f t="shared" si="3"/>
        <v>839</v>
      </c>
      <c r="O10" s="638">
        <f t="shared" si="3"/>
        <v>985</v>
      </c>
      <c r="P10" s="638">
        <f t="shared" si="3"/>
        <v>1133</v>
      </c>
      <c r="Q10" s="638">
        <f t="shared" si="3"/>
        <v>281.40154361040902</v>
      </c>
      <c r="R10" s="638">
        <f t="shared" si="3"/>
        <v>441</v>
      </c>
      <c r="S10" s="638">
        <f t="shared" si="3"/>
        <v>501</v>
      </c>
      <c r="T10" s="638">
        <f t="shared" si="3"/>
        <v>566</v>
      </c>
      <c r="U10" s="614">
        <f t="shared" si="3"/>
        <v>0.17401668653158531</v>
      </c>
      <c r="V10" s="615"/>
      <c r="W10" s="615"/>
      <c r="X10" s="615"/>
      <c r="AB10" s="119"/>
    </row>
    <row r="11" spans="2:64" ht="16">
      <c r="B11" s="197" t="str">
        <f t="shared" si="1"/>
        <v>Supernus Pharmaceuticals, Inc</v>
      </c>
      <c r="C11" t="s">
        <v>426</v>
      </c>
      <c r="D11" s="613">
        <f t="shared" si="2"/>
        <v>45.46</v>
      </c>
      <c r="E11" s="638">
        <f t="shared" si="2"/>
        <v>56.1</v>
      </c>
      <c r="F11" s="638">
        <f t="shared" si="2"/>
        <v>2550.306</v>
      </c>
      <c r="G11" s="638">
        <f t="shared" si="2"/>
        <v>0.94</v>
      </c>
      <c r="H11" s="639">
        <f t="shared" si="2"/>
        <v>0.215</v>
      </c>
      <c r="I11" s="638">
        <f t="shared" si="2"/>
        <v>-522.6</v>
      </c>
      <c r="J11" s="638">
        <f t="shared" si="2"/>
        <v>31.8</v>
      </c>
      <c r="K11" s="638">
        <f t="shared" si="2"/>
        <v>0</v>
      </c>
      <c r="L11" s="638">
        <f t="shared" si="2"/>
        <v>0</v>
      </c>
      <c r="M11" s="638">
        <f t="shared" si="2"/>
        <v>2059.5059999999999</v>
      </c>
      <c r="N11" s="638">
        <f t="shared" si="3"/>
        <v>692</v>
      </c>
      <c r="O11" s="638">
        <f t="shared" si="3"/>
        <v>832</v>
      </c>
      <c r="P11" s="638">
        <f t="shared" si="3"/>
        <v>976</v>
      </c>
      <c r="Q11" s="638">
        <f t="shared" si="3"/>
        <v>163.47165014357384</v>
      </c>
      <c r="R11" s="638">
        <f t="shared" si="3"/>
        <v>116</v>
      </c>
      <c r="S11" s="638">
        <f t="shared" si="3"/>
        <v>129</v>
      </c>
      <c r="T11" s="638">
        <f t="shared" si="3"/>
        <v>132</v>
      </c>
      <c r="U11" s="614">
        <f t="shared" si="3"/>
        <v>0.20231213872832376</v>
      </c>
      <c r="V11" s="615"/>
      <c r="W11" s="615"/>
      <c r="X11" s="615"/>
      <c r="AB11" s="119"/>
    </row>
    <row r="12" spans="2:64" ht="16">
      <c r="B12" s="197" t="str">
        <f t="shared" si="1"/>
        <v>Catalyst Pharmaceuticals, Inc</v>
      </c>
      <c r="C12" t="s">
        <v>221</v>
      </c>
      <c r="D12" s="613">
        <f t="shared" si="2"/>
        <v>19.97</v>
      </c>
      <c r="E12" s="638">
        <f t="shared" si="2"/>
        <v>122.4</v>
      </c>
      <c r="F12" s="638">
        <f t="shared" si="2"/>
        <v>2444.328</v>
      </c>
      <c r="G12" s="638">
        <f t="shared" si="2"/>
        <v>0.75</v>
      </c>
      <c r="H12" s="639">
        <f t="shared" si="2"/>
        <v>0.23300000000000001</v>
      </c>
      <c r="I12" s="638">
        <f t="shared" si="2"/>
        <v>-652.79999999999995</v>
      </c>
      <c r="J12" s="638">
        <f t="shared" si="2"/>
        <v>3</v>
      </c>
      <c r="K12" s="638">
        <f t="shared" si="2"/>
        <v>0</v>
      </c>
      <c r="L12" s="638">
        <f t="shared" si="2"/>
        <v>0</v>
      </c>
      <c r="M12" s="638">
        <f t="shared" si="2"/>
        <v>1794.528</v>
      </c>
      <c r="N12" s="638">
        <f t="shared" si="3"/>
        <v>562</v>
      </c>
      <c r="O12" s="638">
        <f t="shared" si="3"/>
        <v>608</v>
      </c>
      <c r="P12" s="638">
        <f t="shared" si="3"/>
        <v>674</v>
      </c>
      <c r="Q12" s="638">
        <f t="shared" si="3"/>
        <v>102.19659165086786</v>
      </c>
      <c r="R12" s="638">
        <f t="shared" si="3"/>
        <v>18</v>
      </c>
      <c r="S12" s="638">
        <f t="shared" si="3"/>
        <v>19</v>
      </c>
      <c r="T12" s="638">
        <f t="shared" si="3"/>
        <v>21</v>
      </c>
      <c r="U12" s="614">
        <f t="shared" si="3"/>
        <v>8.1850533807829251E-2</v>
      </c>
      <c r="V12" s="615"/>
      <c r="W12" s="615"/>
      <c r="X12" s="615"/>
      <c r="AA12" s="119"/>
      <c r="AB12" s="119"/>
    </row>
    <row r="13" spans="2:64" ht="16">
      <c r="B13" s="197" t="str">
        <f t="shared" si="1"/>
        <v>Axsome Therapeutics, Inc</v>
      </c>
      <c r="C13" t="s">
        <v>427</v>
      </c>
      <c r="D13" s="613">
        <f t="shared" si="2"/>
        <v>118.42</v>
      </c>
      <c r="E13" s="638">
        <f t="shared" si="2"/>
        <v>49.9</v>
      </c>
      <c r="F13" s="638">
        <f t="shared" si="2"/>
        <v>5909.1580000000004</v>
      </c>
      <c r="G13" s="638">
        <f t="shared" si="2"/>
        <v>0.4</v>
      </c>
      <c r="H13" s="639" t="str">
        <f t="shared" si="2"/>
        <v>N/A</v>
      </c>
      <c r="I13" s="638">
        <f t="shared" si="2"/>
        <v>-22.7</v>
      </c>
      <c r="J13" s="638">
        <f t="shared" si="2"/>
        <v>19.399999999999999</v>
      </c>
      <c r="K13" s="638">
        <f t="shared" si="2"/>
        <v>0</v>
      </c>
      <c r="L13" s="638">
        <f t="shared" si="2"/>
        <v>0</v>
      </c>
      <c r="M13" s="638">
        <f t="shared" si="2"/>
        <v>5905.8580000000002</v>
      </c>
      <c r="N13" s="638">
        <f t="shared" si="3"/>
        <v>621</v>
      </c>
      <c r="O13" s="638">
        <f t="shared" si="3"/>
        <v>966</v>
      </c>
      <c r="P13" s="638">
        <f t="shared" si="3"/>
        <v>1547</v>
      </c>
      <c r="Q13" s="638">
        <f t="shared" si="3"/>
        <v>471.86698623417414</v>
      </c>
      <c r="R13" s="638">
        <f t="shared" si="3"/>
        <v>202</v>
      </c>
      <c r="S13" s="638">
        <f t="shared" si="3"/>
        <v>222</v>
      </c>
      <c r="T13" s="638">
        <f t="shared" si="3"/>
        <v>227</v>
      </c>
      <c r="U13" s="614">
        <f t="shared" si="3"/>
        <v>0.55555555555555558</v>
      </c>
      <c r="V13" s="615"/>
      <c r="W13" s="615"/>
      <c r="X13" s="615"/>
      <c r="AB13" s="119"/>
    </row>
    <row r="14" spans="2:64" ht="16">
      <c r="B14" s="616" t="str">
        <f t="shared" si="1"/>
        <v>ACADIA Pharmaceuticals, Inc</v>
      </c>
      <c r="C14" s="617" t="s">
        <v>428</v>
      </c>
      <c r="D14" s="618">
        <f t="shared" si="2"/>
        <v>23.61</v>
      </c>
      <c r="E14" s="640">
        <f t="shared" si="2"/>
        <v>168.7</v>
      </c>
      <c r="F14" s="640">
        <f t="shared" si="2"/>
        <v>3983.0069999999996</v>
      </c>
      <c r="G14" s="640">
        <f t="shared" si="2"/>
        <v>1.54</v>
      </c>
      <c r="H14" s="641">
        <f t="shared" si="2"/>
        <v>0.17100000000000001</v>
      </c>
      <c r="I14" s="640">
        <f t="shared" si="2"/>
        <v>-84.2</v>
      </c>
      <c r="J14" s="640">
        <f t="shared" si="2"/>
        <v>24</v>
      </c>
      <c r="K14" s="640">
        <f t="shared" si="2"/>
        <v>0</v>
      </c>
      <c r="L14" s="640">
        <f t="shared" si="2"/>
        <v>0</v>
      </c>
      <c r="M14" s="640">
        <f t="shared" si="2"/>
        <v>3922.8069999999998</v>
      </c>
      <c r="N14" s="640">
        <f t="shared" si="3"/>
        <v>1071</v>
      </c>
      <c r="O14" s="640">
        <f t="shared" si="3"/>
        <v>1198</v>
      </c>
      <c r="P14" s="640">
        <f t="shared" si="3"/>
        <v>1355</v>
      </c>
      <c r="Q14" s="640">
        <f t="shared" si="3"/>
        <v>59.744552967693451</v>
      </c>
      <c r="R14" s="640">
        <f t="shared" si="3"/>
        <v>87</v>
      </c>
      <c r="S14" s="640">
        <f t="shared" si="3"/>
        <v>93</v>
      </c>
      <c r="T14" s="640">
        <f t="shared" si="3"/>
        <v>92</v>
      </c>
      <c r="U14" s="619">
        <f t="shared" si="3"/>
        <v>0.11858076563958919</v>
      </c>
      <c r="V14" s="615"/>
      <c r="W14" s="615"/>
      <c r="X14" s="615"/>
      <c r="AB14" s="119"/>
    </row>
    <row r="15" spans="2:64" ht="16">
      <c r="B15" s="269" t="s">
        <v>215</v>
      </c>
      <c r="C15" s="270"/>
      <c r="D15" s="271">
        <f>MAX(D9:D13)</f>
        <v>126.16</v>
      </c>
      <c r="E15" s="271"/>
      <c r="F15" s="272">
        <f>MAX(F9:F13)</f>
        <v>7657.9120000000003</v>
      </c>
      <c r="G15" s="272"/>
      <c r="H15" s="272"/>
      <c r="I15" s="272"/>
      <c r="J15" s="272"/>
      <c r="K15" s="272"/>
      <c r="L15" s="272"/>
      <c r="M15" s="272">
        <f>MAX(M9:M13)</f>
        <v>11421.112000000001</v>
      </c>
      <c r="N15" s="272">
        <f>MAX(N9:N13)</f>
        <v>4217</v>
      </c>
      <c r="O15" s="272">
        <f>MAX(O9:O13)</f>
        <v>4476</v>
      </c>
      <c r="P15" s="272">
        <f>MAX(P9:P13)</f>
        <v>4620</v>
      </c>
      <c r="Q15" s="272">
        <f t="shared" ref="Q15:R15" si="4">MAX(Q9:Q13)</f>
        <v>471.86698623417414</v>
      </c>
      <c r="R15" s="272">
        <f t="shared" si="4"/>
        <v>760</v>
      </c>
      <c r="S15" s="272">
        <f>MAX(S9:S13)</f>
        <v>831</v>
      </c>
      <c r="T15" s="272">
        <f t="shared" ref="T15:U15" si="5">MAX(T9:T13)</f>
        <v>878</v>
      </c>
      <c r="U15" s="273">
        <f t="shared" si="5"/>
        <v>0.55555555555555558</v>
      </c>
      <c r="V15" s="268"/>
      <c r="W15" s="268"/>
      <c r="X15" s="268"/>
      <c r="AB15" s="119"/>
    </row>
    <row r="16" spans="2:64" ht="16">
      <c r="B16" s="274" t="s">
        <v>216</v>
      </c>
      <c r="C16" s="12"/>
      <c r="D16" s="275">
        <f>QUARTILE(D9:D13,3)</f>
        <v>118.42</v>
      </c>
      <c r="E16" s="275"/>
      <c r="F16" s="276">
        <f>QUARTILE(F9:F13,3)</f>
        <v>5909.1580000000004</v>
      </c>
      <c r="G16" s="276"/>
      <c r="H16" s="276"/>
      <c r="I16" s="276"/>
      <c r="J16" s="276"/>
      <c r="K16" s="276"/>
      <c r="L16" s="276"/>
      <c r="M16" s="276">
        <f>QUARTILE(M9:M13,3)</f>
        <v>5905.8580000000002</v>
      </c>
      <c r="N16" s="276">
        <f>QUARTILE(N9:N13,3)</f>
        <v>839</v>
      </c>
      <c r="O16" s="276">
        <f>QUARTILE(O9:O13,3)</f>
        <v>985</v>
      </c>
      <c r="P16" s="276">
        <f>QUARTILE(P9:P13,3)</f>
        <v>1547</v>
      </c>
      <c r="Q16" s="276">
        <f t="shared" ref="Q16:R16" si="6">QUARTILE(Q9:Q13,3)</f>
        <v>468.18181818181813</v>
      </c>
      <c r="R16" s="276">
        <f t="shared" si="6"/>
        <v>441</v>
      </c>
      <c r="S16" s="276">
        <f>QUARTILE(S9:S13,3)</f>
        <v>501</v>
      </c>
      <c r="T16" s="276">
        <f t="shared" ref="T16:U16" si="7">QUARTILE(T9:T13,3)</f>
        <v>566</v>
      </c>
      <c r="U16" s="277">
        <f t="shared" si="7"/>
        <v>0.20231213872832376</v>
      </c>
      <c r="V16" s="268"/>
      <c r="W16" s="268"/>
      <c r="X16" s="268"/>
      <c r="AA16" s="119"/>
      <c r="AB16" s="119"/>
    </row>
    <row r="17" spans="1:30" ht="16">
      <c r="B17" s="278" t="s">
        <v>217</v>
      </c>
      <c r="C17" s="279"/>
      <c r="D17" s="280">
        <f>MEDIAN(D9:D13)</f>
        <v>45.46</v>
      </c>
      <c r="E17" s="280"/>
      <c r="F17" s="281">
        <f>MEDIAN(F9:F13)</f>
        <v>2550.306</v>
      </c>
      <c r="G17" s="281"/>
      <c r="H17" s="281"/>
      <c r="I17" s="282"/>
      <c r="J17" s="282"/>
      <c r="K17" s="282"/>
      <c r="L17" s="282"/>
      <c r="M17" s="281">
        <f>MEDIAN(M9:M13)</f>
        <v>2059.5059999999999</v>
      </c>
      <c r="N17" s="281">
        <f>MEDIAN(N9:N13)</f>
        <v>692</v>
      </c>
      <c r="O17" s="281">
        <f>MEDIAN(O9:O13)</f>
        <v>966</v>
      </c>
      <c r="P17" s="281">
        <f>MEDIAN(P9:P13)</f>
        <v>1133</v>
      </c>
      <c r="Q17" s="281">
        <f t="shared" ref="Q17:R17" si="8">MEDIAN(Q9:Q13)</f>
        <v>281.40154361040902</v>
      </c>
      <c r="R17" s="281">
        <f t="shared" si="8"/>
        <v>202</v>
      </c>
      <c r="S17" s="281">
        <f>MEDIAN(S9:S13)</f>
        <v>222</v>
      </c>
      <c r="T17" s="281">
        <f t="shared" ref="T17:U17" si="9">MEDIAN(T9:T13)</f>
        <v>227</v>
      </c>
      <c r="U17" s="283">
        <f t="shared" si="9"/>
        <v>0.17401668653158531</v>
      </c>
      <c r="V17" s="620"/>
      <c r="W17" s="620"/>
      <c r="X17" s="620"/>
      <c r="AA17" s="119"/>
      <c r="AB17" s="119"/>
    </row>
    <row r="18" spans="1:30" ht="16">
      <c r="B18" s="274" t="s">
        <v>218</v>
      </c>
      <c r="C18" s="94"/>
      <c r="D18" s="275">
        <f>QUARTILE(D9:D13,1)</f>
        <v>32.39</v>
      </c>
      <c r="E18" s="275"/>
      <c r="F18" s="276">
        <f>QUARTILE(F9:F13,1)</f>
        <v>2444.328</v>
      </c>
      <c r="G18" s="276"/>
      <c r="H18" s="276"/>
      <c r="I18" s="276"/>
      <c r="J18" s="276"/>
      <c r="K18" s="276"/>
      <c r="L18" s="276"/>
      <c r="M18" s="276">
        <f>QUARTILE(M9:M13,1)</f>
        <v>1794.528</v>
      </c>
      <c r="N18" s="276">
        <f>QUARTILE(N9:N13,1)</f>
        <v>621</v>
      </c>
      <c r="O18" s="276">
        <f>QUARTILE(O9:O13,1)</f>
        <v>832</v>
      </c>
      <c r="P18" s="276">
        <f>QUARTILE(P9:P13,1)</f>
        <v>976</v>
      </c>
      <c r="Q18" s="276">
        <f t="shared" ref="Q18:R18" si="10">QUARTILE(Q9:Q13,1)</f>
        <v>163.47165014357384</v>
      </c>
      <c r="R18" s="276">
        <f t="shared" si="10"/>
        <v>116</v>
      </c>
      <c r="S18" s="276">
        <f>QUARTILE(S9:S13,1)</f>
        <v>129</v>
      </c>
      <c r="T18" s="276">
        <f t="shared" ref="T18:U18" si="11">QUARTILE(T9:T13,1)</f>
        <v>132</v>
      </c>
      <c r="U18" s="277">
        <f t="shared" si="11"/>
        <v>8.1850533807829251E-2</v>
      </c>
      <c r="V18" s="268"/>
      <c r="W18" s="268"/>
      <c r="X18" s="268"/>
      <c r="AA18" s="119"/>
      <c r="AB18" s="119"/>
    </row>
    <row r="19" spans="1:30" ht="16">
      <c r="B19" s="284" t="s">
        <v>219</v>
      </c>
      <c r="C19" s="285"/>
      <c r="D19" s="286">
        <f>MIN(D9:D13)</f>
        <v>19.97</v>
      </c>
      <c r="E19" s="286"/>
      <c r="F19" s="287">
        <f>MIN(F9:F13)</f>
        <v>1862.425</v>
      </c>
      <c r="G19" s="287"/>
      <c r="H19" s="287"/>
      <c r="I19" s="287"/>
      <c r="J19" s="287"/>
      <c r="K19" s="287"/>
      <c r="L19" s="287"/>
      <c r="M19" s="287">
        <f>MIN(M9:M13)</f>
        <v>1262.7249999999999</v>
      </c>
      <c r="N19" s="287">
        <f>MIN(N9:N13)</f>
        <v>562</v>
      </c>
      <c r="O19" s="287">
        <f>MIN(O9:O13)</f>
        <v>608</v>
      </c>
      <c r="P19" s="287">
        <f>MIN(P9:P13)</f>
        <v>674</v>
      </c>
      <c r="Q19" s="287">
        <f t="shared" ref="Q19:R19" si="12">MIN(Q9:Q13)</f>
        <v>102.19659165086786</v>
      </c>
      <c r="R19" s="287">
        <f t="shared" si="12"/>
        <v>18</v>
      </c>
      <c r="S19" s="287">
        <f>MIN(S9:S13)</f>
        <v>19</v>
      </c>
      <c r="T19" s="287">
        <f t="shared" ref="T19:U19" si="13">MIN(T9:T13)</f>
        <v>21</v>
      </c>
      <c r="U19" s="288">
        <f t="shared" si="13"/>
        <v>6.1418069717808832E-2</v>
      </c>
      <c r="V19" s="268"/>
      <c r="W19" s="268"/>
      <c r="X19" s="268"/>
      <c r="AA19" s="119"/>
      <c r="AB19" s="119"/>
    </row>
    <row r="20" spans="1:30" ht="16">
      <c r="B20" s="12"/>
      <c r="C20" s="12"/>
      <c r="D20" s="12"/>
      <c r="E20" s="12"/>
      <c r="F20" s="12"/>
      <c r="G20" s="12"/>
      <c r="H20" s="12"/>
      <c r="I20" s="12"/>
      <c r="J20" s="12"/>
      <c r="K20" s="12"/>
      <c r="L20" s="12"/>
      <c r="M20" s="12"/>
      <c r="N20" s="12"/>
      <c r="O20" s="12"/>
      <c r="P20" s="12"/>
      <c r="Q20" s="12"/>
      <c r="R20" s="12"/>
      <c r="S20" s="12"/>
      <c r="T20" s="12"/>
      <c r="U20" s="12"/>
      <c r="V20" s="12"/>
      <c r="W20" s="12"/>
      <c r="X20" s="12"/>
      <c r="AA20" s="119"/>
      <c r="AB20" s="119"/>
    </row>
    <row r="21" spans="1:30" ht="16">
      <c r="A21" s="289"/>
      <c r="B21" s="290" t="str">
        <f t="shared" ref="B21:L21" si="14">INDEX(Pub_Comps_Range,MATCH(B$5,Pub_Comps_Params,0),MATCH($C21,Pub_Comps_Tickers,0))</f>
        <v>Avadel Pharmaceuticals, PLC</v>
      </c>
      <c r="C21" s="291" t="str">
        <f>Ticker</f>
        <v>AVDL</v>
      </c>
      <c r="D21" s="292">
        <f>Share_Price</f>
        <v>15.4</v>
      </c>
      <c r="E21" s="621">
        <f t="shared" si="14"/>
        <v>96.42</v>
      </c>
      <c r="F21" s="293">
        <f t="shared" si="14"/>
        <v>1484.8680000000002</v>
      </c>
      <c r="G21" s="294">
        <f t="shared" si="14"/>
        <v>0.71903277636962626</v>
      </c>
      <c r="H21" s="295">
        <f t="shared" si="14"/>
        <v>0.12</v>
      </c>
      <c r="I21" s="293">
        <f t="shared" si="14"/>
        <v>-51.371000000000002</v>
      </c>
      <c r="J21" s="293">
        <f t="shared" si="14"/>
        <v>0</v>
      </c>
      <c r="K21" s="293">
        <f t="shared" si="14"/>
        <v>0</v>
      </c>
      <c r="L21" s="293">
        <f t="shared" si="14"/>
        <v>0</v>
      </c>
      <c r="M21" s="293">
        <f t="shared" ref="M21:U21" si="15">INDEX(Pub_Comps_Range,MATCH(M$5,Pub_Comps_Params,0),MATCH($C21,Pub_Comps_Tickers,0))</f>
        <v>1433.4970000000001</v>
      </c>
      <c r="N21" s="293">
        <f t="shared" si="15"/>
        <v>343.43999999999994</v>
      </c>
      <c r="O21" s="293">
        <f t="shared" si="15"/>
        <v>467.07840000000004</v>
      </c>
      <c r="P21" s="293">
        <f t="shared" si="15"/>
        <v>665.59781540194535</v>
      </c>
      <c r="Q21" s="293">
        <f t="shared" si="15"/>
        <v>207.07066342692798</v>
      </c>
      <c r="R21" s="293">
        <f t="shared" si="15"/>
        <v>5.2889759999999999</v>
      </c>
      <c r="S21" s="293">
        <f t="shared" si="15"/>
        <v>5.4648172800000001</v>
      </c>
      <c r="T21" s="293">
        <f t="shared" si="15"/>
        <v>5.3247825232155641</v>
      </c>
      <c r="U21" s="295">
        <f t="shared" si="15"/>
        <v>0.36000000000000032</v>
      </c>
      <c r="V21" s="622"/>
      <c r="W21" s="622"/>
      <c r="X21" s="622"/>
      <c r="AB21" s="119"/>
    </row>
    <row r="22" spans="1:30" ht="16">
      <c r="B22" s="296"/>
      <c r="C22" s="296"/>
      <c r="D22" s="297"/>
      <c r="E22" s="298"/>
      <c r="F22" s="299"/>
      <c r="G22" s="300"/>
      <c r="H22" s="301"/>
      <c r="I22" s="299"/>
      <c r="J22" s="299"/>
      <c r="K22" s="299"/>
      <c r="L22" s="299"/>
      <c r="M22" s="299"/>
      <c r="N22" s="299"/>
      <c r="O22" s="299"/>
      <c r="P22" s="299"/>
      <c r="Q22" s="299"/>
      <c r="R22" s="299"/>
      <c r="S22" s="299"/>
      <c r="T22" s="299"/>
      <c r="U22" s="302"/>
      <c r="V22" s="302"/>
      <c r="W22" s="302"/>
      <c r="X22" s="302"/>
      <c r="AB22" s="119"/>
    </row>
    <row r="23" spans="1:30" ht="16">
      <c r="B23" s="197" t="s">
        <v>3</v>
      </c>
      <c r="C23" s="254" t="s">
        <v>6</v>
      </c>
      <c r="D23" s="255" t="s">
        <v>153</v>
      </c>
      <c r="F23" s="255" t="s">
        <v>167</v>
      </c>
      <c r="M23" s="255" t="s">
        <v>168</v>
      </c>
      <c r="N23" s="119" t="str">
        <f>PubComps_Data!C88</f>
        <v>12/31/2025 Forward EV/Rev</v>
      </c>
      <c r="O23" s="119" t="str">
        <f>PubComps_Data!C92</f>
        <v>2026-12-31 Forward EV/Rev</v>
      </c>
      <c r="P23" s="119" t="str">
        <f>PubComps_Data!C96</f>
        <v>2027-12-31 Forward EV/Rev</v>
      </c>
      <c r="Q23" s="119" t="str">
        <f>PubComps_Data!C86</f>
        <v>12/31/2025 Peak Sales EV/rNPV</v>
      </c>
      <c r="R23" s="119" t="str">
        <f>PubComps_Data!C87</f>
        <v>12/31/2025 EV/R&amp;D</v>
      </c>
      <c r="S23" s="119" t="str">
        <f>PubComps_Data!C91</f>
        <v>2026-12-31 EV/R&amp;D</v>
      </c>
      <c r="T23" s="119" t="str">
        <f>PubComps_Data!C95</f>
        <v>2027-12-31 EV/R&amp;D</v>
      </c>
      <c r="U23" s="12"/>
      <c r="V23" s="12"/>
      <c r="W23" s="12"/>
      <c r="X23" s="12"/>
      <c r="AB23" s="119"/>
    </row>
    <row r="24" spans="1:30" ht="16">
      <c r="B24" s="258" t="s">
        <v>244</v>
      </c>
      <c r="C24" s="258"/>
      <c r="D24" s="258"/>
      <c r="E24" s="258"/>
      <c r="F24" s="259" t="s">
        <v>225</v>
      </c>
      <c r="G24" s="259"/>
      <c r="H24" s="259"/>
      <c r="I24" s="259"/>
      <c r="J24" s="259"/>
      <c r="K24" s="259"/>
      <c r="L24" s="259"/>
      <c r="M24" s="260"/>
      <c r="N24" s="260"/>
      <c r="O24" s="607" t="s">
        <v>463</v>
      </c>
      <c r="P24" s="607"/>
      <c r="Q24" s="607" t="s">
        <v>444</v>
      </c>
      <c r="R24" s="642"/>
      <c r="S24" s="259" t="s">
        <v>463</v>
      </c>
      <c r="T24" s="261"/>
      <c r="U24" s="12"/>
      <c r="V24" s="12"/>
      <c r="W24" s="12"/>
      <c r="X24" s="12"/>
      <c r="AA24" s="119"/>
      <c r="AB24" s="119"/>
    </row>
    <row r="25" spans="1:30" ht="16">
      <c r="B25" s="261"/>
      <c r="C25" s="261"/>
      <c r="D25" s="262"/>
      <c r="E25" s="262"/>
      <c r="F25" s="262" t="s">
        <v>229</v>
      </c>
      <c r="G25" s="262"/>
      <c r="H25" s="262"/>
      <c r="I25" s="262"/>
      <c r="J25" s="262"/>
      <c r="K25" s="262"/>
      <c r="L25" s="262"/>
      <c r="M25" s="262" t="s">
        <v>203</v>
      </c>
      <c r="N25" s="260"/>
      <c r="O25" s="607" t="s">
        <v>212</v>
      </c>
      <c r="P25" s="259"/>
      <c r="Q25" s="607" t="s">
        <v>377</v>
      </c>
      <c r="R25" s="263"/>
      <c r="S25" s="607" t="s">
        <v>180</v>
      </c>
      <c r="T25" s="259"/>
      <c r="U25" s="303"/>
      <c r="V25" s="304"/>
      <c r="W25" s="304"/>
      <c r="X25" s="304"/>
      <c r="Y25" s="304"/>
      <c r="Z25" s="304"/>
      <c r="AB25" s="119"/>
      <c r="AC25" s="304"/>
      <c r="AD25" s="304"/>
    </row>
    <row r="26" spans="1:30" ht="16">
      <c r="B26" s="264" t="s">
        <v>233</v>
      </c>
      <c r="C26" s="264" t="s">
        <v>234</v>
      </c>
      <c r="D26" s="264" t="s">
        <v>314</v>
      </c>
      <c r="E26" s="265"/>
      <c r="F26" s="265" t="s">
        <v>211</v>
      </c>
      <c r="G26" s="265"/>
      <c r="H26" s="265"/>
      <c r="I26" s="265"/>
      <c r="J26" s="265"/>
      <c r="K26" s="265"/>
      <c r="L26" s="265"/>
      <c r="M26" s="265" t="s">
        <v>211</v>
      </c>
      <c r="N26" s="611">
        <f>N8</f>
        <v>46022</v>
      </c>
      <c r="O26" s="611">
        <f t="shared" ref="O26:P26" si="16">O8</f>
        <v>46387</v>
      </c>
      <c r="P26" s="611">
        <f t="shared" si="16"/>
        <v>46752</v>
      </c>
      <c r="Q26" s="611"/>
      <c r="R26" s="611">
        <f>N26</f>
        <v>46022</v>
      </c>
      <c r="S26" s="611">
        <f t="shared" ref="S26:T26" si="17">O26</f>
        <v>46387</v>
      </c>
      <c r="T26" s="611">
        <f t="shared" si="17"/>
        <v>46752</v>
      </c>
      <c r="U26" s="306"/>
      <c r="V26" s="304"/>
      <c r="W26" s="304"/>
      <c r="X26" s="304"/>
      <c r="Y26" s="304"/>
      <c r="Z26" s="304"/>
      <c r="AB26" s="119"/>
      <c r="AC26" s="304"/>
      <c r="AD26" s="304"/>
    </row>
    <row r="27" spans="1:30" ht="16">
      <c r="B27" s="197" t="str">
        <f t="shared" ref="B27:B32" si="18">INDEX(Pub_Comps_Range,MATCH(B$23,Pub_Comps_Params,0),MATCH($C27,Pub_Comps_Tickers,0))</f>
        <v>Jazz Pharmaceuticals, PLC</v>
      </c>
      <c r="C27" t="s">
        <v>193</v>
      </c>
      <c r="D27" s="271">
        <f t="shared" ref="D27:D32" si="19">INDEX(Pub_Comps_Range,MATCH(D$23,Pub_Comps_Params,0),MATCH($C27,Pub_Comps_Tickers,0))</f>
        <v>126.16</v>
      </c>
      <c r="E27" s="197"/>
      <c r="F27" s="267">
        <f t="shared" ref="F27:F32" si="20">INDEX(Pub_Comps_Range,MATCH(F$23,Pub_Comps_Params,0),MATCH($C27,Pub_Comps_Tickers,0))</f>
        <v>7657.9120000000003</v>
      </c>
      <c r="G27" s="267"/>
      <c r="H27" s="267"/>
      <c r="I27" s="267"/>
      <c r="J27" s="267"/>
      <c r="K27" s="267"/>
      <c r="L27" s="267"/>
      <c r="M27" s="267">
        <f t="shared" ref="M27:T32" si="21">INDEX(Pub_Comps_Range,MATCH(M$23,Pub_Comps_Params,0),MATCH($C27,Pub_Comps_Tickers,0))</f>
        <v>11421.112000000001</v>
      </c>
      <c r="N27" s="623">
        <f t="shared" si="21"/>
        <v>2.7083500118567705</v>
      </c>
      <c r="O27" s="623">
        <f t="shared" si="21"/>
        <v>2.5516336014298484</v>
      </c>
      <c r="P27" s="623">
        <f t="shared" si="21"/>
        <v>2.4721021645021648</v>
      </c>
      <c r="Q27" s="623">
        <f t="shared" si="21"/>
        <v>24.39460815533981</v>
      </c>
      <c r="R27" s="623">
        <f t="shared" si="21"/>
        <v>15.027778947368422</v>
      </c>
      <c r="S27" s="623">
        <f t="shared" si="21"/>
        <v>13.74381708784597</v>
      </c>
      <c r="T27" s="623">
        <f t="shared" si="21"/>
        <v>13.008100227790434</v>
      </c>
      <c r="U27" s="12"/>
      <c r="V27" s="304"/>
      <c r="W27" s="304"/>
      <c r="X27" s="304"/>
      <c r="Y27" s="304"/>
      <c r="Z27" s="304"/>
      <c r="AB27" s="119"/>
      <c r="AC27" s="304"/>
      <c r="AD27" s="304"/>
    </row>
    <row r="28" spans="1:30" ht="16">
      <c r="B28" s="197" t="str">
        <f t="shared" si="18"/>
        <v>Harmony Biosciences Holdings, Inc</v>
      </c>
      <c r="C28" t="s">
        <v>425</v>
      </c>
      <c r="D28" s="197">
        <f t="shared" si="19"/>
        <v>32.39</v>
      </c>
      <c r="E28" s="197"/>
      <c r="F28" s="267">
        <f t="shared" si="20"/>
        <v>1862.425</v>
      </c>
      <c r="G28" s="267"/>
      <c r="H28" s="267"/>
      <c r="I28" s="267"/>
      <c r="J28" s="267"/>
      <c r="K28" s="267"/>
      <c r="L28" s="267"/>
      <c r="M28" s="267">
        <f t="shared" si="21"/>
        <v>1262.7249999999999</v>
      </c>
      <c r="N28" s="623">
        <f t="shared" si="21"/>
        <v>1.5050357568533967</v>
      </c>
      <c r="O28" s="623">
        <f t="shared" si="21"/>
        <v>1.2819543147208121</v>
      </c>
      <c r="P28" s="623">
        <f t="shared" si="21"/>
        <v>1.114496910856134</v>
      </c>
      <c r="Q28" s="623">
        <f t="shared" si="21"/>
        <v>4.4872710497572825</v>
      </c>
      <c r="R28" s="623">
        <f t="shared" si="21"/>
        <v>2.8633219954648523</v>
      </c>
      <c r="S28" s="623">
        <f t="shared" si="21"/>
        <v>2.5204091816367264</v>
      </c>
      <c r="T28" s="623">
        <f t="shared" si="21"/>
        <v>2.2309628975265015</v>
      </c>
      <c r="U28" s="12"/>
      <c r="V28" s="193"/>
      <c r="W28" s="12"/>
      <c r="X28" s="12"/>
      <c r="AA28" s="119"/>
      <c r="AB28" s="119"/>
    </row>
    <row r="29" spans="1:30" ht="16">
      <c r="B29" s="197" t="str">
        <f t="shared" si="18"/>
        <v>Supernus Pharmaceuticals, Inc</v>
      </c>
      <c r="C29" t="s">
        <v>426</v>
      </c>
      <c r="D29" s="197">
        <f t="shared" si="19"/>
        <v>45.46</v>
      </c>
      <c r="E29" s="197"/>
      <c r="F29" s="267">
        <f t="shared" si="20"/>
        <v>2550.306</v>
      </c>
      <c r="G29" s="267"/>
      <c r="H29" s="267"/>
      <c r="I29" s="267"/>
      <c r="J29" s="267"/>
      <c r="K29" s="267"/>
      <c r="L29" s="267"/>
      <c r="M29" s="267">
        <f t="shared" si="21"/>
        <v>2059.5059999999999</v>
      </c>
      <c r="N29" s="623">
        <f t="shared" si="21"/>
        <v>2.9761647398843927</v>
      </c>
      <c r="O29" s="623">
        <f t="shared" si="21"/>
        <v>2.4753677884615382</v>
      </c>
      <c r="P29" s="623">
        <f t="shared" si="21"/>
        <v>2.1101495901639344</v>
      </c>
      <c r="Q29" s="623">
        <f t="shared" si="21"/>
        <v>12.598551480890892</v>
      </c>
      <c r="R29" s="623">
        <f t="shared" si="21"/>
        <v>17.754362068965516</v>
      </c>
      <c r="S29" s="623">
        <f t="shared" si="21"/>
        <v>15.965162790697674</v>
      </c>
      <c r="T29" s="623">
        <f t="shared" si="21"/>
        <v>15.60231818181818</v>
      </c>
      <c r="U29" s="12"/>
      <c r="V29" s="193"/>
      <c r="W29" s="12"/>
      <c r="X29" s="12"/>
      <c r="AB29" s="119"/>
    </row>
    <row r="30" spans="1:30" ht="16">
      <c r="B30" s="197" t="str">
        <f t="shared" si="18"/>
        <v>Catalyst Pharmaceuticals, Inc</v>
      </c>
      <c r="C30" t="s">
        <v>221</v>
      </c>
      <c r="D30" s="197">
        <f t="shared" si="19"/>
        <v>19.97</v>
      </c>
      <c r="E30" s="197"/>
      <c r="F30" s="267">
        <f t="shared" si="20"/>
        <v>2444.328</v>
      </c>
      <c r="G30" s="267"/>
      <c r="H30" s="267"/>
      <c r="I30" s="267"/>
      <c r="J30" s="267"/>
      <c r="K30" s="267"/>
      <c r="L30" s="267"/>
      <c r="M30" s="267">
        <f t="shared" si="21"/>
        <v>1794.528</v>
      </c>
      <c r="N30" s="623">
        <f t="shared" si="21"/>
        <v>3.1931103202846973</v>
      </c>
      <c r="O30" s="623">
        <f t="shared" si="21"/>
        <v>2.9515263157894736</v>
      </c>
      <c r="P30" s="623">
        <f t="shared" si="21"/>
        <v>2.6625044510385756</v>
      </c>
      <c r="Q30" s="623">
        <f t="shared" si="21"/>
        <v>17.559567995482762</v>
      </c>
      <c r="R30" s="623">
        <f t="shared" si="21"/>
        <v>99.695999999999998</v>
      </c>
      <c r="S30" s="623">
        <f t="shared" si="21"/>
        <v>94.448842105263154</v>
      </c>
      <c r="T30" s="623">
        <f t="shared" si="21"/>
        <v>85.453714285714284</v>
      </c>
      <c r="U30" s="12"/>
      <c r="V30" s="193"/>
      <c r="W30" s="12"/>
      <c r="X30" s="12"/>
      <c r="AB30" s="119"/>
    </row>
    <row r="31" spans="1:30" ht="16">
      <c r="B31" s="197" t="str">
        <f t="shared" si="18"/>
        <v>Axsome Therapeutics, Inc</v>
      </c>
      <c r="C31" t="s">
        <v>427</v>
      </c>
      <c r="D31" s="197">
        <f t="shared" si="19"/>
        <v>118.42</v>
      </c>
      <c r="E31" s="197"/>
      <c r="F31" s="267">
        <f t="shared" si="20"/>
        <v>5909.1580000000004</v>
      </c>
      <c r="G31" s="267"/>
      <c r="H31" s="267"/>
      <c r="I31" s="267"/>
      <c r="J31" s="267"/>
      <c r="K31" s="267"/>
      <c r="L31" s="267"/>
      <c r="M31" s="267">
        <f t="shared" si="21"/>
        <v>5905.8580000000002</v>
      </c>
      <c r="N31" s="623">
        <f t="shared" si="21"/>
        <v>9.5102383252818044</v>
      </c>
      <c r="O31" s="623">
        <f t="shared" si="21"/>
        <v>6.1137246376811598</v>
      </c>
      <c r="P31" s="623">
        <f t="shared" si="21"/>
        <v>3.8176199095022625</v>
      </c>
      <c r="Q31" s="623">
        <f t="shared" si="21"/>
        <v>12.51593811877547</v>
      </c>
      <c r="R31" s="623">
        <f t="shared" si="21"/>
        <v>29.236920792079207</v>
      </c>
      <c r="S31" s="623">
        <f t="shared" si="21"/>
        <v>26.602963963963965</v>
      </c>
      <c r="T31" s="623">
        <f t="shared" si="21"/>
        <v>26.016995594713656</v>
      </c>
      <c r="U31" s="12"/>
      <c r="V31" s="12"/>
      <c r="W31" s="12"/>
      <c r="X31" s="12"/>
      <c r="AB31" s="119"/>
    </row>
    <row r="32" spans="1:30" ht="16">
      <c r="B32" s="197" t="str">
        <f t="shared" si="18"/>
        <v>ACADIA Pharmaceuticals, Inc</v>
      </c>
      <c r="C32" t="s">
        <v>428</v>
      </c>
      <c r="D32" s="197">
        <f t="shared" si="19"/>
        <v>23.61</v>
      </c>
      <c r="E32" s="197"/>
      <c r="F32" s="267">
        <f t="shared" si="20"/>
        <v>3983.0069999999996</v>
      </c>
      <c r="G32" s="267"/>
      <c r="H32" s="267"/>
      <c r="I32" s="267"/>
      <c r="J32" s="267"/>
      <c r="K32" s="267"/>
      <c r="L32" s="267"/>
      <c r="M32" s="267">
        <f t="shared" si="21"/>
        <v>3922.8069999999998</v>
      </c>
      <c r="N32" s="623">
        <f t="shared" si="21"/>
        <v>3.6627516339869279</v>
      </c>
      <c r="O32" s="623">
        <f t="shared" si="21"/>
        <v>3.2744632721202001</v>
      </c>
      <c r="P32" s="623">
        <f t="shared" si="21"/>
        <v>2.8950605166051657</v>
      </c>
      <c r="Q32" s="623">
        <f t="shared" si="21"/>
        <v>65.659659419014091</v>
      </c>
      <c r="R32" s="623">
        <f t="shared" si="21"/>
        <v>45.089735632183903</v>
      </c>
      <c r="S32" s="623">
        <f t="shared" si="21"/>
        <v>42.180720430107527</v>
      </c>
      <c r="T32" s="623">
        <f t="shared" si="21"/>
        <v>42.639206521739126</v>
      </c>
      <c r="U32" s="12"/>
      <c r="V32" s="12"/>
      <c r="W32" s="12"/>
      <c r="X32" s="12"/>
      <c r="AA32" s="119"/>
      <c r="AB32" s="119"/>
    </row>
    <row r="33" spans="2:28" ht="16">
      <c r="B33" s="12"/>
      <c r="C33" s="12"/>
      <c r="D33" s="12"/>
      <c r="E33" s="12"/>
      <c r="F33" s="12"/>
      <c r="G33" s="12"/>
      <c r="H33" s="12"/>
      <c r="I33" s="12"/>
      <c r="J33" s="12"/>
      <c r="K33" s="12"/>
      <c r="L33" s="12"/>
      <c r="M33" s="12"/>
      <c r="N33" s="12"/>
      <c r="O33" s="12"/>
      <c r="P33" s="12"/>
      <c r="Q33" s="12"/>
      <c r="R33" s="12"/>
      <c r="S33" s="12"/>
      <c r="T33" s="12"/>
      <c r="U33" s="12"/>
      <c r="V33" s="12"/>
      <c r="W33" s="12"/>
      <c r="X33" s="12"/>
      <c r="AB33" s="119"/>
    </row>
    <row r="34" spans="2:28" ht="16">
      <c r="B34" s="269" t="s">
        <v>215</v>
      </c>
      <c r="C34" s="270"/>
      <c r="D34" s="271"/>
      <c r="E34" s="271"/>
      <c r="F34" s="272">
        <f>MAX(F27:F32)</f>
        <v>7657.9120000000003</v>
      </c>
      <c r="G34" s="272"/>
      <c r="H34" s="272"/>
      <c r="I34" s="272"/>
      <c r="J34" s="272"/>
      <c r="K34" s="272"/>
      <c r="L34" s="272"/>
      <c r="M34" s="272">
        <f t="shared" ref="M34:T34" si="22">MAX(M27:M32)</f>
        <v>11421.112000000001</v>
      </c>
      <c r="N34" s="307">
        <f t="shared" si="22"/>
        <v>9.5102383252818044</v>
      </c>
      <c r="O34" s="307">
        <f t="shared" si="22"/>
        <v>6.1137246376811598</v>
      </c>
      <c r="P34" s="307">
        <f t="shared" si="22"/>
        <v>3.8176199095022625</v>
      </c>
      <c r="Q34" s="307">
        <f t="shared" si="22"/>
        <v>65.659659419014091</v>
      </c>
      <c r="R34" s="307">
        <f t="shared" si="22"/>
        <v>99.695999999999998</v>
      </c>
      <c r="S34" s="307">
        <f t="shared" si="22"/>
        <v>94.448842105263154</v>
      </c>
      <c r="T34" s="308">
        <f t="shared" si="22"/>
        <v>85.453714285714284</v>
      </c>
      <c r="U34" s="12"/>
      <c r="V34" s="12"/>
      <c r="W34" s="12"/>
      <c r="X34" s="12"/>
      <c r="AB34" s="119"/>
    </row>
    <row r="35" spans="2:28" ht="16">
      <c r="B35" s="274" t="s">
        <v>216</v>
      </c>
      <c r="C35" s="12"/>
      <c r="D35" s="275"/>
      <c r="E35" s="275"/>
      <c r="F35" s="276">
        <f>QUARTILE(F27:F32,3)</f>
        <v>5427.6202499999999</v>
      </c>
      <c r="G35" s="276"/>
      <c r="H35" s="276"/>
      <c r="I35" s="276"/>
      <c r="J35" s="276"/>
      <c r="K35" s="276"/>
      <c r="L35" s="276"/>
      <c r="M35" s="276">
        <f t="shared" ref="M35:T35" si="23">QUARTILE(M27:M32,3)</f>
        <v>5410.0952500000003</v>
      </c>
      <c r="N35" s="62">
        <f t="shared" si="23"/>
        <v>3.5453413055613705</v>
      </c>
      <c r="O35" s="62">
        <f t="shared" si="23"/>
        <v>3.1937290330375183</v>
      </c>
      <c r="P35" s="62">
        <f t="shared" si="23"/>
        <v>2.836921500213518</v>
      </c>
      <c r="Q35" s="62">
        <f t="shared" si="23"/>
        <v>22.685848115375549</v>
      </c>
      <c r="R35" s="62">
        <f t="shared" si="23"/>
        <v>41.126531922157724</v>
      </c>
      <c r="S35" s="62">
        <f t="shared" si="23"/>
        <v>38.286281313571635</v>
      </c>
      <c r="T35" s="309">
        <f t="shared" si="23"/>
        <v>38.48365378998276</v>
      </c>
      <c r="U35" s="12"/>
      <c r="V35" s="12"/>
      <c r="W35" s="12"/>
      <c r="X35" s="12"/>
      <c r="AB35" s="119"/>
    </row>
    <row r="36" spans="2:28" ht="16">
      <c r="B36" s="310" t="s">
        <v>217</v>
      </c>
      <c r="C36" s="311"/>
      <c r="D36" s="312"/>
      <c r="E36" s="312"/>
      <c r="F36" s="313">
        <f>MEDIAN(F27:F32)</f>
        <v>3266.6565000000001</v>
      </c>
      <c r="G36" s="313"/>
      <c r="H36" s="313"/>
      <c r="I36" s="314"/>
      <c r="J36" s="314"/>
      <c r="K36" s="314"/>
      <c r="L36" s="314"/>
      <c r="M36" s="313">
        <f t="shared" ref="M36:T36" si="24">MEDIAN(M27:M32)</f>
        <v>2991.1565000000001</v>
      </c>
      <c r="N36" s="315">
        <f t="shared" si="24"/>
        <v>3.084637530084545</v>
      </c>
      <c r="O36" s="315">
        <f t="shared" si="24"/>
        <v>2.751579958609661</v>
      </c>
      <c r="P36" s="315">
        <f t="shared" si="24"/>
        <v>2.56730330777037</v>
      </c>
      <c r="Q36" s="315">
        <f t="shared" si="24"/>
        <v>15.079059738186828</v>
      </c>
      <c r="R36" s="315">
        <f t="shared" si="24"/>
        <v>23.495641430522362</v>
      </c>
      <c r="S36" s="315">
        <f t="shared" si="24"/>
        <v>21.284063377330821</v>
      </c>
      <c r="T36" s="316">
        <f t="shared" si="24"/>
        <v>20.80965688826592</v>
      </c>
      <c r="U36" s="12"/>
      <c r="V36" s="12"/>
      <c r="W36" s="12"/>
      <c r="X36" s="12"/>
      <c r="AA36" s="119"/>
      <c r="AB36" s="119"/>
    </row>
    <row r="37" spans="2:28" ht="16">
      <c r="B37" s="274" t="s">
        <v>218</v>
      </c>
      <c r="C37" s="94"/>
      <c r="D37" s="275"/>
      <c r="E37" s="275"/>
      <c r="F37" s="276">
        <f>QUARTILE(F27:F32,1)</f>
        <v>2470.8225000000002</v>
      </c>
      <c r="G37" s="276"/>
      <c r="H37" s="276"/>
      <c r="I37" s="276"/>
      <c r="J37" s="276"/>
      <c r="K37" s="276"/>
      <c r="L37" s="276"/>
      <c r="M37" s="276">
        <f t="shared" ref="M37:T37" si="25">QUARTILE(M27:M32,1)</f>
        <v>1860.7725</v>
      </c>
      <c r="N37" s="62">
        <f t="shared" si="25"/>
        <v>2.7753036938636759</v>
      </c>
      <c r="O37" s="62">
        <f t="shared" si="25"/>
        <v>2.4944342417036158</v>
      </c>
      <c r="P37" s="62">
        <f t="shared" si="25"/>
        <v>2.2006377337484921</v>
      </c>
      <c r="Q37" s="62">
        <f t="shared" si="25"/>
        <v>12.536591459304326</v>
      </c>
      <c r="R37" s="62">
        <f t="shared" si="25"/>
        <v>15.709424727767695</v>
      </c>
      <c r="S37" s="62">
        <f t="shared" si="25"/>
        <v>14.299153513558895</v>
      </c>
      <c r="T37" s="309">
        <f t="shared" si="25"/>
        <v>13.656654716297371</v>
      </c>
      <c r="U37" s="12"/>
      <c r="V37" s="12"/>
      <c r="W37" s="12"/>
      <c r="X37" s="12"/>
      <c r="AB37" s="119"/>
    </row>
    <row r="38" spans="2:28" ht="16">
      <c r="B38" s="284" t="s">
        <v>219</v>
      </c>
      <c r="C38" s="285"/>
      <c r="D38" s="286"/>
      <c r="E38" s="286"/>
      <c r="F38" s="287">
        <f>MIN(F27:F32)</f>
        <v>1862.425</v>
      </c>
      <c r="G38" s="287"/>
      <c r="H38" s="287"/>
      <c r="I38" s="287"/>
      <c r="J38" s="287"/>
      <c r="K38" s="287"/>
      <c r="L38" s="287"/>
      <c r="M38" s="287">
        <f t="shared" ref="M38:T38" si="26">MIN(M27:M32)</f>
        <v>1262.7249999999999</v>
      </c>
      <c r="N38" s="317">
        <f t="shared" si="26"/>
        <v>1.5050357568533967</v>
      </c>
      <c r="O38" s="317">
        <f t="shared" si="26"/>
        <v>1.2819543147208121</v>
      </c>
      <c r="P38" s="317">
        <f t="shared" si="26"/>
        <v>1.114496910856134</v>
      </c>
      <c r="Q38" s="317">
        <f t="shared" si="26"/>
        <v>4.4872710497572825</v>
      </c>
      <c r="R38" s="317">
        <f t="shared" si="26"/>
        <v>2.8633219954648523</v>
      </c>
      <c r="S38" s="317">
        <f t="shared" si="26"/>
        <v>2.5204091816367264</v>
      </c>
      <c r="T38" s="318">
        <f t="shared" si="26"/>
        <v>2.2309628975265015</v>
      </c>
      <c r="U38" s="12"/>
      <c r="V38" s="12"/>
      <c r="W38" s="12"/>
      <c r="X38" s="12"/>
      <c r="AB38" s="119"/>
    </row>
    <row r="39" spans="2:28" ht="16">
      <c r="B39" s="12"/>
      <c r="C39" s="12"/>
      <c r="D39" s="12"/>
      <c r="E39" s="12"/>
      <c r="F39" s="12"/>
      <c r="G39" s="12"/>
      <c r="H39" s="12"/>
      <c r="I39" s="12"/>
      <c r="J39" s="12"/>
      <c r="K39" s="12"/>
      <c r="L39" s="12"/>
      <c r="M39" s="12"/>
      <c r="N39" s="12"/>
      <c r="O39" s="12"/>
      <c r="P39" s="12"/>
      <c r="Q39" s="12"/>
      <c r="R39" s="12"/>
      <c r="S39" s="12"/>
      <c r="T39" s="12"/>
      <c r="U39" s="12"/>
      <c r="V39" s="12"/>
      <c r="W39" s="12"/>
      <c r="X39" s="12"/>
      <c r="AB39" s="119"/>
    </row>
    <row r="40" spans="2:28" ht="16">
      <c r="B40" s="319" t="str">
        <f>INDEX(Pub_Comps_Range,MATCH(B$23,Pub_Comps_Params,0),MATCH($C40,Pub_Comps_Tickers,0))</f>
        <v>Avadel Pharmaceuticals, PLC</v>
      </c>
      <c r="C40" s="291" t="str">
        <f>Ticker</f>
        <v>AVDL</v>
      </c>
      <c r="D40" s="320"/>
      <c r="E40" s="320"/>
      <c r="F40" s="293">
        <f>INDEX(Pub_Comps_Range,MATCH(F$23,Pub_Comps_Params,0),MATCH($C40,Pub_Comps_Tickers,0))</f>
        <v>1484.8680000000002</v>
      </c>
      <c r="G40" s="293"/>
      <c r="H40" s="293"/>
      <c r="I40" s="293"/>
      <c r="J40" s="293"/>
      <c r="K40" s="293"/>
      <c r="L40" s="293"/>
      <c r="M40" s="293">
        <f t="shared" ref="M40" si="27">INDEX(Pub_Comps_Range,MATCH(M$5,Pub_Comps_Params,0),MATCH($C40,Pub_Comps_Tickers,0))</f>
        <v>1433.4970000000001</v>
      </c>
      <c r="N40" s="321">
        <f t="shared" ref="N40:T40" si="28">INDEX(Pub_Comps_Range,MATCH(N$23,Pub_Comps_Params,0),MATCH($C40,Pub_Comps_Tickers,0))</f>
        <v>4.1739372233869094</v>
      </c>
      <c r="O40" s="321">
        <f t="shared" si="28"/>
        <v>3.0690714877844916</v>
      </c>
      <c r="P40" s="321">
        <f t="shared" si="28"/>
        <v>2.1536984750082615</v>
      </c>
      <c r="Q40" s="321">
        <f t="shared" si="28"/>
        <v>6.9227430688454756</v>
      </c>
      <c r="R40" s="321">
        <f t="shared" si="28"/>
        <v>271.03488463551361</v>
      </c>
      <c r="S40" s="321">
        <f t="shared" si="28"/>
        <v>262.31380237474292</v>
      </c>
      <c r="T40" s="322">
        <f t="shared" si="28"/>
        <v>269.21230937603264</v>
      </c>
      <c r="U40" s="12"/>
      <c r="V40" s="12"/>
      <c r="W40" s="12"/>
      <c r="X40" s="12"/>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90EA4-A75B-4A9B-AF09-0341A4B1A133}">
  <dimension ref="B3:XFB98"/>
  <sheetViews>
    <sheetView showGridLines="0" workbookViewId="0">
      <pane xSplit="4" ySplit="4" topLeftCell="E5" activePane="bottomRight" state="frozen"/>
      <selection pane="topRight" activeCell="E1" sqref="E1"/>
      <selection pane="bottomLeft" activeCell="A5" sqref="A5"/>
      <selection pane="bottomRight" activeCell="H8" sqref="H8"/>
    </sheetView>
  </sheetViews>
  <sheetFormatPr defaultRowHeight="16"/>
  <cols>
    <col min="1" max="2" width="8.7265625" style="10"/>
    <col min="3" max="3" width="24.81640625" style="10" customWidth="1"/>
    <col min="4" max="4" width="8.7265625" style="10"/>
    <col min="5" max="5" width="12.54296875" style="10" bestFit="1" customWidth="1"/>
    <col min="6" max="7" width="11.453125" style="10" bestFit="1" customWidth="1"/>
    <col min="8" max="8" width="22" style="10" bestFit="1" customWidth="1"/>
    <col min="9" max="11" width="13.7265625" style="10" bestFit="1" customWidth="1"/>
    <col min="12" max="12" width="11.453125" style="10" bestFit="1" customWidth="1"/>
    <col min="13" max="13" width="14.1796875" style="10" bestFit="1" customWidth="1"/>
    <col min="14" max="14" width="13.7265625" style="10" bestFit="1" customWidth="1"/>
    <col min="15" max="16" width="11.453125" style="10" bestFit="1" customWidth="1"/>
    <col min="17" max="17" width="13.453125" style="10" bestFit="1" customWidth="1"/>
    <col min="18" max="18" width="14.26953125" style="10" bestFit="1" customWidth="1"/>
    <col min="19" max="19" width="13.7265625" style="10" bestFit="1" customWidth="1"/>
    <col min="20" max="22" width="11.453125" style="10" bestFit="1" customWidth="1"/>
    <col min="23" max="23" width="18.453125" style="10" bestFit="1" customWidth="1"/>
    <col min="24" max="24" width="13.7265625" style="10" bestFit="1" customWidth="1"/>
    <col min="25" max="28" width="11.453125" style="10" bestFit="1" customWidth="1"/>
    <col min="29" max="29" width="8.7265625" style="10"/>
    <col min="30" max="33" width="11.453125" style="10" bestFit="1" customWidth="1"/>
    <col min="34" max="34" width="10.453125" style="10" bestFit="1" customWidth="1"/>
    <col min="35" max="35" width="12.6328125" style="10" customWidth="1"/>
    <col min="36" max="37" width="11" style="10" bestFit="1" customWidth="1"/>
    <col min="38" max="38" width="11.81640625" style="10" bestFit="1" customWidth="1"/>
    <col min="39" max="42" width="10.453125" style="10" customWidth="1"/>
    <col min="43" max="16384" width="8.7265625" style="10"/>
  </cols>
  <sheetData>
    <row r="3" spans="2:16382">
      <c r="B3" s="113"/>
      <c r="C3" s="114" t="s">
        <v>6</v>
      </c>
      <c r="D3" s="115"/>
      <c r="E3" s="116"/>
      <c r="F3" s="116"/>
      <c r="G3" s="117"/>
      <c r="H3" s="118" t="str">
        <f>Ticker</f>
        <v>AVDL</v>
      </c>
      <c r="I3" s="119"/>
      <c r="J3" s="116"/>
      <c r="K3" s="116"/>
      <c r="L3" s="117"/>
      <c r="M3" s="118" t="s">
        <v>193</v>
      </c>
      <c r="N3" s="119"/>
      <c r="O3" s="116"/>
      <c r="P3" s="116"/>
      <c r="Q3" s="117"/>
      <c r="R3" s="118" t="s">
        <v>425</v>
      </c>
      <c r="S3" s="119"/>
      <c r="T3" s="116"/>
      <c r="U3" s="116"/>
      <c r="V3" s="117"/>
      <c r="W3" s="118" t="s">
        <v>426</v>
      </c>
      <c r="X3" s="119"/>
      <c r="Y3" s="116"/>
      <c r="Z3" s="116"/>
      <c r="AA3" s="117"/>
      <c r="AB3" s="118" t="s">
        <v>221</v>
      </c>
      <c r="AC3" s="119"/>
      <c r="AD3" s="116"/>
      <c r="AE3" s="116"/>
      <c r="AF3" s="117"/>
      <c r="AG3" s="118" t="s">
        <v>427</v>
      </c>
      <c r="AH3" s="120"/>
      <c r="AI3" s="116"/>
      <c r="AJ3" s="116"/>
      <c r="AK3" s="117"/>
      <c r="AL3" s="118" t="s">
        <v>428</v>
      </c>
      <c r="AM3" s="120"/>
      <c r="AN3" s="590"/>
      <c r="AO3" s="120"/>
      <c r="AP3" s="120"/>
    </row>
    <row r="4" spans="2:16382">
      <c r="B4" s="113"/>
      <c r="C4" s="114" t="s">
        <v>3</v>
      </c>
      <c r="D4" s="115"/>
      <c r="E4" s="116"/>
      <c r="F4" s="116"/>
      <c r="G4" s="117"/>
      <c r="H4" s="121" t="str">
        <f>Company_Name</f>
        <v>Avadel Pharmaceuticals, PLC</v>
      </c>
      <c r="I4" s="119"/>
      <c r="J4" s="116"/>
      <c r="K4" s="116"/>
      <c r="L4" s="117"/>
      <c r="M4" s="121" t="s">
        <v>194</v>
      </c>
      <c r="N4" s="119"/>
      <c r="O4" s="116"/>
      <c r="P4" s="116"/>
      <c r="Q4" s="117"/>
      <c r="R4" s="121" t="s">
        <v>433</v>
      </c>
      <c r="S4" s="119"/>
      <c r="T4" s="116"/>
      <c r="U4" s="116"/>
      <c r="V4" s="117"/>
      <c r="W4" s="121" t="s">
        <v>432</v>
      </c>
      <c r="X4" s="119"/>
      <c r="Y4" s="116"/>
      <c r="Z4" s="116"/>
      <c r="AA4" s="117"/>
      <c r="AB4" s="121" t="s">
        <v>431</v>
      </c>
      <c r="AC4" s="119"/>
      <c r="AD4" s="116"/>
      <c r="AE4" s="116"/>
      <c r="AF4" s="117"/>
      <c r="AG4" s="121" t="s">
        <v>430</v>
      </c>
      <c r="AH4" s="122"/>
      <c r="AI4" s="116"/>
      <c r="AJ4" s="116"/>
      <c r="AK4" s="117"/>
      <c r="AL4" s="121" t="s">
        <v>429</v>
      </c>
      <c r="AM4" s="122"/>
      <c r="AN4" s="590"/>
      <c r="AO4" s="122"/>
      <c r="AP4" s="122"/>
    </row>
    <row r="5" spans="2:16382">
      <c r="B5" s="113"/>
      <c r="C5" s="115"/>
      <c r="D5" s="115"/>
      <c r="E5" s="583" t="s">
        <v>414</v>
      </c>
      <c r="F5" s="584"/>
      <c r="G5" s="585"/>
      <c r="H5" s="586" t="s">
        <v>415</v>
      </c>
      <c r="I5" s="119"/>
      <c r="J5" s="583" t="s">
        <v>414</v>
      </c>
      <c r="K5" s="584"/>
      <c r="L5" s="585"/>
      <c r="M5" s="586" t="s">
        <v>415</v>
      </c>
      <c r="N5" s="119"/>
      <c r="O5" s="583" t="s">
        <v>414</v>
      </c>
      <c r="P5" s="584"/>
      <c r="Q5" s="585"/>
      <c r="R5" s="586" t="s">
        <v>415</v>
      </c>
      <c r="S5" s="119"/>
      <c r="T5" s="583" t="s">
        <v>414</v>
      </c>
      <c r="U5" s="584"/>
      <c r="V5" s="585"/>
      <c r="W5" s="586" t="s">
        <v>415</v>
      </c>
      <c r="X5" s="119"/>
      <c r="Y5" s="583" t="s">
        <v>414</v>
      </c>
      <c r="Z5" s="584"/>
      <c r="AA5" s="585"/>
      <c r="AB5" s="586" t="s">
        <v>415</v>
      </c>
      <c r="AC5" s="119"/>
      <c r="AD5" s="583" t="s">
        <v>414</v>
      </c>
      <c r="AE5" s="584"/>
      <c r="AF5" s="585"/>
      <c r="AG5" s="587" t="s">
        <v>415</v>
      </c>
      <c r="AH5" s="123"/>
      <c r="AI5" s="583" t="s">
        <v>414</v>
      </c>
      <c r="AJ5" s="584"/>
      <c r="AK5" s="585"/>
      <c r="AL5" s="587" t="s">
        <v>415</v>
      </c>
      <c r="AM5" s="123"/>
      <c r="AN5" s="590"/>
    </row>
    <row r="6" spans="2:16382">
      <c r="B6" s="113"/>
      <c r="D6" s="115"/>
      <c r="E6" s="124">
        <v>46022</v>
      </c>
      <c r="F6" s="124">
        <f>EOMONTH(E6,12)</f>
        <v>46387</v>
      </c>
      <c r="G6" s="124">
        <f>EOMONTH(F6,12)</f>
        <v>46752</v>
      </c>
      <c r="H6" s="124">
        <v>50040</v>
      </c>
      <c r="I6" s="119"/>
      <c r="J6" s="124">
        <f>$E$6</f>
        <v>46022</v>
      </c>
      <c r="K6" s="124">
        <f>EOMONTH(J6,12)</f>
        <v>46387</v>
      </c>
      <c r="L6" s="124">
        <f>EOMONTH(K6,12)</f>
        <v>46752</v>
      </c>
      <c r="M6" s="124">
        <v>46387</v>
      </c>
      <c r="N6" s="119"/>
      <c r="O6" s="124">
        <f>$E$6</f>
        <v>46022</v>
      </c>
      <c r="P6" s="124">
        <f>K6</f>
        <v>46387</v>
      </c>
      <c r="Q6" s="124">
        <f>L6</f>
        <v>46752</v>
      </c>
      <c r="R6" s="124">
        <v>47483</v>
      </c>
      <c r="S6" s="119"/>
      <c r="T6" s="124">
        <f>O6</f>
        <v>46022</v>
      </c>
      <c r="U6" s="124">
        <f>P6</f>
        <v>46387</v>
      </c>
      <c r="V6" s="124">
        <f>Q6</f>
        <v>46752</v>
      </c>
      <c r="W6" s="124">
        <v>48579</v>
      </c>
      <c r="X6" s="119"/>
      <c r="Y6" s="124">
        <f>T6</f>
        <v>46022</v>
      </c>
      <c r="Z6" s="124">
        <f>U6</f>
        <v>46387</v>
      </c>
      <c r="AA6" s="124">
        <f>V6</f>
        <v>46752</v>
      </c>
      <c r="AB6" s="124">
        <v>49309</v>
      </c>
      <c r="AC6" s="119"/>
      <c r="AD6" s="124">
        <f>Y6</f>
        <v>46022</v>
      </c>
      <c r="AE6" s="124">
        <f>Z6</f>
        <v>46387</v>
      </c>
      <c r="AF6" s="124">
        <f>AA6</f>
        <v>46752</v>
      </c>
      <c r="AG6" s="124">
        <v>47848</v>
      </c>
      <c r="AH6" s="125"/>
      <c r="AI6" s="124">
        <f>AD6</f>
        <v>46022</v>
      </c>
      <c r="AJ6" s="124">
        <f>AE6</f>
        <v>46387</v>
      </c>
      <c r="AK6" s="124">
        <f>AF6</f>
        <v>46752</v>
      </c>
      <c r="AL6" s="124">
        <v>47483</v>
      </c>
      <c r="AM6" s="125"/>
      <c r="AN6" s="590"/>
    </row>
    <row r="7" spans="2:16382">
      <c r="B7" s="113"/>
      <c r="C7" s="10" t="s">
        <v>212</v>
      </c>
      <c r="E7" s="541">
        <f>Drivers!N71/Units</f>
        <v>343.43999999999994</v>
      </c>
      <c r="F7" s="541">
        <f>Drivers!O71/Units</f>
        <v>467.07840000000004</v>
      </c>
      <c r="G7" s="541">
        <f>Drivers!P71/Units</f>
        <v>665.59781540194535</v>
      </c>
      <c r="H7" s="36">
        <f>SUM(Drivers!Z64:Z65)/Units</f>
        <v>1210.2371035644185</v>
      </c>
      <c r="J7" s="126">
        <v>4217</v>
      </c>
      <c r="K7" s="126">
        <v>4476</v>
      </c>
      <c r="L7" s="126">
        <v>4620</v>
      </c>
      <c r="M7" s="126">
        <v>4476</v>
      </c>
      <c r="O7" s="126">
        <v>839</v>
      </c>
      <c r="P7" s="126">
        <v>985</v>
      </c>
      <c r="Q7" s="126">
        <v>1133</v>
      </c>
      <c r="R7" s="126">
        <v>1612</v>
      </c>
      <c r="T7" s="126">
        <v>692</v>
      </c>
      <c r="U7" s="126">
        <v>832</v>
      </c>
      <c r="V7" s="126">
        <v>976</v>
      </c>
      <c r="W7" s="126">
        <v>1602</v>
      </c>
      <c r="Y7" s="126">
        <v>562</v>
      </c>
      <c r="Z7" s="126">
        <v>608</v>
      </c>
      <c r="AA7" s="126">
        <v>674</v>
      </c>
      <c r="AB7" s="126">
        <v>1086</v>
      </c>
      <c r="AD7" s="126">
        <v>621</v>
      </c>
      <c r="AE7" s="126">
        <v>966</v>
      </c>
      <c r="AF7" s="126">
        <v>1547</v>
      </c>
      <c r="AG7" s="126">
        <v>3020</v>
      </c>
      <c r="AI7" s="126">
        <v>1071</v>
      </c>
      <c r="AJ7" s="126">
        <v>1198</v>
      </c>
      <c r="AK7" s="126">
        <v>1355</v>
      </c>
      <c r="AL7" s="126">
        <v>1695</v>
      </c>
      <c r="AM7" s="127"/>
      <c r="AO7" s="591"/>
      <c r="AP7" s="591"/>
    </row>
    <row r="8" spans="2:16382">
      <c r="B8" s="113"/>
      <c r="C8" s="10" t="s">
        <v>416</v>
      </c>
      <c r="H8" s="36">
        <f>SUM(Drivers!Z64:Z65)/Units</f>
        <v>1210.2371035644185</v>
      </c>
      <c r="M8" s="593">
        <v>1753</v>
      </c>
      <c r="R8" s="593">
        <v>1342</v>
      </c>
      <c r="W8" s="593">
        <v>698</v>
      </c>
      <c r="AB8" s="593">
        <v>716</v>
      </c>
      <c r="AG8" s="593">
        <v>1741</v>
      </c>
      <c r="AI8" s="575"/>
      <c r="AJ8" s="575"/>
      <c r="AK8" s="575"/>
      <c r="AL8" s="595">
        <v>791</v>
      </c>
      <c r="AM8" s="130"/>
      <c r="AN8" s="591"/>
      <c r="AO8" s="591"/>
      <c r="AP8" s="536"/>
    </row>
    <row r="9" spans="2:16382">
      <c r="B9" s="113"/>
      <c r="C9" s="10" t="s">
        <v>434</v>
      </c>
      <c r="H9" s="93">
        <f>H8/H7</f>
        <v>1</v>
      </c>
      <c r="M9" s="93">
        <f>M8/M7</f>
        <v>0.39164432529043791</v>
      </c>
      <c r="R9" s="93">
        <f>R8/R7</f>
        <v>0.83250620347394544</v>
      </c>
      <c r="W9" s="93">
        <f>W8/W7</f>
        <v>0.43570536828963796</v>
      </c>
      <c r="AB9" s="93">
        <f>AB8/AB7</f>
        <v>0.6593001841620626</v>
      </c>
      <c r="AG9" s="93">
        <f>AG8/AG7</f>
        <v>0.57649006622516552</v>
      </c>
      <c r="AI9" s="575"/>
      <c r="AJ9" s="575"/>
      <c r="AK9" s="575"/>
      <c r="AL9" s="596">
        <f>AL8/AL7</f>
        <v>0.46666666666666667</v>
      </c>
      <c r="AM9" s="131"/>
      <c r="AN9" s="591"/>
      <c r="AO9" s="591"/>
      <c r="AP9" s="591"/>
    </row>
    <row r="10" spans="2:16382">
      <c r="AI10" s="575"/>
      <c r="AJ10" s="575"/>
      <c r="AK10" s="575"/>
      <c r="AL10" s="575"/>
      <c r="AN10" s="189"/>
      <c r="AO10" s="536"/>
      <c r="AP10" s="536"/>
    </row>
    <row r="11" spans="2:16382">
      <c r="B11" s="113"/>
      <c r="C11" s="10" t="s">
        <v>373</v>
      </c>
      <c r="H11" s="184">
        <v>1</v>
      </c>
      <c r="M11" s="184">
        <v>1</v>
      </c>
      <c r="R11" s="184">
        <v>1</v>
      </c>
      <c r="W11" s="184">
        <v>1</v>
      </c>
      <c r="AB11" s="184">
        <v>1</v>
      </c>
      <c r="AG11" s="184">
        <v>1</v>
      </c>
      <c r="AI11" s="575"/>
      <c r="AJ11" s="575"/>
      <c r="AK11" s="575"/>
      <c r="AL11" s="597">
        <v>1</v>
      </c>
      <c r="AM11" s="130"/>
      <c r="AN11" s="130"/>
      <c r="AO11" s="130"/>
      <c r="AP11" s="130"/>
    </row>
    <row r="12" spans="2:16382">
      <c r="B12" s="113"/>
      <c r="C12" s="10" t="s">
        <v>231</v>
      </c>
      <c r="E12" s="89">
        <f>Model!M85/Units</f>
        <v>105.821831808</v>
      </c>
      <c r="F12" s="89">
        <f>Model!N85/Units</f>
        <v>154.90412255232002</v>
      </c>
      <c r="G12" s="89">
        <f>Model!O85/Units</f>
        <v>228.04986038938276</v>
      </c>
      <c r="J12" s="126">
        <v>328</v>
      </c>
      <c r="K12" s="126">
        <v>1338</v>
      </c>
      <c r="L12" s="126">
        <v>1492</v>
      </c>
      <c r="M12" s="10">
        <v>515</v>
      </c>
      <c r="O12" s="126">
        <v>207</v>
      </c>
      <c r="P12" s="126">
        <v>255</v>
      </c>
      <c r="Q12" s="126">
        <v>292</v>
      </c>
      <c r="R12" s="126">
        <v>515</v>
      </c>
      <c r="T12" s="126">
        <v>35</v>
      </c>
      <c r="U12" s="126">
        <v>66</v>
      </c>
      <c r="V12" s="126">
        <v>131</v>
      </c>
      <c r="W12" s="126">
        <v>362</v>
      </c>
      <c r="Y12" s="126">
        <v>184</v>
      </c>
      <c r="Z12" s="126">
        <v>206</v>
      </c>
      <c r="AA12" s="126">
        <v>240</v>
      </c>
      <c r="AB12" s="126">
        <v>430</v>
      </c>
      <c r="AD12" s="126">
        <v>-177</v>
      </c>
      <c r="AE12" s="126">
        <v>49</v>
      </c>
      <c r="AF12" s="126">
        <v>451</v>
      </c>
      <c r="AG12" s="126">
        <v>1359</v>
      </c>
      <c r="AI12" s="126">
        <v>93</v>
      </c>
      <c r="AJ12" s="126">
        <v>152</v>
      </c>
      <c r="AK12" s="126">
        <v>252</v>
      </c>
      <c r="AL12" s="126">
        <v>213</v>
      </c>
      <c r="AM12" s="130"/>
      <c r="AN12" s="130"/>
      <c r="AO12" s="130"/>
      <c r="AP12" s="130"/>
    </row>
    <row r="13" spans="2:16382">
      <c r="B13" s="113"/>
      <c r="C13" s="10" t="s">
        <v>417</v>
      </c>
      <c r="E13" s="93">
        <f>E12/E7</f>
        <v>0.30812320000000004</v>
      </c>
      <c r="F13" s="93">
        <f>F12/F7</f>
        <v>0.33164480000000002</v>
      </c>
      <c r="G13" s="93">
        <f>G12/G7</f>
        <v>0.34262411190707798</v>
      </c>
      <c r="H13" s="184">
        <f>Model!V85/Model!V62</f>
        <v>0.55848439771005032</v>
      </c>
      <c r="J13" s="184">
        <v>-0.13</v>
      </c>
      <c r="K13" s="184">
        <v>0.13</v>
      </c>
      <c r="L13" s="184">
        <v>0.28000000000000003</v>
      </c>
      <c r="M13" s="184">
        <f>M12/M8</f>
        <v>0.29378208784940102</v>
      </c>
      <c r="O13" s="184">
        <v>-0.2</v>
      </c>
      <c r="P13" s="184">
        <v>0.02</v>
      </c>
      <c r="Q13" s="184">
        <v>0.41</v>
      </c>
      <c r="R13" s="184">
        <f>R12/R8</f>
        <v>0.38375558867362147</v>
      </c>
      <c r="T13" s="184">
        <v>-8.56</v>
      </c>
      <c r="U13" s="184">
        <v>-2.68</v>
      </c>
      <c r="V13" s="184">
        <v>-0.28999999999999998</v>
      </c>
      <c r="W13" s="184">
        <f>W12/W8</f>
        <v>0.51862464183381085</v>
      </c>
      <c r="Y13" s="184">
        <v>0.28000000000000003</v>
      </c>
      <c r="Z13" s="184">
        <v>0.08</v>
      </c>
      <c r="AA13" s="184">
        <v>0.36</v>
      </c>
      <c r="AB13" s="184">
        <f>AB12/AB7</f>
        <v>0.39594843462246776</v>
      </c>
      <c r="AD13" s="184">
        <v>0.34</v>
      </c>
      <c r="AE13" s="184">
        <v>0.46</v>
      </c>
      <c r="AF13" s="184">
        <v>0.54</v>
      </c>
      <c r="AG13" s="184">
        <f>AG12/AG7</f>
        <v>0.45</v>
      </c>
      <c r="AI13" s="597">
        <v>0.05</v>
      </c>
      <c r="AJ13" s="597">
        <v>0.37</v>
      </c>
      <c r="AK13" s="597">
        <v>0.42</v>
      </c>
      <c r="AL13" s="184">
        <f>AL12/AL7</f>
        <v>0.1256637168141593</v>
      </c>
      <c r="AM13" s="130"/>
      <c r="AN13" s="130"/>
      <c r="AO13" s="592"/>
      <c r="AP13" s="592"/>
      <c r="AS13" s="184"/>
    </row>
    <row r="14" spans="2:16382">
      <c r="B14" s="113"/>
      <c r="C14" s="10" t="s">
        <v>418</v>
      </c>
      <c r="H14" s="184">
        <v>0.1</v>
      </c>
      <c r="M14" s="184">
        <v>0.1</v>
      </c>
      <c r="R14" s="184">
        <v>0.1</v>
      </c>
      <c r="W14" s="184">
        <v>0.1</v>
      </c>
      <c r="AB14" s="184">
        <v>0.1</v>
      </c>
      <c r="AG14" s="184">
        <v>0.1</v>
      </c>
      <c r="AI14" s="575"/>
      <c r="AJ14" s="575"/>
      <c r="AK14" s="575"/>
      <c r="AL14" s="597">
        <v>0.1</v>
      </c>
      <c r="AM14" s="130"/>
      <c r="AN14" s="130"/>
      <c r="AO14" s="130"/>
      <c r="AP14" s="130"/>
      <c r="AS14" s="184"/>
    </row>
    <row r="15" spans="2:16382">
      <c r="B15" s="113"/>
      <c r="C15" s="10" t="s">
        <v>401</v>
      </c>
      <c r="H15" s="184">
        <f>RoyaltyJ</f>
        <v>3.85E-2</v>
      </c>
      <c r="M15" s="184">
        <v>0</v>
      </c>
      <c r="R15" s="184">
        <v>0.2</v>
      </c>
      <c r="W15" s="184">
        <v>0.12</v>
      </c>
      <c r="AB15" s="184">
        <v>0.15</v>
      </c>
      <c r="AG15" s="184">
        <v>0.03</v>
      </c>
      <c r="AI15" s="575"/>
      <c r="AJ15" s="575"/>
      <c r="AK15" s="575"/>
      <c r="AL15" s="597">
        <v>0.12</v>
      </c>
      <c r="AM15" s="130"/>
      <c r="AN15" s="130"/>
      <c r="AO15" s="130"/>
      <c r="AP15" s="130"/>
      <c r="AS15" s="184"/>
    </row>
    <row r="16" spans="2:16382">
      <c r="B16" s="113"/>
      <c r="C16" s="10" t="s">
        <v>419</v>
      </c>
      <c r="H16" s="10">
        <v>12</v>
      </c>
      <c r="M16" s="10">
        <v>1</v>
      </c>
      <c r="R16" s="10">
        <v>4</v>
      </c>
      <c r="W16" s="10">
        <v>7</v>
      </c>
      <c r="AB16" s="10">
        <v>9</v>
      </c>
      <c r="AG16" s="10">
        <v>5</v>
      </c>
      <c r="AI16" s="575"/>
      <c r="AJ16" s="575"/>
      <c r="AK16" s="575"/>
      <c r="AL16" s="575">
        <v>4</v>
      </c>
      <c r="AM16" s="588"/>
      <c r="AN16" s="588"/>
      <c r="AO16" s="588"/>
      <c r="AP16" s="588"/>
      <c r="AQ16" s="588"/>
      <c r="AR16" s="588"/>
      <c r="AS16" s="588"/>
      <c r="AT16" s="588"/>
      <c r="AU16" s="588"/>
      <c r="AV16" s="588"/>
      <c r="AW16" s="588"/>
      <c r="AX16" s="588"/>
      <c r="AY16" s="588"/>
      <c r="AZ16" s="588"/>
      <c r="BA16" s="588"/>
      <c r="BB16" s="588"/>
      <c r="BC16" s="588"/>
      <c r="BD16" s="588"/>
      <c r="BE16" s="588"/>
      <c r="BF16" s="588"/>
      <c r="BG16" s="588"/>
      <c r="BH16" s="588"/>
      <c r="BI16" s="588"/>
      <c r="BJ16" s="588"/>
      <c r="BK16" s="588"/>
      <c r="BL16" s="588"/>
      <c r="BM16" s="588"/>
      <c r="BN16" s="588"/>
      <c r="BO16" s="588"/>
      <c r="BP16" s="588"/>
      <c r="BQ16" s="588"/>
      <c r="BR16" s="588"/>
      <c r="BS16" s="588"/>
      <c r="BT16" s="588"/>
      <c r="BU16" s="588"/>
      <c r="BV16" s="588"/>
      <c r="BW16" s="588"/>
      <c r="BX16" s="588"/>
      <c r="BY16" s="588"/>
      <c r="BZ16" s="588"/>
      <c r="CA16" s="588"/>
      <c r="CB16" s="588"/>
      <c r="CC16" s="588"/>
      <c r="CD16" s="588"/>
      <c r="CE16" s="588"/>
      <c r="CF16" s="588"/>
      <c r="CG16" s="588"/>
      <c r="CH16" s="588"/>
      <c r="CI16" s="588"/>
      <c r="CJ16" s="588"/>
      <c r="CK16" s="588"/>
      <c r="CL16" s="588"/>
      <c r="CM16" s="588"/>
      <c r="CN16" s="588"/>
      <c r="CO16" s="588"/>
      <c r="CP16" s="588"/>
      <c r="CQ16" s="588"/>
      <c r="CR16" s="588"/>
      <c r="CS16" s="588"/>
      <c r="CT16" s="588"/>
      <c r="CU16" s="588"/>
      <c r="CV16" s="588"/>
      <c r="CW16" s="588"/>
      <c r="CX16" s="588"/>
      <c r="CY16" s="588"/>
      <c r="CZ16" s="588"/>
      <c r="DA16" s="588"/>
      <c r="DB16" s="588"/>
      <c r="DC16" s="588"/>
      <c r="DD16" s="588"/>
      <c r="DE16" s="588"/>
      <c r="DF16" s="588"/>
      <c r="DG16" s="588"/>
      <c r="DH16" s="588"/>
      <c r="DI16" s="588"/>
      <c r="DJ16" s="588"/>
      <c r="DK16" s="588"/>
      <c r="DL16" s="588"/>
      <c r="DM16" s="588"/>
      <c r="DN16" s="588"/>
      <c r="DO16" s="588"/>
      <c r="DP16" s="588"/>
      <c r="DQ16" s="588"/>
      <c r="DR16" s="588"/>
      <c r="DS16" s="588"/>
      <c r="DT16" s="588"/>
      <c r="DU16" s="588"/>
      <c r="DV16" s="588"/>
      <c r="DW16" s="588"/>
      <c r="DX16" s="588"/>
      <c r="DY16" s="588"/>
      <c r="DZ16" s="588"/>
      <c r="EA16" s="588"/>
      <c r="EB16" s="588"/>
      <c r="EC16" s="588"/>
      <c r="ED16" s="588"/>
      <c r="EE16" s="588"/>
      <c r="EF16" s="588"/>
      <c r="EG16" s="588"/>
      <c r="EH16" s="588"/>
      <c r="EI16" s="588"/>
      <c r="EJ16" s="588"/>
      <c r="EK16" s="588"/>
      <c r="EL16" s="588"/>
      <c r="EM16" s="588"/>
      <c r="EN16" s="588"/>
      <c r="EO16" s="588"/>
      <c r="EP16" s="588"/>
      <c r="EQ16" s="588"/>
      <c r="ER16" s="588"/>
      <c r="ES16" s="588"/>
      <c r="ET16" s="588"/>
      <c r="EU16" s="588"/>
      <c r="EV16" s="588"/>
      <c r="EW16" s="588"/>
      <c r="EX16" s="588"/>
      <c r="EY16" s="588"/>
      <c r="EZ16" s="588"/>
      <c r="FA16" s="588"/>
      <c r="FB16" s="588"/>
      <c r="FC16" s="588"/>
      <c r="FD16" s="588"/>
      <c r="FE16" s="588"/>
      <c r="FF16" s="588"/>
      <c r="FG16" s="588"/>
      <c r="FH16" s="588"/>
      <c r="FI16" s="588"/>
      <c r="FJ16" s="588"/>
      <c r="FK16" s="588"/>
      <c r="FL16" s="588"/>
      <c r="FM16" s="588"/>
      <c r="FN16" s="588"/>
      <c r="FO16" s="588"/>
      <c r="FP16" s="588"/>
      <c r="FQ16" s="588"/>
      <c r="FR16" s="588"/>
      <c r="FS16" s="588"/>
      <c r="FT16" s="588"/>
      <c r="FU16" s="588"/>
      <c r="FV16" s="588"/>
      <c r="FW16" s="588"/>
      <c r="FX16" s="588"/>
      <c r="FY16" s="588"/>
      <c r="FZ16" s="588"/>
      <c r="GA16" s="588"/>
      <c r="GB16" s="588"/>
      <c r="GC16" s="588"/>
      <c r="GD16" s="588"/>
      <c r="GE16" s="588"/>
      <c r="GF16" s="588"/>
      <c r="GG16" s="588"/>
      <c r="GH16" s="588"/>
      <c r="GI16" s="588"/>
      <c r="GJ16" s="588"/>
      <c r="GK16" s="588"/>
      <c r="GL16" s="588"/>
      <c r="GM16" s="588"/>
      <c r="GN16" s="588"/>
      <c r="GO16" s="588"/>
      <c r="GP16" s="588"/>
      <c r="GQ16" s="588"/>
      <c r="GR16" s="588"/>
      <c r="GS16" s="588"/>
      <c r="GT16" s="588"/>
      <c r="GU16" s="588"/>
      <c r="GV16" s="588"/>
      <c r="GW16" s="588"/>
      <c r="GX16" s="588"/>
      <c r="GY16" s="588"/>
      <c r="GZ16" s="588"/>
      <c r="HA16" s="588"/>
      <c r="HB16" s="588"/>
      <c r="HC16" s="588"/>
      <c r="HD16" s="588"/>
      <c r="HE16" s="588"/>
      <c r="HF16" s="588"/>
      <c r="HG16" s="588"/>
      <c r="HH16" s="588"/>
      <c r="HI16" s="588"/>
      <c r="HJ16" s="588"/>
      <c r="HK16" s="588"/>
      <c r="HL16" s="588"/>
      <c r="HM16" s="588"/>
      <c r="HN16" s="588"/>
      <c r="HO16" s="588"/>
      <c r="HP16" s="588"/>
      <c r="HQ16" s="588"/>
      <c r="HR16" s="588"/>
      <c r="HS16" s="588"/>
      <c r="HT16" s="588"/>
      <c r="HU16" s="588"/>
      <c r="HV16" s="588"/>
      <c r="HW16" s="588"/>
      <c r="HX16" s="588"/>
      <c r="HY16" s="588"/>
      <c r="HZ16" s="588"/>
      <c r="IA16" s="588"/>
      <c r="IB16" s="588"/>
      <c r="IC16" s="588"/>
      <c r="ID16" s="588"/>
      <c r="IE16" s="588"/>
      <c r="IF16" s="588"/>
      <c r="IG16" s="588"/>
      <c r="IH16" s="588"/>
      <c r="II16" s="588"/>
      <c r="IJ16" s="588"/>
      <c r="IK16" s="588"/>
      <c r="IL16" s="588"/>
      <c r="IM16" s="588"/>
      <c r="IN16" s="588"/>
      <c r="IO16" s="588"/>
      <c r="IP16" s="588"/>
      <c r="IQ16" s="588"/>
      <c r="IR16" s="588"/>
      <c r="IS16" s="588"/>
      <c r="IT16" s="588"/>
      <c r="IU16" s="588"/>
      <c r="IV16" s="588"/>
      <c r="IW16" s="588"/>
      <c r="IX16" s="588"/>
      <c r="IY16" s="588"/>
      <c r="IZ16" s="588"/>
      <c r="JA16" s="588"/>
      <c r="JB16" s="588"/>
      <c r="JC16" s="588"/>
      <c r="JD16" s="588"/>
      <c r="JE16" s="588"/>
      <c r="JF16" s="588"/>
      <c r="JG16" s="588"/>
      <c r="JH16" s="588"/>
      <c r="JI16" s="588"/>
      <c r="JJ16" s="588"/>
      <c r="JK16" s="588"/>
      <c r="JL16" s="588"/>
      <c r="JM16" s="588"/>
      <c r="JN16" s="588"/>
      <c r="JO16" s="588"/>
      <c r="JP16" s="588"/>
      <c r="JQ16" s="588"/>
      <c r="JR16" s="588"/>
      <c r="JS16" s="588"/>
      <c r="JT16" s="588"/>
      <c r="JU16" s="588"/>
      <c r="JV16" s="588"/>
      <c r="JW16" s="588"/>
      <c r="JX16" s="588"/>
      <c r="JY16" s="588"/>
      <c r="JZ16" s="588"/>
      <c r="KA16" s="588"/>
      <c r="KB16" s="588"/>
      <c r="KC16" s="588"/>
      <c r="KD16" s="588"/>
      <c r="KE16" s="588"/>
      <c r="KF16" s="588"/>
      <c r="KG16" s="588"/>
      <c r="KH16" s="588"/>
      <c r="KI16" s="588"/>
      <c r="KJ16" s="588"/>
      <c r="KK16" s="588"/>
      <c r="KL16" s="588"/>
      <c r="KM16" s="588"/>
      <c r="KN16" s="588"/>
      <c r="KO16" s="588"/>
      <c r="KP16" s="588"/>
      <c r="KQ16" s="588"/>
      <c r="KR16" s="588"/>
      <c r="KS16" s="588"/>
      <c r="KT16" s="588"/>
      <c r="KU16" s="588"/>
      <c r="KV16" s="588"/>
      <c r="KW16" s="588"/>
      <c r="KX16" s="588"/>
      <c r="KY16" s="588"/>
      <c r="KZ16" s="588"/>
      <c r="LA16" s="588"/>
      <c r="LB16" s="588"/>
      <c r="LC16" s="588"/>
      <c r="LD16" s="588"/>
      <c r="LE16" s="588"/>
      <c r="LF16" s="588"/>
      <c r="LG16" s="588"/>
      <c r="LH16" s="588"/>
      <c r="LI16" s="588"/>
      <c r="LJ16" s="588"/>
      <c r="LK16" s="588"/>
      <c r="LL16" s="588"/>
      <c r="LM16" s="588"/>
      <c r="LN16" s="588"/>
      <c r="LO16" s="588"/>
      <c r="LP16" s="588"/>
      <c r="LQ16" s="588"/>
      <c r="LR16" s="588"/>
      <c r="LS16" s="588"/>
      <c r="LT16" s="588"/>
      <c r="LU16" s="588"/>
      <c r="LV16" s="588"/>
      <c r="LW16" s="588"/>
      <c r="LX16" s="588"/>
      <c r="LY16" s="588"/>
      <c r="LZ16" s="588"/>
      <c r="MA16" s="588"/>
      <c r="MB16" s="588"/>
      <c r="MC16" s="588"/>
      <c r="MD16" s="588"/>
      <c r="ME16" s="588"/>
      <c r="MF16" s="588"/>
      <c r="MG16" s="588"/>
      <c r="MH16" s="588"/>
      <c r="MI16" s="588"/>
      <c r="MJ16" s="588"/>
      <c r="MK16" s="588"/>
      <c r="ML16" s="588"/>
      <c r="MM16" s="588"/>
      <c r="MN16" s="588"/>
      <c r="MO16" s="588"/>
      <c r="MP16" s="588"/>
      <c r="MQ16" s="588"/>
      <c r="MR16" s="588"/>
      <c r="MS16" s="588"/>
      <c r="MT16" s="588"/>
      <c r="MU16" s="588"/>
      <c r="MV16" s="588"/>
      <c r="MW16" s="588"/>
      <c r="MX16" s="588"/>
      <c r="MY16" s="588"/>
      <c r="MZ16" s="588"/>
      <c r="NA16" s="588"/>
      <c r="NB16" s="588"/>
      <c r="NC16" s="588"/>
      <c r="ND16" s="588"/>
      <c r="NE16" s="588"/>
      <c r="NF16" s="588"/>
      <c r="NG16" s="588"/>
      <c r="NH16" s="588"/>
      <c r="NI16" s="588"/>
      <c r="NJ16" s="588"/>
      <c r="NK16" s="588"/>
      <c r="NL16" s="588"/>
      <c r="NM16" s="588"/>
      <c r="NN16" s="588"/>
      <c r="NO16" s="588"/>
      <c r="NP16" s="588"/>
      <c r="NQ16" s="588"/>
      <c r="NR16" s="588"/>
      <c r="NS16" s="588"/>
      <c r="NT16" s="588"/>
      <c r="NU16" s="588"/>
      <c r="NV16" s="588"/>
      <c r="NW16" s="588"/>
      <c r="NX16" s="588"/>
      <c r="NY16" s="588"/>
      <c r="NZ16" s="588"/>
      <c r="OA16" s="588"/>
      <c r="OB16" s="588"/>
      <c r="OC16" s="588"/>
      <c r="OD16" s="588"/>
      <c r="OE16" s="588"/>
      <c r="OF16" s="588"/>
      <c r="OG16" s="588"/>
      <c r="OH16" s="588"/>
      <c r="OI16" s="588"/>
      <c r="OJ16" s="588"/>
      <c r="OK16" s="588"/>
      <c r="OL16" s="588"/>
      <c r="OM16" s="588"/>
      <c r="ON16" s="588"/>
      <c r="OO16" s="588"/>
      <c r="OP16" s="588"/>
      <c r="OQ16" s="588"/>
      <c r="OR16" s="588"/>
      <c r="OS16" s="588"/>
      <c r="OT16" s="588"/>
      <c r="OU16" s="588"/>
      <c r="OV16" s="588"/>
      <c r="OW16" s="588"/>
      <c r="OX16" s="588"/>
      <c r="OY16" s="588"/>
      <c r="OZ16" s="588"/>
      <c r="PA16" s="588"/>
      <c r="PB16" s="588"/>
      <c r="PC16" s="588"/>
      <c r="PD16" s="588"/>
      <c r="PE16" s="588"/>
      <c r="PF16" s="588"/>
      <c r="PG16" s="588"/>
      <c r="PH16" s="588"/>
      <c r="PI16" s="588"/>
      <c r="PJ16" s="588"/>
      <c r="PK16" s="588"/>
      <c r="PL16" s="588"/>
      <c r="PM16" s="588"/>
      <c r="PN16" s="588"/>
      <c r="PO16" s="588"/>
      <c r="PP16" s="588"/>
      <c r="PQ16" s="588"/>
      <c r="PR16" s="588"/>
      <c r="PS16" s="588"/>
      <c r="PT16" s="588"/>
      <c r="PU16" s="588"/>
      <c r="PV16" s="588"/>
      <c r="PW16" s="588"/>
      <c r="PX16" s="588"/>
      <c r="PY16" s="588"/>
      <c r="PZ16" s="588"/>
      <c r="QA16" s="588"/>
      <c r="QB16" s="588"/>
      <c r="QC16" s="588"/>
      <c r="QD16" s="588"/>
      <c r="QE16" s="588"/>
      <c r="QF16" s="588"/>
      <c r="QG16" s="588"/>
      <c r="QH16" s="588"/>
      <c r="QI16" s="588"/>
      <c r="QJ16" s="588"/>
      <c r="QK16" s="588"/>
      <c r="QL16" s="588"/>
      <c r="QM16" s="588"/>
      <c r="QN16" s="588"/>
      <c r="QO16" s="588"/>
      <c r="QP16" s="588"/>
      <c r="QQ16" s="588"/>
      <c r="QR16" s="588"/>
      <c r="QS16" s="588"/>
      <c r="QT16" s="588"/>
      <c r="QU16" s="588"/>
      <c r="QV16" s="588"/>
      <c r="QW16" s="588"/>
      <c r="QX16" s="588"/>
      <c r="QY16" s="588"/>
      <c r="QZ16" s="588"/>
      <c r="RA16" s="588"/>
      <c r="RB16" s="588"/>
      <c r="RC16" s="588"/>
      <c r="RD16" s="588"/>
      <c r="RE16" s="588"/>
      <c r="RF16" s="588"/>
      <c r="RG16" s="588"/>
      <c r="RH16" s="588"/>
      <c r="RI16" s="588"/>
      <c r="RJ16" s="588"/>
      <c r="RK16" s="588"/>
      <c r="RL16" s="588"/>
      <c r="RM16" s="588"/>
      <c r="RN16" s="588"/>
      <c r="RO16" s="588"/>
      <c r="RP16" s="588"/>
      <c r="RQ16" s="588"/>
      <c r="RR16" s="588"/>
      <c r="RS16" s="588"/>
      <c r="RT16" s="588"/>
      <c r="RU16" s="588"/>
      <c r="RV16" s="588"/>
      <c r="RW16" s="588"/>
      <c r="RX16" s="588"/>
      <c r="RY16" s="588"/>
      <c r="RZ16" s="588"/>
      <c r="SA16" s="588"/>
      <c r="SB16" s="588"/>
      <c r="SC16" s="588"/>
      <c r="SD16" s="588"/>
      <c r="SE16" s="588"/>
      <c r="SF16" s="588"/>
      <c r="SG16" s="588"/>
      <c r="SH16" s="588"/>
      <c r="SI16" s="588"/>
      <c r="SJ16" s="588"/>
      <c r="SK16" s="588"/>
      <c r="SL16" s="588"/>
      <c r="SM16" s="588"/>
      <c r="SN16" s="588"/>
      <c r="SO16" s="588"/>
      <c r="SP16" s="588"/>
      <c r="SQ16" s="588"/>
      <c r="SR16" s="588"/>
      <c r="SS16" s="588"/>
      <c r="ST16" s="588"/>
      <c r="SU16" s="588"/>
      <c r="SV16" s="588"/>
      <c r="SW16" s="588"/>
      <c r="SX16" s="588"/>
      <c r="SY16" s="588"/>
      <c r="SZ16" s="588"/>
      <c r="TA16" s="588"/>
      <c r="TB16" s="588"/>
      <c r="TC16" s="588"/>
      <c r="TD16" s="588"/>
      <c r="TE16" s="588"/>
      <c r="TF16" s="588"/>
      <c r="TG16" s="588"/>
      <c r="TH16" s="588"/>
      <c r="TI16" s="588"/>
      <c r="TJ16" s="588"/>
      <c r="TK16" s="588"/>
      <c r="TL16" s="588"/>
      <c r="TM16" s="588"/>
      <c r="TN16" s="588"/>
      <c r="TO16" s="588"/>
      <c r="TP16" s="588"/>
      <c r="TQ16" s="588"/>
      <c r="TR16" s="588"/>
      <c r="TS16" s="588"/>
      <c r="TT16" s="588"/>
      <c r="TU16" s="588"/>
      <c r="TV16" s="588"/>
      <c r="TW16" s="588"/>
      <c r="TX16" s="588"/>
      <c r="TY16" s="588"/>
      <c r="TZ16" s="588"/>
      <c r="UA16" s="588"/>
      <c r="UB16" s="588"/>
      <c r="UC16" s="588"/>
      <c r="UD16" s="588"/>
      <c r="UE16" s="588"/>
      <c r="UF16" s="588"/>
      <c r="UG16" s="588"/>
      <c r="UH16" s="588"/>
      <c r="UI16" s="588"/>
      <c r="UJ16" s="588"/>
      <c r="UK16" s="588"/>
      <c r="UL16" s="588"/>
      <c r="UM16" s="588"/>
      <c r="UN16" s="588"/>
      <c r="UO16" s="588"/>
      <c r="UP16" s="588"/>
      <c r="UQ16" s="588"/>
      <c r="UR16" s="588"/>
      <c r="US16" s="588"/>
      <c r="UT16" s="588"/>
      <c r="UU16" s="588"/>
      <c r="UV16" s="588"/>
      <c r="UW16" s="588"/>
      <c r="UX16" s="588"/>
      <c r="UY16" s="588"/>
      <c r="UZ16" s="588"/>
      <c r="VA16" s="588"/>
      <c r="VB16" s="588"/>
      <c r="VC16" s="588"/>
      <c r="VD16" s="588"/>
      <c r="VE16" s="588"/>
      <c r="VF16" s="588"/>
      <c r="VG16" s="588"/>
      <c r="VH16" s="588"/>
      <c r="VI16" s="588"/>
      <c r="VJ16" s="588"/>
      <c r="VK16" s="588"/>
      <c r="VL16" s="588"/>
      <c r="VM16" s="588"/>
      <c r="VN16" s="588"/>
      <c r="VO16" s="588"/>
      <c r="VP16" s="588"/>
      <c r="VQ16" s="588"/>
      <c r="VR16" s="588"/>
      <c r="VS16" s="588"/>
      <c r="VT16" s="588"/>
      <c r="VU16" s="588"/>
      <c r="VV16" s="588"/>
      <c r="VW16" s="588"/>
      <c r="VX16" s="588"/>
      <c r="VY16" s="588"/>
      <c r="VZ16" s="588"/>
      <c r="WA16" s="588"/>
      <c r="WB16" s="588"/>
      <c r="WC16" s="588"/>
      <c r="WD16" s="588"/>
      <c r="WE16" s="588"/>
      <c r="WF16" s="588"/>
      <c r="WG16" s="588"/>
      <c r="WH16" s="588"/>
      <c r="WI16" s="588"/>
      <c r="WJ16" s="588"/>
      <c r="WK16" s="588"/>
      <c r="WL16" s="588"/>
      <c r="WM16" s="588"/>
      <c r="WN16" s="588"/>
      <c r="WO16" s="588"/>
      <c r="WP16" s="588"/>
      <c r="WQ16" s="588"/>
      <c r="WR16" s="588"/>
      <c r="WS16" s="588"/>
      <c r="WT16" s="588"/>
      <c r="WU16" s="588"/>
      <c r="WV16" s="588"/>
      <c r="WW16" s="588"/>
      <c r="WX16" s="588"/>
      <c r="WY16" s="588"/>
      <c r="WZ16" s="588"/>
      <c r="XA16" s="588"/>
      <c r="XB16" s="588"/>
      <c r="XC16" s="588"/>
      <c r="XD16" s="588"/>
      <c r="XE16" s="588"/>
      <c r="XF16" s="588"/>
      <c r="XG16" s="588"/>
      <c r="XH16" s="588"/>
      <c r="XI16" s="588"/>
      <c r="XJ16" s="588"/>
      <c r="XK16" s="588"/>
      <c r="XL16" s="588"/>
      <c r="XM16" s="588"/>
      <c r="XN16" s="588"/>
      <c r="XO16" s="588"/>
      <c r="XP16" s="588"/>
      <c r="XQ16" s="588"/>
      <c r="XR16" s="588"/>
      <c r="XS16" s="588"/>
      <c r="XT16" s="588"/>
      <c r="XU16" s="588"/>
      <c r="XV16" s="588"/>
      <c r="XW16" s="588"/>
      <c r="XX16" s="588"/>
      <c r="XY16" s="588"/>
      <c r="XZ16" s="588"/>
      <c r="YA16" s="588"/>
      <c r="YB16" s="588"/>
      <c r="YC16" s="588"/>
      <c r="YD16" s="588"/>
      <c r="YE16" s="588"/>
      <c r="YF16" s="588"/>
      <c r="YG16" s="588"/>
      <c r="YH16" s="588"/>
      <c r="YI16" s="588"/>
      <c r="YJ16" s="588"/>
      <c r="YK16" s="588"/>
      <c r="YL16" s="588"/>
      <c r="YM16" s="588"/>
      <c r="YN16" s="588"/>
      <c r="YO16" s="588"/>
      <c r="YP16" s="588"/>
      <c r="YQ16" s="588"/>
      <c r="YR16" s="588"/>
      <c r="YS16" s="588"/>
      <c r="YT16" s="588"/>
      <c r="YU16" s="588"/>
      <c r="YV16" s="588"/>
      <c r="YW16" s="588"/>
      <c r="YX16" s="588"/>
      <c r="YY16" s="588"/>
      <c r="YZ16" s="588"/>
      <c r="ZA16" s="588"/>
      <c r="ZB16" s="588"/>
      <c r="ZC16" s="588"/>
      <c r="ZD16" s="588"/>
      <c r="ZE16" s="588"/>
      <c r="ZF16" s="588"/>
      <c r="ZG16" s="588"/>
      <c r="ZH16" s="588"/>
      <c r="ZI16" s="588"/>
      <c r="ZJ16" s="588"/>
      <c r="ZK16" s="588"/>
      <c r="ZL16" s="588"/>
      <c r="ZM16" s="588"/>
      <c r="ZN16" s="588"/>
      <c r="ZO16" s="588"/>
      <c r="ZP16" s="588"/>
      <c r="ZQ16" s="588"/>
      <c r="ZR16" s="588"/>
      <c r="ZS16" s="588"/>
      <c r="ZT16" s="588"/>
      <c r="ZU16" s="588"/>
      <c r="ZV16" s="588"/>
      <c r="ZW16" s="588"/>
      <c r="ZX16" s="588"/>
      <c r="ZY16" s="588"/>
      <c r="ZZ16" s="588"/>
      <c r="AAA16" s="588"/>
      <c r="AAB16" s="588"/>
      <c r="AAC16" s="588"/>
      <c r="AAD16" s="588"/>
      <c r="AAE16" s="588"/>
      <c r="AAF16" s="588"/>
      <c r="AAG16" s="588"/>
      <c r="AAH16" s="588"/>
      <c r="AAI16" s="588"/>
      <c r="AAJ16" s="588"/>
      <c r="AAK16" s="588"/>
      <c r="AAL16" s="588"/>
      <c r="AAM16" s="588"/>
      <c r="AAN16" s="588"/>
      <c r="AAO16" s="588"/>
      <c r="AAP16" s="588"/>
      <c r="AAQ16" s="588"/>
      <c r="AAR16" s="588"/>
      <c r="AAS16" s="588"/>
      <c r="AAT16" s="588"/>
      <c r="AAU16" s="588"/>
      <c r="AAV16" s="588"/>
      <c r="AAW16" s="588"/>
      <c r="AAX16" s="588"/>
      <c r="AAY16" s="588"/>
      <c r="AAZ16" s="588"/>
      <c r="ABA16" s="588"/>
      <c r="ABB16" s="588"/>
      <c r="ABC16" s="588"/>
      <c r="ABD16" s="588"/>
      <c r="ABE16" s="588"/>
      <c r="ABF16" s="588"/>
      <c r="ABG16" s="588"/>
      <c r="ABH16" s="588"/>
      <c r="ABI16" s="588"/>
      <c r="ABJ16" s="588"/>
      <c r="ABK16" s="588"/>
      <c r="ABL16" s="588"/>
      <c r="ABM16" s="588"/>
      <c r="ABN16" s="588"/>
      <c r="ABO16" s="588"/>
      <c r="ABP16" s="588"/>
      <c r="ABQ16" s="588"/>
      <c r="ABR16" s="588"/>
      <c r="ABS16" s="588"/>
      <c r="ABT16" s="588"/>
      <c r="ABU16" s="588"/>
      <c r="ABV16" s="588"/>
      <c r="ABW16" s="588"/>
      <c r="ABX16" s="588"/>
      <c r="ABY16" s="588"/>
      <c r="ABZ16" s="588"/>
      <c r="ACA16" s="588"/>
      <c r="ACB16" s="588"/>
      <c r="ACC16" s="588"/>
      <c r="ACD16" s="588"/>
      <c r="ACE16" s="588"/>
      <c r="ACF16" s="588"/>
      <c r="ACG16" s="588"/>
      <c r="ACH16" s="588"/>
      <c r="ACI16" s="588"/>
      <c r="ACJ16" s="588"/>
      <c r="ACK16" s="588"/>
      <c r="ACL16" s="588"/>
      <c r="ACM16" s="588"/>
      <c r="ACN16" s="588"/>
      <c r="ACO16" s="588"/>
      <c r="ACP16" s="588"/>
      <c r="ACQ16" s="588"/>
      <c r="ACR16" s="588"/>
      <c r="ACS16" s="588"/>
      <c r="ACT16" s="588"/>
      <c r="ACU16" s="588"/>
      <c r="ACV16" s="588"/>
      <c r="ACW16" s="588"/>
      <c r="ACX16" s="588"/>
      <c r="ACY16" s="588"/>
      <c r="ACZ16" s="588"/>
      <c r="ADA16" s="588"/>
      <c r="ADB16" s="588"/>
      <c r="ADC16" s="588"/>
      <c r="ADD16" s="588"/>
      <c r="ADE16" s="588"/>
      <c r="ADF16" s="588"/>
      <c r="ADG16" s="588"/>
      <c r="ADH16" s="588"/>
      <c r="ADI16" s="588"/>
      <c r="ADJ16" s="588"/>
      <c r="ADK16" s="588"/>
      <c r="ADL16" s="588"/>
      <c r="ADM16" s="588"/>
      <c r="ADN16" s="588"/>
      <c r="ADO16" s="588"/>
      <c r="ADP16" s="588"/>
      <c r="ADQ16" s="588"/>
      <c r="ADR16" s="588"/>
      <c r="ADS16" s="588"/>
      <c r="ADT16" s="588"/>
      <c r="ADU16" s="588"/>
      <c r="ADV16" s="588"/>
      <c r="ADW16" s="588"/>
      <c r="ADX16" s="588"/>
      <c r="ADY16" s="588"/>
      <c r="ADZ16" s="588"/>
      <c r="AEA16" s="588"/>
      <c r="AEB16" s="588"/>
      <c r="AEC16" s="588"/>
      <c r="AED16" s="588"/>
      <c r="AEE16" s="588"/>
      <c r="AEF16" s="588"/>
      <c r="AEG16" s="588"/>
      <c r="AEH16" s="588"/>
      <c r="AEI16" s="588"/>
      <c r="AEJ16" s="588"/>
      <c r="AEK16" s="588"/>
      <c r="AEL16" s="588"/>
      <c r="AEM16" s="588"/>
      <c r="AEN16" s="588"/>
      <c r="AEO16" s="588"/>
      <c r="AEP16" s="588"/>
      <c r="AEQ16" s="588"/>
      <c r="AER16" s="588"/>
      <c r="AES16" s="588"/>
      <c r="AET16" s="588"/>
      <c r="AEU16" s="588"/>
      <c r="AEV16" s="588"/>
      <c r="AEW16" s="588"/>
      <c r="AEX16" s="588"/>
      <c r="AEY16" s="588"/>
      <c r="AEZ16" s="588"/>
      <c r="AFA16" s="588"/>
      <c r="AFB16" s="588"/>
      <c r="AFC16" s="588"/>
      <c r="AFD16" s="588"/>
      <c r="AFE16" s="588"/>
      <c r="AFF16" s="588"/>
      <c r="AFG16" s="588"/>
      <c r="AFH16" s="588"/>
      <c r="AFI16" s="588"/>
      <c r="AFJ16" s="588"/>
      <c r="AFK16" s="588"/>
      <c r="AFL16" s="588"/>
      <c r="AFM16" s="588"/>
      <c r="AFN16" s="588"/>
      <c r="AFO16" s="588"/>
      <c r="AFP16" s="588"/>
      <c r="AFQ16" s="588"/>
      <c r="AFR16" s="588"/>
      <c r="AFS16" s="588"/>
      <c r="AFT16" s="588"/>
      <c r="AFU16" s="588"/>
      <c r="AFV16" s="588"/>
      <c r="AFW16" s="588"/>
      <c r="AFX16" s="588"/>
      <c r="AFY16" s="588"/>
      <c r="AFZ16" s="588"/>
      <c r="AGA16" s="588"/>
      <c r="AGB16" s="588"/>
      <c r="AGC16" s="588"/>
      <c r="AGD16" s="588"/>
      <c r="AGE16" s="588"/>
      <c r="AGF16" s="588"/>
      <c r="AGG16" s="588"/>
      <c r="AGH16" s="588"/>
      <c r="AGI16" s="588"/>
      <c r="AGJ16" s="588"/>
      <c r="AGK16" s="588"/>
      <c r="AGL16" s="588"/>
      <c r="AGM16" s="588"/>
      <c r="AGN16" s="588"/>
      <c r="AGO16" s="588"/>
      <c r="AGP16" s="588"/>
      <c r="AGQ16" s="588"/>
      <c r="AGR16" s="588"/>
      <c r="AGS16" s="588"/>
      <c r="AGT16" s="588"/>
      <c r="AGU16" s="588"/>
      <c r="AGV16" s="588"/>
      <c r="AGW16" s="588"/>
      <c r="AGX16" s="588"/>
      <c r="AGY16" s="588"/>
      <c r="AGZ16" s="588"/>
      <c r="AHA16" s="588"/>
      <c r="AHB16" s="588"/>
      <c r="AHC16" s="588"/>
      <c r="AHD16" s="588"/>
      <c r="AHE16" s="588"/>
      <c r="AHF16" s="588"/>
      <c r="AHG16" s="588"/>
      <c r="AHH16" s="588"/>
      <c r="AHI16" s="588"/>
      <c r="AHJ16" s="588"/>
      <c r="AHK16" s="588"/>
      <c r="AHL16" s="588"/>
      <c r="AHM16" s="588"/>
      <c r="AHN16" s="588"/>
      <c r="AHO16" s="588"/>
      <c r="AHP16" s="588"/>
      <c r="AHQ16" s="588"/>
      <c r="AHR16" s="588"/>
      <c r="AHS16" s="588"/>
      <c r="AHT16" s="588"/>
      <c r="AHU16" s="588"/>
      <c r="AHV16" s="588"/>
      <c r="AHW16" s="588"/>
      <c r="AHX16" s="588"/>
      <c r="AHY16" s="588"/>
      <c r="AHZ16" s="588"/>
      <c r="AIA16" s="588"/>
      <c r="AIB16" s="588"/>
      <c r="AIC16" s="588"/>
      <c r="AID16" s="588"/>
      <c r="AIE16" s="588"/>
      <c r="AIF16" s="588"/>
      <c r="AIG16" s="588"/>
      <c r="AIH16" s="588"/>
      <c r="AII16" s="588"/>
      <c r="AIJ16" s="588"/>
      <c r="AIK16" s="588"/>
      <c r="AIL16" s="588"/>
      <c r="AIM16" s="588"/>
      <c r="AIN16" s="588"/>
      <c r="AIO16" s="588"/>
      <c r="AIP16" s="588"/>
      <c r="AIQ16" s="588"/>
      <c r="AIR16" s="588"/>
      <c r="AIS16" s="588"/>
      <c r="AIT16" s="588"/>
      <c r="AIU16" s="588"/>
      <c r="AIV16" s="588"/>
      <c r="AIW16" s="588"/>
      <c r="AIX16" s="588"/>
      <c r="AIY16" s="588"/>
      <c r="AIZ16" s="588"/>
      <c r="AJA16" s="588"/>
      <c r="AJB16" s="588"/>
      <c r="AJC16" s="588"/>
      <c r="AJD16" s="588"/>
      <c r="AJE16" s="588"/>
      <c r="AJF16" s="588"/>
      <c r="AJG16" s="588"/>
      <c r="AJH16" s="588"/>
      <c r="AJI16" s="588"/>
      <c r="AJJ16" s="588"/>
      <c r="AJK16" s="588"/>
      <c r="AJL16" s="588"/>
      <c r="AJM16" s="588"/>
      <c r="AJN16" s="588"/>
      <c r="AJO16" s="588"/>
      <c r="AJP16" s="588"/>
      <c r="AJQ16" s="588"/>
      <c r="AJR16" s="588"/>
      <c r="AJS16" s="588"/>
      <c r="AJT16" s="588"/>
      <c r="AJU16" s="588"/>
      <c r="AJV16" s="588"/>
      <c r="AJW16" s="588"/>
      <c r="AJX16" s="588"/>
      <c r="AJY16" s="588"/>
      <c r="AJZ16" s="588"/>
      <c r="AKA16" s="588"/>
      <c r="AKB16" s="588"/>
      <c r="AKC16" s="588"/>
      <c r="AKD16" s="588"/>
      <c r="AKE16" s="588"/>
      <c r="AKF16" s="588"/>
      <c r="AKG16" s="588"/>
      <c r="AKH16" s="588"/>
      <c r="AKI16" s="588"/>
      <c r="AKJ16" s="588"/>
      <c r="AKK16" s="588"/>
      <c r="AKL16" s="588"/>
      <c r="AKM16" s="588"/>
      <c r="AKN16" s="588"/>
      <c r="AKO16" s="588"/>
      <c r="AKP16" s="588"/>
      <c r="AKQ16" s="588"/>
      <c r="AKR16" s="588"/>
      <c r="AKS16" s="588"/>
      <c r="AKT16" s="588"/>
      <c r="AKU16" s="588"/>
      <c r="AKV16" s="588"/>
      <c r="AKW16" s="588"/>
      <c r="AKX16" s="588"/>
      <c r="AKY16" s="588"/>
      <c r="AKZ16" s="588"/>
      <c r="ALA16" s="588"/>
      <c r="ALB16" s="588"/>
      <c r="ALC16" s="588"/>
      <c r="ALD16" s="588"/>
      <c r="ALE16" s="588"/>
      <c r="ALF16" s="588"/>
      <c r="ALG16" s="588"/>
      <c r="ALH16" s="588"/>
      <c r="ALI16" s="588"/>
      <c r="ALJ16" s="588"/>
      <c r="ALK16" s="588"/>
      <c r="ALL16" s="588"/>
      <c r="ALM16" s="588"/>
      <c r="ALN16" s="588"/>
      <c r="ALO16" s="588"/>
      <c r="ALP16" s="588"/>
      <c r="ALQ16" s="588"/>
      <c r="ALR16" s="588"/>
      <c r="ALS16" s="588"/>
      <c r="ALT16" s="588"/>
      <c r="ALU16" s="588"/>
      <c r="ALV16" s="588"/>
      <c r="ALW16" s="588"/>
      <c r="ALX16" s="588"/>
      <c r="ALY16" s="588"/>
      <c r="ALZ16" s="588"/>
      <c r="AMA16" s="588"/>
      <c r="AMB16" s="588"/>
      <c r="AMC16" s="588"/>
      <c r="AMD16" s="588"/>
      <c r="AME16" s="588"/>
      <c r="AMF16" s="588"/>
      <c r="AMG16" s="588"/>
      <c r="AMH16" s="588"/>
      <c r="AMI16" s="588"/>
      <c r="AMJ16" s="588"/>
      <c r="AMK16" s="588"/>
      <c r="AML16" s="588"/>
      <c r="AMM16" s="588"/>
      <c r="AMN16" s="588"/>
      <c r="AMO16" s="588"/>
      <c r="AMP16" s="588"/>
      <c r="AMQ16" s="588"/>
      <c r="AMR16" s="588"/>
      <c r="AMS16" s="588"/>
      <c r="AMT16" s="588"/>
      <c r="AMU16" s="588"/>
      <c r="AMV16" s="588"/>
      <c r="AMW16" s="588"/>
      <c r="AMX16" s="588"/>
      <c r="AMY16" s="588"/>
      <c r="AMZ16" s="588"/>
      <c r="ANA16" s="588"/>
      <c r="ANB16" s="588"/>
      <c r="ANC16" s="588"/>
      <c r="AND16" s="588"/>
      <c r="ANE16" s="588"/>
      <c r="ANF16" s="588"/>
      <c r="ANG16" s="588"/>
      <c r="ANH16" s="588"/>
      <c r="ANI16" s="588"/>
      <c r="ANJ16" s="588"/>
      <c r="ANK16" s="588"/>
      <c r="ANL16" s="588"/>
      <c r="ANM16" s="588"/>
      <c r="ANN16" s="588"/>
      <c r="ANO16" s="588"/>
      <c r="ANP16" s="588"/>
      <c r="ANQ16" s="588"/>
      <c r="ANR16" s="588"/>
      <c r="ANS16" s="588"/>
      <c r="ANT16" s="588"/>
      <c r="ANU16" s="588"/>
      <c r="ANV16" s="588"/>
      <c r="ANW16" s="588"/>
      <c r="ANX16" s="588"/>
      <c r="ANY16" s="588"/>
      <c r="ANZ16" s="588"/>
      <c r="AOA16" s="588"/>
      <c r="AOB16" s="588"/>
      <c r="AOC16" s="588"/>
      <c r="AOD16" s="588"/>
      <c r="AOE16" s="588"/>
      <c r="AOF16" s="588"/>
      <c r="AOG16" s="588"/>
      <c r="AOH16" s="588"/>
      <c r="AOI16" s="588"/>
      <c r="AOJ16" s="588"/>
      <c r="AOK16" s="588"/>
      <c r="AOL16" s="588"/>
      <c r="AOM16" s="588"/>
      <c r="AON16" s="588"/>
      <c r="AOO16" s="588"/>
      <c r="AOP16" s="588"/>
      <c r="AOQ16" s="588"/>
      <c r="AOR16" s="588"/>
      <c r="AOS16" s="588"/>
      <c r="AOT16" s="588"/>
      <c r="AOU16" s="588"/>
      <c r="AOV16" s="588"/>
      <c r="AOW16" s="588"/>
      <c r="AOX16" s="588"/>
      <c r="AOY16" s="588"/>
      <c r="AOZ16" s="588"/>
      <c r="APA16" s="588"/>
      <c r="APB16" s="588"/>
      <c r="APC16" s="588"/>
      <c r="APD16" s="588"/>
      <c r="APE16" s="588"/>
      <c r="APF16" s="588"/>
      <c r="APG16" s="588"/>
      <c r="APH16" s="588"/>
      <c r="API16" s="588"/>
      <c r="APJ16" s="588"/>
      <c r="APK16" s="588"/>
      <c r="APL16" s="588"/>
      <c r="APM16" s="588"/>
      <c r="APN16" s="588"/>
      <c r="APO16" s="588"/>
      <c r="APP16" s="588"/>
      <c r="APQ16" s="588"/>
      <c r="APR16" s="588"/>
      <c r="APS16" s="588"/>
      <c r="APT16" s="588"/>
      <c r="APU16" s="588"/>
      <c r="APV16" s="588"/>
      <c r="APW16" s="588"/>
      <c r="APX16" s="588"/>
      <c r="APY16" s="588"/>
      <c r="APZ16" s="588"/>
      <c r="AQA16" s="588"/>
      <c r="AQB16" s="588"/>
      <c r="AQC16" s="588"/>
      <c r="AQD16" s="588"/>
      <c r="AQE16" s="588"/>
      <c r="AQF16" s="588"/>
      <c r="AQG16" s="588"/>
      <c r="AQH16" s="588"/>
      <c r="AQI16" s="588"/>
      <c r="AQJ16" s="588"/>
      <c r="AQK16" s="588"/>
      <c r="AQL16" s="588"/>
      <c r="AQM16" s="588"/>
      <c r="AQN16" s="588"/>
      <c r="AQO16" s="588"/>
      <c r="AQP16" s="588"/>
      <c r="AQQ16" s="588"/>
      <c r="AQR16" s="588"/>
      <c r="AQS16" s="588"/>
      <c r="AQT16" s="588"/>
      <c r="AQU16" s="588"/>
      <c r="AQV16" s="588"/>
      <c r="AQW16" s="588"/>
      <c r="AQX16" s="588"/>
      <c r="AQY16" s="588"/>
      <c r="AQZ16" s="588"/>
      <c r="ARA16" s="588"/>
      <c r="ARB16" s="588"/>
      <c r="ARC16" s="588"/>
      <c r="ARD16" s="588"/>
      <c r="ARE16" s="588"/>
      <c r="ARF16" s="588"/>
      <c r="ARG16" s="588"/>
      <c r="ARH16" s="588"/>
      <c r="ARI16" s="588"/>
      <c r="ARJ16" s="588"/>
      <c r="ARK16" s="588"/>
      <c r="ARL16" s="588"/>
      <c r="ARM16" s="588"/>
      <c r="ARN16" s="588"/>
      <c r="ARO16" s="588"/>
      <c r="ARP16" s="588"/>
      <c r="ARQ16" s="588"/>
      <c r="ARR16" s="588"/>
      <c r="ARS16" s="588"/>
      <c r="ART16" s="588"/>
      <c r="ARU16" s="588"/>
      <c r="ARV16" s="588"/>
      <c r="ARW16" s="588"/>
      <c r="ARX16" s="588"/>
      <c r="ARY16" s="588"/>
      <c r="ARZ16" s="588"/>
      <c r="ASA16" s="588"/>
      <c r="ASB16" s="588"/>
      <c r="ASC16" s="588"/>
      <c r="ASD16" s="588"/>
      <c r="ASE16" s="588"/>
      <c r="ASF16" s="588"/>
      <c r="ASG16" s="588"/>
      <c r="ASH16" s="588"/>
      <c r="ASI16" s="588"/>
      <c r="ASJ16" s="588"/>
      <c r="ASK16" s="588"/>
      <c r="ASL16" s="588"/>
      <c r="ASM16" s="588"/>
      <c r="ASN16" s="588"/>
      <c r="ASO16" s="588"/>
      <c r="ASP16" s="588"/>
      <c r="ASQ16" s="588"/>
      <c r="ASR16" s="588"/>
      <c r="ASS16" s="588"/>
      <c r="AST16" s="588"/>
      <c r="ASU16" s="588"/>
      <c r="ASV16" s="588"/>
      <c r="ASW16" s="588"/>
      <c r="ASX16" s="588"/>
      <c r="ASY16" s="588"/>
      <c r="ASZ16" s="588"/>
      <c r="ATA16" s="588"/>
      <c r="ATB16" s="588"/>
      <c r="ATC16" s="588"/>
      <c r="ATD16" s="588"/>
      <c r="ATE16" s="588"/>
      <c r="ATF16" s="588"/>
      <c r="ATG16" s="588"/>
      <c r="ATH16" s="588"/>
      <c r="ATI16" s="588"/>
      <c r="ATJ16" s="588"/>
      <c r="ATK16" s="588"/>
      <c r="ATL16" s="588"/>
      <c r="ATM16" s="588"/>
      <c r="ATN16" s="588"/>
      <c r="ATO16" s="588"/>
      <c r="ATP16" s="588"/>
      <c r="ATQ16" s="588"/>
      <c r="ATR16" s="588"/>
      <c r="ATS16" s="588"/>
      <c r="ATT16" s="588"/>
      <c r="ATU16" s="588"/>
      <c r="ATV16" s="588"/>
      <c r="ATW16" s="588"/>
      <c r="ATX16" s="588"/>
      <c r="ATY16" s="588"/>
      <c r="ATZ16" s="588"/>
      <c r="AUA16" s="588"/>
      <c r="AUB16" s="588"/>
      <c r="AUC16" s="588"/>
      <c r="AUD16" s="588"/>
      <c r="AUE16" s="588"/>
      <c r="AUF16" s="588"/>
      <c r="AUG16" s="588"/>
      <c r="AUH16" s="588"/>
      <c r="AUI16" s="588"/>
      <c r="AUJ16" s="588"/>
      <c r="AUK16" s="588"/>
      <c r="AUL16" s="588"/>
      <c r="AUM16" s="588"/>
      <c r="AUN16" s="588"/>
      <c r="AUO16" s="588"/>
      <c r="AUP16" s="588"/>
      <c r="AUQ16" s="588"/>
      <c r="AUR16" s="588"/>
      <c r="AUS16" s="588"/>
      <c r="AUT16" s="588"/>
      <c r="AUU16" s="588"/>
      <c r="AUV16" s="588"/>
      <c r="AUW16" s="588"/>
      <c r="AUX16" s="588"/>
      <c r="AUY16" s="588"/>
      <c r="AUZ16" s="588"/>
      <c r="AVA16" s="588"/>
      <c r="AVB16" s="588"/>
      <c r="AVC16" s="588"/>
      <c r="AVD16" s="588"/>
      <c r="AVE16" s="588"/>
      <c r="AVF16" s="588"/>
      <c r="AVG16" s="588"/>
      <c r="AVH16" s="588"/>
      <c r="AVI16" s="588"/>
      <c r="AVJ16" s="588"/>
      <c r="AVK16" s="588"/>
      <c r="AVL16" s="588"/>
      <c r="AVM16" s="588"/>
      <c r="AVN16" s="588"/>
      <c r="AVO16" s="588"/>
      <c r="AVP16" s="588"/>
      <c r="AVQ16" s="588"/>
      <c r="AVR16" s="588"/>
      <c r="AVS16" s="588"/>
      <c r="AVT16" s="588"/>
      <c r="AVU16" s="588"/>
      <c r="AVV16" s="588"/>
      <c r="AVW16" s="588"/>
      <c r="AVX16" s="588"/>
      <c r="AVY16" s="588"/>
      <c r="AVZ16" s="588"/>
      <c r="AWA16" s="588"/>
      <c r="AWB16" s="588"/>
      <c r="AWC16" s="588"/>
      <c r="AWD16" s="588"/>
      <c r="AWE16" s="588"/>
      <c r="AWF16" s="588"/>
      <c r="AWG16" s="588"/>
      <c r="AWH16" s="588"/>
      <c r="AWI16" s="588"/>
      <c r="AWJ16" s="588"/>
      <c r="AWK16" s="588"/>
      <c r="AWL16" s="588"/>
      <c r="AWM16" s="588"/>
      <c r="AWN16" s="588"/>
      <c r="AWO16" s="588"/>
      <c r="AWP16" s="588"/>
      <c r="AWQ16" s="588"/>
      <c r="AWR16" s="588"/>
      <c r="AWS16" s="588"/>
      <c r="AWT16" s="588"/>
      <c r="AWU16" s="588"/>
      <c r="AWV16" s="588"/>
      <c r="AWW16" s="588"/>
      <c r="AWX16" s="588"/>
      <c r="AWY16" s="588"/>
      <c r="AWZ16" s="588"/>
      <c r="AXA16" s="588"/>
      <c r="AXB16" s="588"/>
      <c r="AXC16" s="588"/>
      <c r="AXD16" s="588"/>
      <c r="AXE16" s="588"/>
      <c r="AXF16" s="588"/>
      <c r="AXG16" s="588"/>
      <c r="AXH16" s="588"/>
      <c r="AXI16" s="588"/>
      <c r="AXJ16" s="588"/>
      <c r="AXK16" s="588"/>
      <c r="AXL16" s="588"/>
      <c r="AXM16" s="588"/>
      <c r="AXN16" s="588"/>
      <c r="AXO16" s="588"/>
      <c r="AXP16" s="588"/>
      <c r="AXQ16" s="588"/>
      <c r="AXR16" s="588"/>
      <c r="AXS16" s="588"/>
      <c r="AXT16" s="588"/>
      <c r="AXU16" s="588"/>
      <c r="AXV16" s="588"/>
      <c r="AXW16" s="588"/>
      <c r="AXX16" s="588"/>
      <c r="AXY16" s="588"/>
      <c r="AXZ16" s="588"/>
      <c r="AYA16" s="588"/>
      <c r="AYB16" s="588"/>
      <c r="AYC16" s="588"/>
      <c r="AYD16" s="588"/>
      <c r="AYE16" s="588"/>
      <c r="AYF16" s="588"/>
      <c r="AYG16" s="588"/>
      <c r="AYH16" s="588"/>
      <c r="AYI16" s="588"/>
      <c r="AYJ16" s="588"/>
      <c r="AYK16" s="588"/>
      <c r="AYL16" s="588"/>
      <c r="AYM16" s="588"/>
      <c r="AYN16" s="588"/>
      <c r="AYO16" s="588"/>
      <c r="AYP16" s="588"/>
      <c r="AYQ16" s="588"/>
      <c r="AYR16" s="588"/>
      <c r="AYS16" s="588"/>
      <c r="AYT16" s="588"/>
      <c r="AYU16" s="588"/>
      <c r="AYV16" s="588"/>
      <c r="AYW16" s="588"/>
      <c r="AYX16" s="588"/>
      <c r="AYY16" s="588"/>
      <c r="AYZ16" s="588"/>
      <c r="AZA16" s="588"/>
      <c r="AZB16" s="588"/>
      <c r="AZC16" s="588"/>
      <c r="AZD16" s="588"/>
      <c r="AZE16" s="588"/>
      <c r="AZF16" s="588"/>
      <c r="AZG16" s="588"/>
      <c r="AZH16" s="588"/>
      <c r="AZI16" s="588"/>
      <c r="AZJ16" s="588"/>
      <c r="AZK16" s="588"/>
      <c r="AZL16" s="588"/>
      <c r="AZM16" s="588"/>
      <c r="AZN16" s="588"/>
      <c r="AZO16" s="588"/>
      <c r="AZP16" s="588"/>
      <c r="AZQ16" s="588"/>
      <c r="AZR16" s="588"/>
      <c r="AZS16" s="588"/>
      <c r="AZT16" s="588"/>
      <c r="AZU16" s="588"/>
      <c r="AZV16" s="588"/>
      <c r="AZW16" s="588"/>
      <c r="AZX16" s="588"/>
      <c r="AZY16" s="588"/>
      <c r="AZZ16" s="588"/>
      <c r="BAA16" s="588"/>
      <c r="BAB16" s="588"/>
      <c r="BAC16" s="588"/>
      <c r="BAD16" s="588"/>
      <c r="BAE16" s="588"/>
      <c r="BAF16" s="588"/>
      <c r="BAG16" s="588"/>
      <c r="BAH16" s="588"/>
      <c r="BAI16" s="588"/>
      <c r="BAJ16" s="588"/>
      <c r="BAK16" s="588"/>
      <c r="BAL16" s="588"/>
      <c r="BAM16" s="588"/>
      <c r="BAN16" s="588"/>
      <c r="BAO16" s="588"/>
      <c r="BAP16" s="588"/>
      <c r="BAQ16" s="588"/>
      <c r="BAR16" s="588"/>
      <c r="BAS16" s="588"/>
      <c r="BAT16" s="588"/>
      <c r="BAU16" s="588"/>
      <c r="BAV16" s="588"/>
      <c r="BAW16" s="588"/>
      <c r="BAX16" s="588"/>
      <c r="BAY16" s="588"/>
      <c r="BAZ16" s="588"/>
      <c r="BBA16" s="588"/>
      <c r="BBB16" s="588"/>
      <c r="BBC16" s="588"/>
      <c r="BBD16" s="588"/>
      <c r="BBE16" s="588"/>
      <c r="BBF16" s="588"/>
      <c r="BBG16" s="588"/>
      <c r="BBH16" s="588"/>
      <c r="BBI16" s="588"/>
      <c r="BBJ16" s="588"/>
      <c r="BBK16" s="588"/>
      <c r="BBL16" s="588"/>
      <c r="BBM16" s="588"/>
      <c r="BBN16" s="588"/>
      <c r="BBO16" s="588"/>
      <c r="BBP16" s="588"/>
      <c r="BBQ16" s="588"/>
      <c r="BBR16" s="588"/>
      <c r="BBS16" s="588"/>
      <c r="BBT16" s="588"/>
      <c r="BBU16" s="588"/>
      <c r="BBV16" s="588"/>
      <c r="BBW16" s="588"/>
      <c r="BBX16" s="588"/>
      <c r="BBY16" s="588"/>
      <c r="BBZ16" s="588"/>
      <c r="BCA16" s="588"/>
      <c r="BCB16" s="588"/>
      <c r="BCC16" s="588"/>
      <c r="BCD16" s="588"/>
      <c r="BCE16" s="588"/>
      <c r="BCF16" s="588"/>
      <c r="BCG16" s="588"/>
      <c r="BCH16" s="588"/>
      <c r="BCI16" s="588"/>
      <c r="BCJ16" s="588"/>
      <c r="BCK16" s="588"/>
      <c r="BCL16" s="588"/>
      <c r="BCM16" s="588"/>
      <c r="BCN16" s="588"/>
      <c r="BCO16" s="588"/>
      <c r="BCP16" s="588"/>
      <c r="BCQ16" s="588"/>
      <c r="BCR16" s="588"/>
      <c r="BCS16" s="588"/>
      <c r="BCT16" s="588"/>
      <c r="BCU16" s="588"/>
      <c r="BCV16" s="588"/>
      <c r="BCW16" s="588"/>
      <c r="BCX16" s="588"/>
      <c r="BCY16" s="588"/>
      <c r="BCZ16" s="588"/>
      <c r="BDA16" s="588"/>
      <c r="BDB16" s="588"/>
      <c r="BDC16" s="588"/>
      <c r="BDD16" s="588"/>
      <c r="BDE16" s="588"/>
      <c r="BDF16" s="588"/>
      <c r="BDG16" s="588"/>
      <c r="BDH16" s="588"/>
      <c r="BDI16" s="588"/>
      <c r="BDJ16" s="588"/>
      <c r="BDK16" s="588"/>
      <c r="BDL16" s="588"/>
      <c r="BDM16" s="588"/>
      <c r="BDN16" s="588"/>
      <c r="BDO16" s="588"/>
      <c r="BDP16" s="588"/>
      <c r="BDQ16" s="588"/>
      <c r="BDR16" s="588"/>
      <c r="BDS16" s="588"/>
      <c r="BDT16" s="588"/>
      <c r="BDU16" s="588"/>
      <c r="BDV16" s="588"/>
      <c r="BDW16" s="588"/>
      <c r="BDX16" s="588"/>
      <c r="BDY16" s="588"/>
      <c r="BDZ16" s="588"/>
      <c r="BEA16" s="588"/>
      <c r="BEB16" s="588"/>
      <c r="BEC16" s="588"/>
      <c r="BED16" s="588"/>
      <c r="BEE16" s="588"/>
      <c r="BEF16" s="588"/>
      <c r="BEG16" s="588"/>
      <c r="BEH16" s="588"/>
      <c r="BEI16" s="588"/>
      <c r="BEJ16" s="588"/>
      <c r="BEK16" s="588"/>
      <c r="BEL16" s="588"/>
      <c r="BEM16" s="588"/>
      <c r="BEN16" s="588"/>
      <c r="BEO16" s="588"/>
      <c r="BEP16" s="588"/>
      <c r="BEQ16" s="588"/>
      <c r="BER16" s="588"/>
      <c r="BES16" s="588"/>
      <c r="BET16" s="588"/>
      <c r="BEU16" s="588"/>
      <c r="BEV16" s="588"/>
      <c r="BEW16" s="588"/>
      <c r="BEX16" s="588"/>
      <c r="BEY16" s="588"/>
      <c r="BEZ16" s="588"/>
      <c r="BFA16" s="588"/>
      <c r="BFB16" s="588"/>
      <c r="BFC16" s="588"/>
      <c r="BFD16" s="588"/>
      <c r="BFE16" s="588"/>
      <c r="BFF16" s="588"/>
      <c r="BFG16" s="588"/>
      <c r="BFH16" s="588"/>
      <c r="BFI16" s="588"/>
      <c r="BFJ16" s="588"/>
      <c r="BFK16" s="588"/>
      <c r="BFL16" s="588"/>
      <c r="BFM16" s="588"/>
      <c r="BFN16" s="588"/>
      <c r="BFO16" s="588"/>
      <c r="BFP16" s="588"/>
      <c r="BFQ16" s="588"/>
      <c r="BFR16" s="588"/>
      <c r="BFS16" s="588"/>
      <c r="BFT16" s="588"/>
      <c r="BFU16" s="588"/>
      <c r="BFV16" s="588"/>
      <c r="BFW16" s="588"/>
      <c r="BFX16" s="588"/>
      <c r="BFY16" s="588"/>
      <c r="BFZ16" s="588"/>
      <c r="BGA16" s="588"/>
      <c r="BGB16" s="588"/>
      <c r="BGC16" s="588"/>
      <c r="BGD16" s="588"/>
      <c r="BGE16" s="588"/>
      <c r="BGF16" s="588"/>
      <c r="BGG16" s="588"/>
      <c r="BGH16" s="588"/>
      <c r="BGI16" s="588"/>
      <c r="BGJ16" s="588"/>
      <c r="BGK16" s="588"/>
      <c r="BGL16" s="588"/>
      <c r="BGM16" s="588"/>
      <c r="BGN16" s="588"/>
      <c r="BGO16" s="588"/>
      <c r="BGP16" s="588"/>
      <c r="BGQ16" s="588"/>
      <c r="BGR16" s="588"/>
      <c r="BGS16" s="588"/>
      <c r="BGT16" s="588"/>
      <c r="BGU16" s="588"/>
      <c r="BGV16" s="588"/>
      <c r="BGW16" s="588"/>
      <c r="BGX16" s="588"/>
      <c r="BGY16" s="588"/>
      <c r="BGZ16" s="588"/>
      <c r="BHA16" s="588"/>
      <c r="BHB16" s="588"/>
      <c r="BHC16" s="588"/>
      <c r="BHD16" s="588"/>
      <c r="BHE16" s="588"/>
      <c r="BHF16" s="588"/>
      <c r="BHG16" s="588"/>
      <c r="BHH16" s="588"/>
      <c r="BHI16" s="588"/>
      <c r="BHJ16" s="588"/>
      <c r="BHK16" s="588"/>
      <c r="BHL16" s="588"/>
      <c r="BHM16" s="588"/>
      <c r="BHN16" s="588"/>
      <c r="BHO16" s="588"/>
      <c r="BHP16" s="588"/>
      <c r="BHQ16" s="588"/>
      <c r="BHR16" s="588"/>
      <c r="BHS16" s="588"/>
      <c r="BHT16" s="588"/>
      <c r="BHU16" s="588"/>
      <c r="BHV16" s="588"/>
      <c r="BHW16" s="588"/>
      <c r="BHX16" s="588"/>
      <c r="BHY16" s="588"/>
      <c r="BHZ16" s="588"/>
      <c r="BIA16" s="588"/>
      <c r="BIB16" s="588"/>
      <c r="BIC16" s="588"/>
      <c r="BID16" s="588"/>
      <c r="BIE16" s="588"/>
      <c r="BIF16" s="588"/>
      <c r="BIG16" s="588"/>
      <c r="BIH16" s="588"/>
      <c r="BII16" s="588"/>
      <c r="BIJ16" s="588"/>
      <c r="BIK16" s="588"/>
      <c r="BIL16" s="588"/>
      <c r="BIM16" s="588"/>
      <c r="BIN16" s="588"/>
      <c r="BIO16" s="588"/>
      <c r="BIP16" s="588"/>
      <c r="BIQ16" s="588"/>
      <c r="BIR16" s="588"/>
      <c r="BIS16" s="588"/>
      <c r="BIT16" s="588"/>
      <c r="BIU16" s="588"/>
      <c r="BIV16" s="588"/>
      <c r="BIW16" s="588"/>
      <c r="BIX16" s="588"/>
      <c r="BIY16" s="588"/>
      <c r="BIZ16" s="588"/>
      <c r="BJA16" s="588"/>
      <c r="BJB16" s="588"/>
      <c r="BJC16" s="588"/>
      <c r="BJD16" s="588"/>
      <c r="BJE16" s="588"/>
      <c r="BJF16" s="588"/>
      <c r="BJG16" s="588"/>
      <c r="BJH16" s="588"/>
      <c r="BJI16" s="588"/>
      <c r="BJJ16" s="588"/>
      <c r="BJK16" s="588"/>
      <c r="BJL16" s="588"/>
      <c r="BJM16" s="588"/>
      <c r="BJN16" s="588"/>
      <c r="BJO16" s="588"/>
      <c r="BJP16" s="588"/>
      <c r="BJQ16" s="588"/>
      <c r="BJR16" s="588"/>
      <c r="BJS16" s="588"/>
      <c r="BJT16" s="588"/>
      <c r="BJU16" s="588"/>
      <c r="BJV16" s="588"/>
      <c r="BJW16" s="588"/>
      <c r="BJX16" s="588"/>
      <c r="BJY16" s="588"/>
      <c r="BJZ16" s="588"/>
      <c r="BKA16" s="588"/>
      <c r="BKB16" s="588"/>
      <c r="BKC16" s="588"/>
      <c r="BKD16" s="588"/>
      <c r="BKE16" s="588"/>
      <c r="BKF16" s="588"/>
      <c r="BKG16" s="588"/>
      <c r="BKH16" s="588"/>
      <c r="BKI16" s="588"/>
      <c r="BKJ16" s="588"/>
      <c r="BKK16" s="588"/>
      <c r="BKL16" s="588"/>
      <c r="BKM16" s="588"/>
      <c r="BKN16" s="588"/>
      <c r="BKO16" s="588"/>
      <c r="BKP16" s="588"/>
      <c r="BKQ16" s="588"/>
      <c r="BKR16" s="588"/>
      <c r="BKS16" s="588"/>
      <c r="BKT16" s="588"/>
      <c r="BKU16" s="588"/>
      <c r="BKV16" s="588"/>
      <c r="BKW16" s="588"/>
      <c r="BKX16" s="588"/>
      <c r="BKY16" s="588"/>
      <c r="BKZ16" s="588"/>
      <c r="BLA16" s="588"/>
      <c r="BLB16" s="588"/>
      <c r="BLC16" s="588"/>
      <c r="BLD16" s="588"/>
      <c r="BLE16" s="588"/>
      <c r="BLF16" s="588"/>
      <c r="BLG16" s="588"/>
      <c r="BLH16" s="588"/>
      <c r="BLI16" s="588"/>
      <c r="BLJ16" s="588"/>
      <c r="BLK16" s="588"/>
      <c r="BLL16" s="588"/>
      <c r="BLM16" s="588"/>
      <c r="BLN16" s="588"/>
      <c r="BLO16" s="588"/>
      <c r="BLP16" s="588"/>
      <c r="BLQ16" s="588"/>
      <c r="BLR16" s="588"/>
      <c r="BLS16" s="588"/>
      <c r="BLT16" s="588"/>
      <c r="BLU16" s="588"/>
      <c r="BLV16" s="588"/>
      <c r="BLW16" s="588"/>
      <c r="BLX16" s="588"/>
      <c r="BLY16" s="588"/>
      <c r="BLZ16" s="588"/>
      <c r="BMA16" s="588"/>
      <c r="BMB16" s="588"/>
      <c r="BMC16" s="588"/>
      <c r="BMD16" s="588"/>
      <c r="BME16" s="588"/>
      <c r="BMF16" s="588"/>
      <c r="BMG16" s="588"/>
      <c r="BMH16" s="588"/>
      <c r="BMI16" s="588"/>
      <c r="BMJ16" s="588"/>
      <c r="BMK16" s="588"/>
      <c r="BML16" s="588"/>
      <c r="BMM16" s="588"/>
      <c r="BMN16" s="588"/>
      <c r="BMO16" s="588"/>
      <c r="BMP16" s="588"/>
      <c r="BMQ16" s="588"/>
      <c r="BMR16" s="588"/>
      <c r="BMS16" s="588"/>
      <c r="BMT16" s="588"/>
      <c r="BMU16" s="588"/>
      <c r="BMV16" s="588"/>
      <c r="BMW16" s="588"/>
      <c r="BMX16" s="588"/>
      <c r="BMY16" s="588"/>
      <c r="BMZ16" s="588"/>
      <c r="BNA16" s="588"/>
      <c r="BNB16" s="588"/>
      <c r="BNC16" s="588"/>
      <c r="BND16" s="588"/>
      <c r="BNE16" s="588"/>
      <c r="BNF16" s="588"/>
      <c r="BNG16" s="588"/>
      <c r="BNH16" s="588"/>
      <c r="BNI16" s="588"/>
      <c r="BNJ16" s="588"/>
      <c r="BNK16" s="588"/>
      <c r="BNL16" s="588"/>
      <c r="BNM16" s="588"/>
      <c r="BNN16" s="588"/>
      <c r="BNO16" s="588"/>
      <c r="BNP16" s="588"/>
      <c r="BNQ16" s="588"/>
      <c r="BNR16" s="588"/>
      <c r="BNS16" s="588"/>
      <c r="BNT16" s="588"/>
      <c r="BNU16" s="588"/>
      <c r="BNV16" s="588"/>
      <c r="BNW16" s="588"/>
      <c r="BNX16" s="588"/>
      <c r="BNY16" s="588"/>
      <c r="BNZ16" s="588"/>
      <c r="BOA16" s="588"/>
      <c r="BOB16" s="588"/>
      <c r="BOC16" s="588"/>
      <c r="BOD16" s="588"/>
      <c r="BOE16" s="588"/>
      <c r="BOF16" s="588"/>
      <c r="BOG16" s="588"/>
      <c r="BOH16" s="588"/>
      <c r="BOI16" s="588"/>
      <c r="BOJ16" s="588"/>
      <c r="BOK16" s="588"/>
      <c r="BOL16" s="588"/>
      <c r="BOM16" s="588"/>
      <c r="BON16" s="588"/>
      <c r="BOO16" s="588"/>
      <c r="BOP16" s="588"/>
      <c r="BOQ16" s="588"/>
      <c r="BOR16" s="588"/>
      <c r="BOS16" s="588"/>
      <c r="BOT16" s="588"/>
      <c r="BOU16" s="588"/>
      <c r="BOV16" s="588"/>
      <c r="BOW16" s="588"/>
      <c r="BOX16" s="588"/>
      <c r="BOY16" s="588"/>
      <c r="BOZ16" s="588"/>
      <c r="BPA16" s="588"/>
      <c r="BPB16" s="588"/>
      <c r="BPC16" s="588"/>
      <c r="BPD16" s="588"/>
      <c r="BPE16" s="588"/>
      <c r="BPF16" s="588"/>
      <c r="BPG16" s="588"/>
      <c r="BPH16" s="588"/>
      <c r="BPI16" s="588"/>
      <c r="BPJ16" s="588"/>
      <c r="BPK16" s="588"/>
      <c r="BPL16" s="588"/>
      <c r="BPM16" s="588"/>
      <c r="BPN16" s="588"/>
      <c r="BPO16" s="588"/>
      <c r="BPP16" s="588"/>
      <c r="BPQ16" s="588"/>
      <c r="BPR16" s="588"/>
      <c r="BPS16" s="588"/>
      <c r="BPT16" s="588"/>
      <c r="BPU16" s="588"/>
      <c r="BPV16" s="588"/>
      <c r="BPW16" s="588"/>
      <c r="BPX16" s="588"/>
      <c r="BPY16" s="588"/>
      <c r="BPZ16" s="588"/>
      <c r="BQA16" s="588"/>
      <c r="BQB16" s="588"/>
      <c r="BQC16" s="588"/>
      <c r="BQD16" s="588"/>
      <c r="BQE16" s="588"/>
      <c r="BQF16" s="588"/>
      <c r="BQG16" s="588"/>
      <c r="BQH16" s="588"/>
      <c r="BQI16" s="588"/>
      <c r="BQJ16" s="588"/>
      <c r="BQK16" s="588"/>
      <c r="BQL16" s="588"/>
      <c r="BQM16" s="588"/>
      <c r="BQN16" s="588"/>
      <c r="BQO16" s="588"/>
      <c r="BQP16" s="588"/>
      <c r="BQQ16" s="588"/>
      <c r="BQR16" s="588"/>
      <c r="BQS16" s="588"/>
      <c r="BQT16" s="588"/>
      <c r="BQU16" s="588"/>
      <c r="BQV16" s="588"/>
      <c r="BQW16" s="588"/>
      <c r="BQX16" s="588"/>
      <c r="BQY16" s="588"/>
      <c r="BQZ16" s="588"/>
      <c r="BRA16" s="588"/>
      <c r="BRB16" s="588"/>
      <c r="BRC16" s="588"/>
      <c r="BRD16" s="588"/>
      <c r="BRE16" s="588"/>
      <c r="BRF16" s="588"/>
      <c r="BRG16" s="588"/>
      <c r="BRH16" s="588"/>
      <c r="BRI16" s="588"/>
      <c r="BRJ16" s="588"/>
      <c r="BRK16" s="588"/>
      <c r="BRL16" s="588"/>
      <c r="BRM16" s="588"/>
      <c r="BRN16" s="588"/>
      <c r="BRO16" s="588"/>
      <c r="BRP16" s="588"/>
      <c r="BRQ16" s="588"/>
      <c r="BRR16" s="588"/>
      <c r="BRS16" s="588"/>
      <c r="BRT16" s="588"/>
      <c r="BRU16" s="588"/>
      <c r="BRV16" s="588"/>
      <c r="BRW16" s="588"/>
      <c r="BRX16" s="588"/>
      <c r="BRY16" s="588"/>
      <c r="BRZ16" s="588"/>
      <c r="BSA16" s="588"/>
      <c r="BSB16" s="588"/>
      <c r="BSC16" s="588"/>
      <c r="BSD16" s="588"/>
      <c r="BSE16" s="588"/>
      <c r="BSF16" s="588"/>
      <c r="BSG16" s="588"/>
      <c r="BSH16" s="588"/>
      <c r="BSI16" s="588"/>
      <c r="BSJ16" s="588"/>
      <c r="BSK16" s="588"/>
      <c r="BSL16" s="588"/>
      <c r="BSM16" s="588"/>
      <c r="BSN16" s="588"/>
      <c r="BSO16" s="588"/>
      <c r="BSP16" s="588"/>
      <c r="BSQ16" s="588"/>
      <c r="BSR16" s="588"/>
      <c r="BSS16" s="588"/>
      <c r="BST16" s="588"/>
      <c r="BSU16" s="588"/>
      <c r="BSV16" s="588"/>
      <c r="BSW16" s="588"/>
      <c r="BSX16" s="588"/>
      <c r="BSY16" s="588"/>
      <c r="BSZ16" s="588"/>
      <c r="BTA16" s="588"/>
      <c r="BTB16" s="588"/>
      <c r="BTC16" s="588"/>
      <c r="BTD16" s="588"/>
      <c r="BTE16" s="588"/>
      <c r="BTF16" s="588"/>
      <c r="BTG16" s="588"/>
      <c r="BTH16" s="588"/>
      <c r="BTI16" s="588"/>
      <c r="BTJ16" s="588"/>
      <c r="BTK16" s="588"/>
      <c r="BTL16" s="588"/>
      <c r="BTM16" s="588"/>
      <c r="BTN16" s="588"/>
      <c r="BTO16" s="588"/>
      <c r="BTP16" s="588"/>
      <c r="BTQ16" s="588"/>
      <c r="BTR16" s="588"/>
      <c r="BTS16" s="588"/>
      <c r="BTT16" s="588"/>
      <c r="BTU16" s="588"/>
      <c r="BTV16" s="588"/>
      <c r="BTW16" s="588"/>
      <c r="BTX16" s="588"/>
      <c r="BTY16" s="588"/>
      <c r="BTZ16" s="588"/>
      <c r="BUA16" s="588"/>
      <c r="BUB16" s="588"/>
      <c r="BUC16" s="588"/>
      <c r="BUD16" s="588"/>
      <c r="BUE16" s="588"/>
      <c r="BUF16" s="588"/>
      <c r="BUG16" s="588"/>
      <c r="BUH16" s="588"/>
      <c r="BUI16" s="588"/>
      <c r="BUJ16" s="588"/>
      <c r="BUK16" s="588"/>
      <c r="BUL16" s="588"/>
      <c r="BUM16" s="588"/>
      <c r="BUN16" s="588"/>
      <c r="BUO16" s="588"/>
      <c r="BUP16" s="588"/>
      <c r="BUQ16" s="588"/>
      <c r="BUR16" s="588"/>
      <c r="BUS16" s="588"/>
      <c r="BUT16" s="588"/>
      <c r="BUU16" s="588"/>
      <c r="BUV16" s="588"/>
      <c r="BUW16" s="588"/>
      <c r="BUX16" s="588"/>
      <c r="BUY16" s="588"/>
      <c r="BUZ16" s="588"/>
      <c r="BVA16" s="588"/>
      <c r="BVB16" s="588"/>
      <c r="BVC16" s="588"/>
      <c r="BVD16" s="588"/>
      <c r="BVE16" s="588"/>
      <c r="BVF16" s="588"/>
      <c r="BVG16" s="588"/>
      <c r="BVH16" s="588"/>
      <c r="BVI16" s="588"/>
      <c r="BVJ16" s="588"/>
      <c r="BVK16" s="588"/>
      <c r="BVL16" s="588"/>
      <c r="BVM16" s="588"/>
      <c r="BVN16" s="588"/>
      <c r="BVO16" s="588"/>
      <c r="BVP16" s="588"/>
      <c r="BVQ16" s="588"/>
      <c r="BVR16" s="588"/>
      <c r="BVS16" s="588"/>
      <c r="BVT16" s="588"/>
      <c r="BVU16" s="588"/>
      <c r="BVV16" s="588"/>
      <c r="BVW16" s="588"/>
      <c r="BVX16" s="588"/>
      <c r="BVY16" s="588"/>
      <c r="BVZ16" s="588"/>
      <c r="BWA16" s="588"/>
      <c r="BWB16" s="588"/>
      <c r="BWC16" s="588"/>
      <c r="BWD16" s="588"/>
      <c r="BWE16" s="588"/>
      <c r="BWF16" s="588"/>
      <c r="BWG16" s="588"/>
      <c r="BWH16" s="588"/>
      <c r="BWI16" s="588"/>
      <c r="BWJ16" s="588"/>
      <c r="BWK16" s="588"/>
      <c r="BWL16" s="588"/>
      <c r="BWM16" s="588"/>
      <c r="BWN16" s="588"/>
      <c r="BWO16" s="588"/>
      <c r="BWP16" s="588"/>
      <c r="BWQ16" s="588"/>
      <c r="BWR16" s="588"/>
      <c r="BWS16" s="588"/>
      <c r="BWT16" s="588"/>
      <c r="BWU16" s="588"/>
      <c r="BWV16" s="588"/>
      <c r="BWW16" s="588"/>
      <c r="BWX16" s="588"/>
      <c r="BWY16" s="588"/>
      <c r="BWZ16" s="588"/>
      <c r="BXA16" s="588"/>
      <c r="BXB16" s="588"/>
      <c r="BXC16" s="588"/>
      <c r="BXD16" s="588"/>
      <c r="BXE16" s="588"/>
      <c r="BXF16" s="588"/>
      <c r="BXG16" s="588"/>
      <c r="BXH16" s="588"/>
      <c r="BXI16" s="588"/>
      <c r="BXJ16" s="588"/>
      <c r="BXK16" s="588"/>
      <c r="BXL16" s="588"/>
      <c r="BXM16" s="588"/>
      <c r="BXN16" s="588"/>
      <c r="BXO16" s="588"/>
      <c r="BXP16" s="588"/>
      <c r="BXQ16" s="588"/>
      <c r="BXR16" s="588"/>
      <c r="BXS16" s="588"/>
      <c r="BXT16" s="588"/>
      <c r="BXU16" s="588"/>
      <c r="BXV16" s="588"/>
      <c r="BXW16" s="588"/>
      <c r="BXX16" s="588"/>
      <c r="BXY16" s="588"/>
      <c r="BXZ16" s="588"/>
      <c r="BYA16" s="588"/>
      <c r="BYB16" s="588"/>
      <c r="BYC16" s="588"/>
      <c r="BYD16" s="588"/>
      <c r="BYE16" s="588"/>
      <c r="BYF16" s="588"/>
      <c r="BYG16" s="588"/>
      <c r="BYH16" s="588"/>
      <c r="BYI16" s="588"/>
      <c r="BYJ16" s="588"/>
      <c r="BYK16" s="588"/>
      <c r="BYL16" s="588"/>
      <c r="BYM16" s="588"/>
      <c r="BYN16" s="588"/>
      <c r="BYO16" s="588"/>
      <c r="BYP16" s="588"/>
      <c r="BYQ16" s="588"/>
      <c r="BYR16" s="588"/>
      <c r="BYS16" s="588"/>
      <c r="BYT16" s="588"/>
      <c r="BYU16" s="588"/>
      <c r="BYV16" s="588"/>
      <c r="BYW16" s="588"/>
      <c r="BYX16" s="588"/>
      <c r="BYY16" s="588"/>
      <c r="BYZ16" s="588"/>
      <c r="BZA16" s="588"/>
      <c r="BZB16" s="588"/>
      <c r="BZC16" s="588"/>
      <c r="BZD16" s="588"/>
      <c r="BZE16" s="588"/>
      <c r="BZF16" s="588"/>
      <c r="BZG16" s="588"/>
      <c r="BZH16" s="588"/>
      <c r="BZI16" s="588"/>
      <c r="BZJ16" s="588"/>
      <c r="BZK16" s="588"/>
      <c r="BZL16" s="588"/>
      <c r="BZM16" s="588"/>
      <c r="BZN16" s="588"/>
      <c r="BZO16" s="588"/>
      <c r="BZP16" s="588"/>
      <c r="BZQ16" s="588"/>
      <c r="BZR16" s="588"/>
      <c r="BZS16" s="588"/>
      <c r="BZT16" s="588"/>
      <c r="BZU16" s="588"/>
      <c r="BZV16" s="588"/>
      <c r="BZW16" s="588"/>
      <c r="BZX16" s="588"/>
      <c r="BZY16" s="588"/>
      <c r="BZZ16" s="588"/>
      <c r="CAA16" s="588"/>
      <c r="CAB16" s="588"/>
      <c r="CAC16" s="588"/>
      <c r="CAD16" s="588"/>
      <c r="CAE16" s="588"/>
      <c r="CAF16" s="588"/>
      <c r="CAG16" s="588"/>
      <c r="CAH16" s="588"/>
      <c r="CAI16" s="588"/>
      <c r="CAJ16" s="588"/>
      <c r="CAK16" s="588"/>
      <c r="CAL16" s="588"/>
      <c r="CAM16" s="588"/>
      <c r="CAN16" s="588"/>
      <c r="CAO16" s="588"/>
      <c r="CAP16" s="588"/>
      <c r="CAQ16" s="588"/>
      <c r="CAR16" s="588"/>
      <c r="CAS16" s="588"/>
      <c r="CAT16" s="588"/>
      <c r="CAU16" s="588"/>
      <c r="CAV16" s="588"/>
      <c r="CAW16" s="588"/>
      <c r="CAX16" s="588"/>
      <c r="CAY16" s="588"/>
      <c r="CAZ16" s="588"/>
      <c r="CBA16" s="588"/>
      <c r="CBB16" s="588"/>
      <c r="CBC16" s="588"/>
      <c r="CBD16" s="588"/>
      <c r="CBE16" s="588"/>
      <c r="CBF16" s="588"/>
      <c r="CBG16" s="588"/>
      <c r="CBH16" s="588"/>
      <c r="CBI16" s="588"/>
      <c r="CBJ16" s="588"/>
      <c r="CBK16" s="588"/>
      <c r="CBL16" s="588"/>
      <c r="CBM16" s="588"/>
      <c r="CBN16" s="588"/>
      <c r="CBO16" s="588"/>
      <c r="CBP16" s="588"/>
      <c r="CBQ16" s="588"/>
      <c r="CBR16" s="588"/>
      <c r="CBS16" s="588"/>
      <c r="CBT16" s="588"/>
      <c r="CBU16" s="588"/>
      <c r="CBV16" s="588"/>
      <c r="CBW16" s="588"/>
      <c r="CBX16" s="588"/>
      <c r="CBY16" s="588"/>
      <c r="CBZ16" s="588"/>
      <c r="CCA16" s="588"/>
      <c r="CCB16" s="588"/>
      <c r="CCC16" s="588"/>
      <c r="CCD16" s="588"/>
      <c r="CCE16" s="588"/>
      <c r="CCF16" s="588"/>
      <c r="CCG16" s="588"/>
      <c r="CCH16" s="588"/>
      <c r="CCI16" s="588"/>
      <c r="CCJ16" s="588"/>
      <c r="CCK16" s="588"/>
      <c r="CCL16" s="588"/>
      <c r="CCM16" s="588"/>
      <c r="CCN16" s="588"/>
      <c r="CCO16" s="588"/>
      <c r="CCP16" s="588"/>
      <c r="CCQ16" s="588"/>
      <c r="CCR16" s="588"/>
      <c r="CCS16" s="588"/>
      <c r="CCT16" s="588"/>
      <c r="CCU16" s="588"/>
      <c r="CCV16" s="588"/>
      <c r="CCW16" s="588"/>
      <c r="CCX16" s="588"/>
      <c r="CCY16" s="588"/>
      <c r="CCZ16" s="588"/>
      <c r="CDA16" s="588"/>
      <c r="CDB16" s="588"/>
      <c r="CDC16" s="588"/>
      <c r="CDD16" s="588"/>
      <c r="CDE16" s="588"/>
      <c r="CDF16" s="588"/>
      <c r="CDG16" s="588"/>
      <c r="CDH16" s="588"/>
      <c r="CDI16" s="588"/>
      <c r="CDJ16" s="588"/>
      <c r="CDK16" s="588"/>
      <c r="CDL16" s="588"/>
      <c r="CDM16" s="588"/>
      <c r="CDN16" s="588"/>
      <c r="CDO16" s="588"/>
      <c r="CDP16" s="588"/>
      <c r="CDQ16" s="588"/>
      <c r="CDR16" s="588"/>
      <c r="CDS16" s="588"/>
      <c r="CDT16" s="588"/>
      <c r="CDU16" s="588"/>
      <c r="CDV16" s="588"/>
      <c r="CDW16" s="588"/>
      <c r="CDX16" s="588"/>
      <c r="CDY16" s="588"/>
      <c r="CDZ16" s="588"/>
      <c r="CEA16" s="588"/>
      <c r="CEB16" s="588"/>
      <c r="CEC16" s="588"/>
      <c r="CED16" s="588"/>
      <c r="CEE16" s="588"/>
      <c r="CEF16" s="588"/>
      <c r="CEG16" s="588"/>
      <c r="CEH16" s="588"/>
      <c r="CEI16" s="588"/>
      <c r="CEJ16" s="588"/>
      <c r="CEK16" s="588"/>
      <c r="CEL16" s="588"/>
      <c r="CEM16" s="588"/>
      <c r="CEN16" s="588"/>
      <c r="CEO16" s="588"/>
      <c r="CEP16" s="588"/>
      <c r="CEQ16" s="588"/>
      <c r="CER16" s="588"/>
      <c r="CES16" s="588"/>
      <c r="CET16" s="588"/>
      <c r="CEU16" s="588"/>
      <c r="CEV16" s="588"/>
      <c r="CEW16" s="588"/>
      <c r="CEX16" s="588"/>
      <c r="CEY16" s="588"/>
      <c r="CEZ16" s="588"/>
      <c r="CFA16" s="588"/>
      <c r="CFB16" s="588"/>
      <c r="CFC16" s="588"/>
      <c r="CFD16" s="588"/>
      <c r="CFE16" s="588"/>
      <c r="CFF16" s="588"/>
      <c r="CFG16" s="588"/>
      <c r="CFH16" s="588"/>
      <c r="CFI16" s="588"/>
      <c r="CFJ16" s="588"/>
      <c r="CFK16" s="588"/>
      <c r="CFL16" s="588"/>
      <c r="CFM16" s="588"/>
      <c r="CFN16" s="588"/>
      <c r="CFO16" s="588"/>
      <c r="CFP16" s="588"/>
      <c r="CFQ16" s="588"/>
      <c r="CFR16" s="588"/>
      <c r="CFS16" s="588"/>
      <c r="CFT16" s="588"/>
      <c r="CFU16" s="588"/>
      <c r="CFV16" s="588"/>
      <c r="CFW16" s="588"/>
      <c r="CFX16" s="588"/>
      <c r="CFY16" s="588"/>
      <c r="CFZ16" s="588"/>
      <c r="CGA16" s="588"/>
      <c r="CGB16" s="588"/>
      <c r="CGC16" s="588"/>
      <c r="CGD16" s="588"/>
      <c r="CGE16" s="588"/>
      <c r="CGF16" s="588"/>
      <c r="CGG16" s="588"/>
      <c r="CGH16" s="588"/>
      <c r="CGI16" s="588"/>
      <c r="CGJ16" s="588"/>
      <c r="CGK16" s="588"/>
      <c r="CGL16" s="588"/>
      <c r="CGM16" s="588"/>
      <c r="CGN16" s="588"/>
      <c r="CGO16" s="588"/>
      <c r="CGP16" s="588"/>
      <c r="CGQ16" s="588"/>
      <c r="CGR16" s="588"/>
      <c r="CGS16" s="588"/>
      <c r="CGT16" s="588"/>
      <c r="CGU16" s="588"/>
      <c r="CGV16" s="588"/>
      <c r="CGW16" s="588"/>
      <c r="CGX16" s="588"/>
      <c r="CGY16" s="588"/>
      <c r="CGZ16" s="588"/>
      <c r="CHA16" s="588"/>
      <c r="CHB16" s="588"/>
      <c r="CHC16" s="588"/>
      <c r="CHD16" s="588"/>
      <c r="CHE16" s="588"/>
      <c r="CHF16" s="588"/>
      <c r="CHG16" s="588"/>
      <c r="CHH16" s="588"/>
      <c r="CHI16" s="588"/>
      <c r="CHJ16" s="588"/>
      <c r="CHK16" s="588"/>
      <c r="CHL16" s="588"/>
      <c r="CHM16" s="588"/>
      <c r="CHN16" s="588"/>
      <c r="CHO16" s="588"/>
      <c r="CHP16" s="588"/>
      <c r="CHQ16" s="588"/>
      <c r="CHR16" s="588"/>
      <c r="CHS16" s="588"/>
      <c r="CHT16" s="588"/>
      <c r="CHU16" s="588"/>
      <c r="CHV16" s="588"/>
      <c r="CHW16" s="588"/>
      <c r="CHX16" s="588"/>
      <c r="CHY16" s="588"/>
      <c r="CHZ16" s="588"/>
      <c r="CIA16" s="588"/>
      <c r="CIB16" s="588"/>
      <c r="CIC16" s="588"/>
      <c r="CID16" s="588"/>
      <c r="CIE16" s="588"/>
      <c r="CIF16" s="588"/>
      <c r="CIG16" s="588"/>
      <c r="CIH16" s="588"/>
      <c r="CII16" s="588"/>
      <c r="CIJ16" s="588"/>
      <c r="CIK16" s="588"/>
      <c r="CIL16" s="588"/>
      <c r="CIM16" s="588"/>
      <c r="CIN16" s="588"/>
      <c r="CIO16" s="588"/>
      <c r="CIP16" s="588"/>
      <c r="CIQ16" s="588"/>
      <c r="CIR16" s="588"/>
      <c r="CIS16" s="588"/>
      <c r="CIT16" s="588"/>
      <c r="CIU16" s="588"/>
      <c r="CIV16" s="588"/>
      <c r="CIW16" s="588"/>
      <c r="CIX16" s="588"/>
      <c r="CIY16" s="588"/>
      <c r="CIZ16" s="588"/>
      <c r="CJA16" s="588"/>
      <c r="CJB16" s="588"/>
      <c r="CJC16" s="588"/>
      <c r="CJD16" s="588"/>
      <c r="CJE16" s="588"/>
      <c r="CJF16" s="588"/>
      <c r="CJG16" s="588"/>
      <c r="CJH16" s="588"/>
      <c r="CJI16" s="588"/>
      <c r="CJJ16" s="588"/>
      <c r="CJK16" s="588"/>
      <c r="CJL16" s="588"/>
      <c r="CJM16" s="588"/>
      <c r="CJN16" s="588"/>
      <c r="CJO16" s="588"/>
      <c r="CJP16" s="588"/>
      <c r="CJQ16" s="588"/>
      <c r="CJR16" s="588"/>
      <c r="CJS16" s="588"/>
      <c r="CJT16" s="588"/>
      <c r="CJU16" s="588"/>
      <c r="CJV16" s="588"/>
      <c r="CJW16" s="588"/>
      <c r="CJX16" s="588"/>
      <c r="CJY16" s="588"/>
      <c r="CJZ16" s="588"/>
      <c r="CKA16" s="588"/>
      <c r="CKB16" s="588"/>
      <c r="CKC16" s="588"/>
      <c r="CKD16" s="588"/>
      <c r="CKE16" s="588"/>
      <c r="CKF16" s="588"/>
      <c r="CKG16" s="588"/>
      <c r="CKH16" s="588"/>
      <c r="CKI16" s="588"/>
      <c r="CKJ16" s="588"/>
      <c r="CKK16" s="588"/>
      <c r="CKL16" s="588"/>
      <c r="CKM16" s="588"/>
      <c r="CKN16" s="588"/>
      <c r="CKO16" s="588"/>
      <c r="CKP16" s="588"/>
      <c r="CKQ16" s="588"/>
      <c r="CKR16" s="588"/>
      <c r="CKS16" s="588"/>
      <c r="CKT16" s="588"/>
      <c r="CKU16" s="588"/>
      <c r="CKV16" s="588"/>
      <c r="CKW16" s="588"/>
      <c r="CKX16" s="588"/>
      <c r="CKY16" s="588"/>
      <c r="CKZ16" s="588"/>
      <c r="CLA16" s="588"/>
      <c r="CLB16" s="588"/>
      <c r="CLC16" s="588"/>
      <c r="CLD16" s="588"/>
      <c r="CLE16" s="588"/>
      <c r="CLF16" s="588"/>
      <c r="CLG16" s="588"/>
      <c r="CLH16" s="588"/>
      <c r="CLI16" s="588"/>
      <c r="CLJ16" s="588"/>
      <c r="CLK16" s="588"/>
      <c r="CLL16" s="588"/>
      <c r="CLM16" s="588"/>
      <c r="CLN16" s="588"/>
      <c r="CLO16" s="588"/>
      <c r="CLP16" s="588"/>
      <c r="CLQ16" s="588"/>
      <c r="CLR16" s="588"/>
      <c r="CLS16" s="588"/>
      <c r="CLT16" s="588"/>
      <c r="CLU16" s="588"/>
      <c r="CLV16" s="588"/>
      <c r="CLW16" s="588"/>
      <c r="CLX16" s="588"/>
      <c r="CLY16" s="588"/>
      <c r="CLZ16" s="588"/>
      <c r="CMA16" s="588"/>
      <c r="CMB16" s="588"/>
      <c r="CMC16" s="588"/>
      <c r="CMD16" s="588"/>
      <c r="CME16" s="588"/>
      <c r="CMF16" s="588"/>
      <c r="CMG16" s="588"/>
      <c r="CMH16" s="588"/>
      <c r="CMI16" s="588"/>
      <c r="CMJ16" s="588"/>
      <c r="CMK16" s="588"/>
      <c r="CML16" s="588"/>
      <c r="CMM16" s="588"/>
      <c r="CMN16" s="588"/>
      <c r="CMO16" s="588"/>
      <c r="CMP16" s="588"/>
      <c r="CMQ16" s="588"/>
      <c r="CMR16" s="588"/>
      <c r="CMS16" s="588"/>
      <c r="CMT16" s="588"/>
      <c r="CMU16" s="588"/>
      <c r="CMV16" s="588"/>
      <c r="CMW16" s="588"/>
      <c r="CMX16" s="588"/>
      <c r="CMY16" s="588"/>
      <c r="CMZ16" s="588"/>
      <c r="CNA16" s="588"/>
      <c r="CNB16" s="588"/>
      <c r="CNC16" s="588"/>
      <c r="CND16" s="588"/>
      <c r="CNE16" s="588"/>
      <c r="CNF16" s="588"/>
      <c r="CNG16" s="588"/>
      <c r="CNH16" s="588"/>
      <c r="CNI16" s="588"/>
      <c r="CNJ16" s="588"/>
      <c r="CNK16" s="588"/>
      <c r="CNL16" s="588"/>
      <c r="CNM16" s="588"/>
      <c r="CNN16" s="588"/>
      <c r="CNO16" s="588"/>
      <c r="CNP16" s="588"/>
      <c r="CNQ16" s="588"/>
      <c r="CNR16" s="588"/>
      <c r="CNS16" s="588"/>
      <c r="CNT16" s="588"/>
      <c r="CNU16" s="588"/>
      <c r="CNV16" s="588"/>
      <c r="CNW16" s="588"/>
      <c r="CNX16" s="588"/>
      <c r="CNY16" s="588"/>
      <c r="CNZ16" s="588"/>
      <c r="COA16" s="588"/>
      <c r="COB16" s="588"/>
      <c r="COC16" s="588"/>
      <c r="COD16" s="588"/>
      <c r="COE16" s="588"/>
      <c r="COF16" s="588"/>
      <c r="COG16" s="588"/>
      <c r="COH16" s="588"/>
      <c r="COI16" s="588"/>
      <c r="COJ16" s="588"/>
      <c r="COK16" s="588"/>
      <c r="COL16" s="588"/>
      <c r="COM16" s="588"/>
      <c r="CON16" s="588"/>
      <c r="COO16" s="588"/>
      <c r="COP16" s="588"/>
      <c r="COQ16" s="588"/>
      <c r="COR16" s="588"/>
      <c r="COS16" s="588"/>
      <c r="COT16" s="588"/>
      <c r="COU16" s="588"/>
      <c r="COV16" s="588"/>
      <c r="COW16" s="588"/>
      <c r="COX16" s="588"/>
      <c r="COY16" s="588"/>
      <c r="COZ16" s="588"/>
      <c r="CPA16" s="588"/>
      <c r="CPB16" s="588"/>
      <c r="CPC16" s="588"/>
      <c r="CPD16" s="588"/>
      <c r="CPE16" s="588"/>
      <c r="CPF16" s="588"/>
      <c r="CPG16" s="588"/>
      <c r="CPH16" s="588"/>
      <c r="CPI16" s="588"/>
      <c r="CPJ16" s="588"/>
      <c r="CPK16" s="588"/>
      <c r="CPL16" s="588"/>
      <c r="CPM16" s="588"/>
      <c r="CPN16" s="588"/>
      <c r="CPO16" s="588"/>
      <c r="CPP16" s="588"/>
      <c r="CPQ16" s="588"/>
      <c r="CPR16" s="588"/>
      <c r="CPS16" s="588"/>
      <c r="CPT16" s="588"/>
      <c r="CPU16" s="588"/>
      <c r="CPV16" s="588"/>
      <c r="CPW16" s="588"/>
      <c r="CPX16" s="588"/>
      <c r="CPY16" s="588"/>
      <c r="CPZ16" s="588"/>
      <c r="CQA16" s="588"/>
      <c r="CQB16" s="588"/>
      <c r="CQC16" s="588"/>
      <c r="CQD16" s="588"/>
      <c r="CQE16" s="588"/>
      <c r="CQF16" s="588"/>
      <c r="CQG16" s="588"/>
      <c r="CQH16" s="588"/>
      <c r="CQI16" s="588"/>
      <c r="CQJ16" s="588"/>
      <c r="CQK16" s="588"/>
      <c r="CQL16" s="588"/>
      <c r="CQM16" s="588"/>
      <c r="CQN16" s="588"/>
      <c r="CQO16" s="588"/>
      <c r="CQP16" s="588"/>
      <c r="CQQ16" s="588"/>
      <c r="CQR16" s="588"/>
      <c r="CQS16" s="588"/>
      <c r="CQT16" s="588"/>
      <c r="CQU16" s="588"/>
      <c r="CQV16" s="588"/>
      <c r="CQW16" s="588"/>
      <c r="CQX16" s="588"/>
      <c r="CQY16" s="588"/>
      <c r="CQZ16" s="588"/>
      <c r="CRA16" s="588"/>
      <c r="CRB16" s="588"/>
      <c r="CRC16" s="588"/>
      <c r="CRD16" s="588"/>
      <c r="CRE16" s="588"/>
      <c r="CRF16" s="588"/>
      <c r="CRG16" s="588"/>
      <c r="CRH16" s="588"/>
      <c r="CRI16" s="588"/>
      <c r="CRJ16" s="588"/>
      <c r="CRK16" s="588"/>
      <c r="CRL16" s="588"/>
      <c r="CRM16" s="588"/>
      <c r="CRN16" s="588"/>
      <c r="CRO16" s="588"/>
      <c r="CRP16" s="588"/>
      <c r="CRQ16" s="588"/>
      <c r="CRR16" s="588"/>
      <c r="CRS16" s="588"/>
      <c r="CRT16" s="588"/>
      <c r="CRU16" s="588"/>
      <c r="CRV16" s="588"/>
      <c r="CRW16" s="588"/>
      <c r="CRX16" s="588"/>
      <c r="CRY16" s="588"/>
      <c r="CRZ16" s="588"/>
      <c r="CSA16" s="588"/>
      <c r="CSB16" s="588"/>
      <c r="CSC16" s="588"/>
      <c r="CSD16" s="588"/>
      <c r="CSE16" s="588"/>
      <c r="CSF16" s="588"/>
      <c r="CSG16" s="588"/>
      <c r="CSH16" s="588"/>
      <c r="CSI16" s="588"/>
      <c r="CSJ16" s="588"/>
      <c r="CSK16" s="588"/>
      <c r="CSL16" s="588"/>
      <c r="CSM16" s="588"/>
      <c r="CSN16" s="588"/>
      <c r="CSO16" s="588"/>
      <c r="CSP16" s="588"/>
      <c r="CSQ16" s="588"/>
      <c r="CSR16" s="588"/>
      <c r="CSS16" s="588"/>
      <c r="CST16" s="588"/>
      <c r="CSU16" s="588"/>
      <c r="CSV16" s="588"/>
      <c r="CSW16" s="588"/>
      <c r="CSX16" s="588"/>
      <c r="CSY16" s="588"/>
      <c r="CSZ16" s="588"/>
      <c r="CTA16" s="588"/>
      <c r="CTB16" s="588"/>
      <c r="CTC16" s="588"/>
      <c r="CTD16" s="588"/>
      <c r="CTE16" s="588"/>
      <c r="CTF16" s="588"/>
      <c r="CTG16" s="588"/>
      <c r="CTH16" s="588"/>
      <c r="CTI16" s="588"/>
      <c r="CTJ16" s="588"/>
      <c r="CTK16" s="588"/>
      <c r="CTL16" s="588"/>
      <c r="CTM16" s="588"/>
      <c r="CTN16" s="588"/>
      <c r="CTO16" s="588"/>
      <c r="CTP16" s="588"/>
      <c r="CTQ16" s="588"/>
      <c r="CTR16" s="588"/>
      <c r="CTS16" s="588"/>
      <c r="CTT16" s="588"/>
      <c r="CTU16" s="588"/>
      <c r="CTV16" s="588"/>
      <c r="CTW16" s="588"/>
      <c r="CTX16" s="588"/>
      <c r="CTY16" s="588"/>
      <c r="CTZ16" s="588"/>
      <c r="CUA16" s="588"/>
      <c r="CUB16" s="588"/>
      <c r="CUC16" s="588"/>
      <c r="CUD16" s="588"/>
      <c r="CUE16" s="588"/>
      <c r="CUF16" s="588"/>
      <c r="CUG16" s="588"/>
      <c r="CUH16" s="588"/>
      <c r="CUI16" s="588"/>
      <c r="CUJ16" s="588"/>
      <c r="CUK16" s="588"/>
      <c r="CUL16" s="588"/>
      <c r="CUM16" s="588"/>
      <c r="CUN16" s="588"/>
      <c r="CUO16" s="588"/>
      <c r="CUP16" s="588"/>
      <c r="CUQ16" s="588"/>
      <c r="CUR16" s="588"/>
      <c r="CUS16" s="588"/>
      <c r="CUT16" s="588"/>
      <c r="CUU16" s="588"/>
      <c r="CUV16" s="588"/>
      <c r="CUW16" s="588"/>
      <c r="CUX16" s="588"/>
      <c r="CUY16" s="588"/>
      <c r="CUZ16" s="588"/>
      <c r="CVA16" s="588"/>
      <c r="CVB16" s="588"/>
      <c r="CVC16" s="588"/>
      <c r="CVD16" s="588"/>
      <c r="CVE16" s="588"/>
      <c r="CVF16" s="588"/>
      <c r="CVG16" s="588"/>
      <c r="CVH16" s="588"/>
      <c r="CVI16" s="588"/>
      <c r="CVJ16" s="588"/>
      <c r="CVK16" s="588"/>
      <c r="CVL16" s="588"/>
      <c r="CVM16" s="588"/>
      <c r="CVN16" s="588"/>
      <c r="CVO16" s="588"/>
      <c r="CVP16" s="588"/>
      <c r="CVQ16" s="588"/>
      <c r="CVR16" s="588"/>
      <c r="CVS16" s="588"/>
      <c r="CVT16" s="588"/>
      <c r="CVU16" s="588"/>
      <c r="CVV16" s="588"/>
      <c r="CVW16" s="588"/>
      <c r="CVX16" s="588"/>
      <c r="CVY16" s="588"/>
      <c r="CVZ16" s="588"/>
      <c r="CWA16" s="588"/>
      <c r="CWB16" s="588"/>
      <c r="CWC16" s="588"/>
      <c r="CWD16" s="588"/>
      <c r="CWE16" s="588"/>
      <c r="CWF16" s="588"/>
      <c r="CWG16" s="588"/>
      <c r="CWH16" s="588"/>
      <c r="CWI16" s="588"/>
      <c r="CWJ16" s="588"/>
      <c r="CWK16" s="588"/>
      <c r="CWL16" s="588"/>
      <c r="CWM16" s="588"/>
      <c r="CWN16" s="588"/>
      <c r="CWO16" s="588"/>
      <c r="CWP16" s="588"/>
      <c r="CWQ16" s="588"/>
      <c r="CWR16" s="588"/>
      <c r="CWS16" s="588"/>
      <c r="CWT16" s="588"/>
      <c r="CWU16" s="588"/>
      <c r="CWV16" s="588"/>
      <c r="CWW16" s="588"/>
      <c r="CWX16" s="588"/>
      <c r="CWY16" s="588"/>
      <c r="CWZ16" s="588"/>
      <c r="CXA16" s="588"/>
      <c r="CXB16" s="588"/>
      <c r="CXC16" s="588"/>
      <c r="CXD16" s="588"/>
      <c r="CXE16" s="588"/>
      <c r="CXF16" s="588"/>
      <c r="CXG16" s="588"/>
      <c r="CXH16" s="588"/>
      <c r="CXI16" s="588"/>
      <c r="CXJ16" s="588"/>
      <c r="CXK16" s="588"/>
      <c r="CXL16" s="588"/>
      <c r="CXM16" s="588"/>
      <c r="CXN16" s="588"/>
      <c r="CXO16" s="588"/>
      <c r="CXP16" s="588"/>
      <c r="CXQ16" s="588"/>
      <c r="CXR16" s="588"/>
      <c r="CXS16" s="588"/>
      <c r="CXT16" s="588"/>
      <c r="CXU16" s="588"/>
      <c r="CXV16" s="588"/>
      <c r="CXW16" s="588"/>
      <c r="CXX16" s="588"/>
      <c r="CXY16" s="588"/>
      <c r="CXZ16" s="588"/>
      <c r="CYA16" s="588"/>
      <c r="CYB16" s="588"/>
      <c r="CYC16" s="588"/>
      <c r="CYD16" s="588"/>
      <c r="CYE16" s="588"/>
      <c r="CYF16" s="588"/>
      <c r="CYG16" s="588"/>
      <c r="CYH16" s="588"/>
      <c r="CYI16" s="588"/>
      <c r="CYJ16" s="588"/>
      <c r="CYK16" s="588"/>
      <c r="CYL16" s="588"/>
      <c r="CYM16" s="588"/>
      <c r="CYN16" s="588"/>
      <c r="CYO16" s="588"/>
      <c r="CYP16" s="588"/>
      <c r="CYQ16" s="588"/>
      <c r="CYR16" s="588"/>
      <c r="CYS16" s="588"/>
      <c r="CYT16" s="588"/>
      <c r="CYU16" s="588"/>
      <c r="CYV16" s="588"/>
      <c r="CYW16" s="588"/>
      <c r="CYX16" s="588"/>
      <c r="CYY16" s="588"/>
      <c r="CYZ16" s="588"/>
      <c r="CZA16" s="588"/>
      <c r="CZB16" s="588"/>
      <c r="CZC16" s="588"/>
      <c r="CZD16" s="588"/>
      <c r="CZE16" s="588"/>
      <c r="CZF16" s="588"/>
      <c r="CZG16" s="588"/>
      <c r="CZH16" s="588"/>
      <c r="CZI16" s="588"/>
      <c r="CZJ16" s="588"/>
      <c r="CZK16" s="588"/>
      <c r="CZL16" s="588"/>
      <c r="CZM16" s="588"/>
      <c r="CZN16" s="588"/>
      <c r="CZO16" s="588"/>
      <c r="CZP16" s="588"/>
      <c r="CZQ16" s="588"/>
      <c r="CZR16" s="588"/>
      <c r="CZS16" s="588"/>
      <c r="CZT16" s="588"/>
      <c r="CZU16" s="588"/>
      <c r="CZV16" s="588"/>
      <c r="CZW16" s="588"/>
      <c r="CZX16" s="588"/>
      <c r="CZY16" s="588"/>
      <c r="CZZ16" s="588"/>
      <c r="DAA16" s="588"/>
      <c r="DAB16" s="588"/>
      <c r="DAC16" s="588"/>
      <c r="DAD16" s="588"/>
      <c r="DAE16" s="588"/>
      <c r="DAF16" s="588"/>
      <c r="DAG16" s="588"/>
      <c r="DAH16" s="588"/>
      <c r="DAI16" s="588"/>
      <c r="DAJ16" s="588"/>
      <c r="DAK16" s="588"/>
      <c r="DAL16" s="588"/>
      <c r="DAM16" s="588"/>
      <c r="DAN16" s="588"/>
      <c r="DAO16" s="588"/>
      <c r="DAP16" s="588"/>
      <c r="DAQ16" s="588"/>
      <c r="DAR16" s="588"/>
      <c r="DAS16" s="588"/>
      <c r="DAT16" s="588"/>
      <c r="DAU16" s="588"/>
      <c r="DAV16" s="588"/>
      <c r="DAW16" s="588"/>
      <c r="DAX16" s="588"/>
      <c r="DAY16" s="588"/>
      <c r="DAZ16" s="588"/>
      <c r="DBA16" s="588"/>
      <c r="DBB16" s="588"/>
      <c r="DBC16" s="588"/>
      <c r="DBD16" s="588"/>
      <c r="DBE16" s="588"/>
      <c r="DBF16" s="588"/>
      <c r="DBG16" s="588"/>
      <c r="DBH16" s="588"/>
      <c r="DBI16" s="588"/>
      <c r="DBJ16" s="588"/>
      <c r="DBK16" s="588"/>
      <c r="DBL16" s="588"/>
      <c r="DBM16" s="588"/>
      <c r="DBN16" s="588"/>
      <c r="DBO16" s="588"/>
      <c r="DBP16" s="588"/>
      <c r="DBQ16" s="588"/>
      <c r="DBR16" s="588"/>
      <c r="DBS16" s="588"/>
      <c r="DBT16" s="588"/>
      <c r="DBU16" s="588"/>
      <c r="DBV16" s="588"/>
      <c r="DBW16" s="588"/>
      <c r="DBX16" s="588"/>
      <c r="DBY16" s="588"/>
      <c r="DBZ16" s="588"/>
      <c r="DCA16" s="588"/>
      <c r="DCB16" s="588"/>
      <c r="DCC16" s="588"/>
      <c r="DCD16" s="588"/>
      <c r="DCE16" s="588"/>
      <c r="DCF16" s="588"/>
      <c r="DCG16" s="588"/>
      <c r="DCH16" s="588"/>
      <c r="DCI16" s="588"/>
      <c r="DCJ16" s="588"/>
      <c r="DCK16" s="588"/>
      <c r="DCL16" s="588"/>
      <c r="DCM16" s="588"/>
      <c r="DCN16" s="588"/>
      <c r="DCO16" s="588"/>
      <c r="DCP16" s="588"/>
      <c r="DCQ16" s="588"/>
      <c r="DCR16" s="588"/>
      <c r="DCS16" s="588"/>
      <c r="DCT16" s="588"/>
      <c r="DCU16" s="588"/>
      <c r="DCV16" s="588"/>
      <c r="DCW16" s="588"/>
      <c r="DCX16" s="588"/>
      <c r="DCY16" s="588"/>
      <c r="DCZ16" s="588"/>
      <c r="DDA16" s="588"/>
      <c r="DDB16" s="588"/>
      <c r="DDC16" s="588"/>
      <c r="DDD16" s="588"/>
      <c r="DDE16" s="588"/>
      <c r="DDF16" s="588"/>
      <c r="DDG16" s="588"/>
      <c r="DDH16" s="588"/>
      <c r="DDI16" s="588"/>
      <c r="DDJ16" s="588"/>
      <c r="DDK16" s="588"/>
      <c r="DDL16" s="588"/>
      <c r="DDM16" s="588"/>
      <c r="DDN16" s="588"/>
      <c r="DDO16" s="588"/>
      <c r="DDP16" s="588"/>
      <c r="DDQ16" s="588"/>
      <c r="DDR16" s="588"/>
      <c r="DDS16" s="588"/>
      <c r="DDT16" s="588"/>
      <c r="DDU16" s="588"/>
      <c r="DDV16" s="588"/>
      <c r="DDW16" s="588"/>
      <c r="DDX16" s="588"/>
      <c r="DDY16" s="588"/>
      <c r="DDZ16" s="588"/>
      <c r="DEA16" s="588"/>
      <c r="DEB16" s="588"/>
      <c r="DEC16" s="588"/>
      <c r="DED16" s="588"/>
      <c r="DEE16" s="588"/>
      <c r="DEF16" s="588"/>
      <c r="DEG16" s="588"/>
      <c r="DEH16" s="588"/>
      <c r="DEI16" s="588"/>
      <c r="DEJ16" s="588"/>
      <c r="DEK16" s="588"/>
      <c r="DEL16" s="588"/>
      <c r="DEM16" s="588"/>
      <c r="DEN16" s="588"/>
      <c r="DEO16" s="588"/>
      <c r="DEP16" s="588"/>
      <c r="DEQ16" s="588"/>
      <c r="DER16" s="588"/>
      <c r="DES16" s="588"/>
      <c r="DET16" s="588"/>
      <c r="DEU16" s="588"/>
      <c r="DEV16" s="588"/>
      <c r="DEW16" s="588"/>
      <c r="DEX16" s="588"/>
      <c r="DEY16" s="588"/>
      <c r="DEZ16" s="588"/>
      <c r="DFA16" s="588"/>
      <c r="DFB16" s="588"/>
      <c r="DFC16" s="588"/>
      <c r="DFD16" s="588"/>
      <c r="DFE16" s="588"/>
      <c r="DFF16" s="588"/>
      <c r="DFG16" s="588"/>
      <c r="DFH16" s="588"/>
      <c r="DFI16" s="588"/>
      <c r="DFJ16" s="588"/>
      <c r="DFK16" s="588"/>
      <c r="DFL16" s="588"/>
      <c r="DFM16" s="588"/>
      <c r="DFN16" s="588"/>
      <c r="DFO16" s="588"/>
      <c r="DFP16" s="588"/>
      <c r="DFQ16" s="588"/>
      <c r="DFR16" s="588"/>
      <c r="DFS16" s="588"/>
      <c r="DFT16" s="588"/>
      <c r="DFU16" s="588"/>
      <c r="DFV16" s="588"/>
      <c r="DFW16" s="588"/>
      <c r="DFX16" s="588"/>
      <c r="DFY16" s="588"/>
      <c r="DFZ16" s="588"/>
      <c r="DGA16" s="588"/>
      <c r="DGB16" s="588"/>
      <c r="DGC16" s="588"/>
      <c r="DGD16" s="588"/>
      <c r="DGE16" s="588"/>
      <c r="DGF16" s="588"/>
      <c r="DGG16" s="588"/>
      <c r="DGH16" s="588"/>
      <c r="DGI16" s="588"/>
      <c r="DGJ16" s="588"/>
      <c r="DGK16" s="588"/>
      <c r="DGL16" s="588"/>
      <c r="DGM16" s="588"/>
      <c r="DGN16" s="588"/>
      <c r="DGO16" s="588"/>
      <c r="DGP16" s="588"/>
      <c r="DGQ16" s="588"/>
      <c r="DGR16" s="588"/>
      <c r="DGS16" s="588"/>
      <c r="DGT16" s="588"/>
      <c r="DGU16" s="588"/>
      <c r="DGV16" s="588"/>
      <c r="DGW16" s="588"/>
      <c r="DGX16" s="588"/>
      <c r="DGY16" s="588"/>
      <c r="DGZ16" s="588"/>
      <c r="DHA16" s="588"/>
      <c r="DHB16" s="588"/>
      <c r="DHC16" s="588"/>
      <c r="DHD16" s="588"/>
      <c r="DHE16" s="588"/>
      <c r="DHF16" s="588"/>
      <c r="DHG16" s="588"/>
      <c r="DHH16" s="588"/>
      <c r="DHI16" s="588"/>
      <c r="DHJ16" s="588"/>
      <c r="DHK16" s="588"/>
      <c r="DHL16" s="588"/>
      <c r="DHM16" s="588"/>
      <c r="DHN16" s="588"/>
      <c r="DHO16" s="588"/>
      <c r="DHP16" s="588"/>
      <c r="DHQ16" s="588"/>
      <c r="DHR16" s="588"/>
      <c r="DHS16" s="588"/>
      <c r="DHT16" s="588"/>
      <c r="DHU16" s="588"/>
      <c r="DHV16" s="588"/>
      <c r="DHW16" s="588"/>
      <c r="DHX16" s="588"/>
      <c r="DHY16" s="588"/>
      <c r="DHZ16" s="588"/>
      <c r="DIA16" s="588"/>
      <c r="DIB16" s="588"/>
      <c r="DIC16" s="588"/>
      <c r="DID16" s="588"/>
      <c r="DIE16" s="588"/>
      <c r="DIF16" s="588"/>
      <c r="DIG16" s="588"/>
      <c r="DIH16" s="588"/>
      <c r="DII16" s="588"/>
      <c r="DIJ16" s="588"/>
      <c r="DIK16" s="588"/>
      <c r="DIL16" s="588"/>
      <c r="DIM16" s="588"/>
      <c r="DIN16" s="588"/>
      <c r="DIO16" s="588"/>
      <c r="DIP16" s="588"/>
      <c r="DIQ16" s="588"/>
      <c r="DIR16" s="588"/>
      <c r="DIS16" s="588"/>
      <c r="DIT16" s="588"/>
      <c r="DIU16" s="588"/>
      <c r="DIV16" s="588"/>
      <c r="DIW16" s="588"/>
      <c r="DIX16" s="588"/>
      <c r="DIY16" s="588"/>
      <c r="DIZ16" s="588"/>
      <c r="DJA16" s="588"/>
      <c r="DJB16" s="588"/>
      <c r="DJC16" s="588"/>
      <c r="DJD16" s="588"/>
      <c r="DJE16" s="588"/>
      <c r="DJF16" s="588"/>
      <c r="DJG16" s="588"/>
      <c r="DJH16" s="588"/>
      <c r="DJI16" s="588"/>
      <c r="DJJ16" s="588"/>
      <c r="DJK16" s="588"/>
      <c r="DJL16" s="588"/>
      <c r="DJM16" s="588"/>
      <c r="DJN16" s="588"/>
      <c r="DJO16" s="588"/>
      <c r="DJP16" s="588"/>
      <c r="DJQ16" s="588"/>
      <c r="DJR16" s="588"/>
      <c r="DJS16" s="588"/>
      <c r="DJT16" s="588"/>
      <c r="DJU16" s="588"/>
      <c r="DJV16" s="588"/>
      <c r="DJW16" s="588"/>
      <c r="DJX16" s="588"/>
      <c r="DJY16" s="588"/>
      <c r="DJZ16" s="588"/>
      <c r="DKA16" s="588"/>
      <c r="DKB16" s="588"/>
      <c r="DKC16" s="588"/>
      <c r="DKD16" s="588"/>
      <c r="DKE16" s="588"/>
      <c r="DKF16" s="588"/>
      <c r="DKG16" s="588"/>
      <c r="DKH16" s="588"/>
      <c r="DKI16" s="588"/>
      <c r="DKJ16" s="588"/>
      <c r="DKK16" s="588"/>
      <c r="DKL16" s="588"/>
      <c r="DKM16" s="588"/>
      <c r="DKN16" s="588"/>
      <c r="DKO16" s="588"/>
      <c r="DKP16" s="588"/>
      <c r="DKQ16" s="588"/>
      <c r="DKR16" s="588"/>
      <c r="DKS16" s="588"/>
      <c r="DKT16" s="588"/>
      <c r="DKU16" s="588"/>
      <c r="DKV16" s="588"/>
      <c r="DKW16" s="588"/>
      <c r="DKX16" s="588"/>
      <c r="DKY16" s="588"/>
      <c r="DKZ16" s="588"/>
      <c r="DLA16" s="588"/>
      <c r="DLB16" s="588"/>
      <c r="DLC16" s="588"/>
      <c r="DLD16" s="588"/>
      <c r="DLE16" s="588"/>
      <c r="DLF16" s="588"/>
      <c r="DLG16" s="588"/>
      <c r="DLH16" s="588"/>
      <c r="DLI16" s="588"/>
      <c r="DLJ16" s="588"/>
      <c r="DLK16" s="588"/>
      <c r="DLL16" s="588"/>
      <c r="DLM16" s="588"/>
      <c r="DLN16" s="588"/>
      <c r="DLO16" s="588"/>
      <c r="DLP16" s="588"/>
      <c r="DLQ16" s="588"/>
      <c r="DLR16" s="588"/>
      <c r="DLS16" s="588"/>
      <c r="DLT16" s="588"/>
      <c r="DLU16" s="588"/>
      <c r="DLV16" s="588"/>
      <c r="DLW16" s="588"/>
      <c r="DLX16" s="588"/>
      <c r="DLY16" s="588"/>
      <c r="DLZ16" s="588"/>
      <c r="DMA16" s="588"/>
      <c r="DMB16" s="588"/>
      <c r="DMC16" s="588"/>
      <c r="DMD16" s="588"/>
      <c r="DME16" s="588"/>
      <c r="DMF16" s="588"/>
      <c r="DMG16" s="588"/>
      <c r="DMH16" s="588"/>
      <c r="DMI16" s="588"/>
      <c r="DMJ16" s="588"/>
      <c r="DMK16" s="588"/>
      <c r="DML16" s="588"/>
      <c r="DMM16" s="588"/>
      <c r="DMN16" s="588"/>
      <c r="DMO16" s="588"/>
      <c r="DMP16" s="588"/>
      <c r="DMQ16" s="588"/>
      <c r="DMR16" s="588"/>
      <c r="DMS16" s="588"/>
      <c r="DMT16" s="588"/>
      <c r="DMU16" s="588"/>
      <c r="DMV16" s="588"/>
      <c r="DMW16" s="588"/>
      <c r="DMX16" s="588"/>
      <c r="DMY16" s="588"/>
      <c r="DMZ16" s="588"/>
      <c r="DNA16" s="588"/>
      <c r="DNB16" s="588"/>
      <c r="DNC16" s="588"/>
      <c r="DND16" s="588"/>
      <c r="DNE16" s="588"/>
      <c r="DNF16" s="588"/>
      <c r="DNG16" s="588"/>
      <c r="DNH16" s="588"/>
      <c r="DNI16" s="588"/>
      <c r="DNJ16" s="588"/>
      <c r="DNK16" s="588"/>
      <c r="DNL16" s="588"/>
      <c r="DNM16" s="588"/>
      <c r="DNN16" s="588"/>
      <c r="DNO16" s="588"/>
      <c r="DNP16" s="588"/>
      <c r="DNQ16" s="588"/>
      <c r="DNR16" s="588"/>
      <c r="DNS16" s="588"/>
      <c r="DNT16" s="588"/>
      <c r="DNU16" s="588"/>
      <c r="DNV16" s="588"/>
      <c r="DNW16" s="588"/>
      <c r="DNX16" s="588"/>
      <c r="DNY16" s="588"/>
      <c r="DNZ16" s="588"/>
      <c r="DOA16" s="588"/>
      <c r="DOB16" s="588"/>
      <c r="DOC16" s="588"/>
      <c r="DOD16" s="588"/>
      <c r="DOE16" s="588"/>
      <c r="DOF16" s="588"/>
      <c r="DOG16" s="588"/>
      <c r="DOH16" s="588"/>
      <c r="DOI16" s="588"/>
      <c r="DOJ16" s="588"/>
      <c r="DOK16" s="588"/>
      <c r="DOL16" s="588"/>
      <c r="DOM16" s="588"/>
      <c r="DON16" s="588"/>
      <c r="DOO16" s="588"/>
      <c r="DOP16" s="588"/>
      <c r="DOQ16" s="588"/>
      <c r="DOR16" s="588"/>
      <c r="DOS16" s="588"/>
      <c r="DOT16" s="588"/>
      <c r="DOU16" s="588"/>
      <c r="DOV16" s="588"/>
      <c r="DOW16" s="588"/>
      <c r="DOX16" s="588"/>
      <c r="DOY16" s="588"/>
      <c r="DOZ16" s="588"/>
      <c r="DPA16" s="588"/>
      <c r="DPB16" s="588"/>
      <c r="DPC16" s="588"/>
      <c r="DPD16" s="588"/>
      <c r="DPE16" s="588"/>
      <c r="DPF16" s="588"/>
      <c r="DPG16" s="588"/>
      <c r="DPH16" s="588"/>
      <c r="DPI16" s="588"/>
      <c r="DPJ16" s="588"/>
      <c r="DPK16" s="588"/>
      <c r="DPL16" s="588"/>
      <c r="DPM16" s="588"/>
      <c r="DPN16" s="588"/>
      <c r="DPO16" s="588"/>
      <c r="DPP16" s="588"/>
      <c r="DPQ16" s="588"/>
      <c r="DPR16" s="588"/>
      <c r="DPS16" s="588"/>
      <c r="DPT16" s="588"/>
      <c r="DPU16" s="588"/>
      <c r="DPV16" s="588"/>
      <c r="DPW16" s="588"/>
      <c r="DPX16" s="588"/>
      <c r="DPY16" s="588"/>
      <c r="DPZ16" s="588"/>
      <c r="DQA16" s="588"/>
      <c r="DQB16" s="588"/>
      <c r="DQC16" s="588"/>
      <c r="DQD16" s="588"/>
      <c r="DQE16" s="588"/>
      <c r="DQF16" s="588"/>
      <c r="DQG16" s="588"/>
      <c r="DQH16" s="588"/>
      <c r="DQI16" s="588"/>
      <c r="DQJ16" s="588"/>
      <c r="DQK16" s="588"/>
      <c r="DQL16" s="588"/>
      <c r="DQM16" s="588"/>
      <c r="DQN16" s="588"/>
      <c r="DQO16" s="588"/>
      <c r="DQP16" s="588"/>
      <c r="DQQ16" s="588"/>
      <c r="DQR16" s="588"/>
      <c r="DQS16" s="588"/>
      <c r="DQT16" s="588"/>
      <c r="DQU16" s="588"/>
      <c r="DQV16" s="588"/>
      <c r="DQW16" s="588"/>
      <c r="DQX16" s="588"/>
      <c r="DQY16" s="588"/>
      <c r="DQZ16" s="588"/>
      <c r="DRA16" s="588"/>
      <c r="DRB16" s="588"/>
      <c r="DRC16" s="588"/>
      <c r="DRD16" s="588"/>
      <c r="DRE16" s="588"/>
      <c r="DRF16" s="588"/>
      <c r="DRG16" s="588"/>
      <c r="DRH16" s="588"/>
      <c r="DRI16" s="588"/>
      <c r="DRJ16" s="588"/>
      <c r="DRK16" s="588"/>
      <c r="DRL16" s="588"/>
      <c r="DRM16" s="588"/>
      <c r="DRN16" s="588"/>
      <c r="DRO16" s="588"/>
      <c r="DRP16" s="588"/>
      <c r="DRQ16" s="588"/>
      <c r="DRR16" s="588"/>
      <c r="DRS16" s="588"/>
      <c r="DRT16" s="588"/>
      <c r="DRU16" s="588"/>
      <c r="DRV16" s="588"/>
      <c r="DRW16" s="588"/>
      <c r="DRX16" s="588"/>
      <c r="DRY16" s="588"/>
      <c r="DRZ16" s="588"/>
      <c r="DSA16" s="588"/>
      <c r="DSB16" s="588"/>
      <c r="DSC16" s="588"/>
      <c r="DSD16" s="588"/>
      <c r="DSE16" s="588"/>
      <c r="DSF16" s="588"/>
      <c r="DSG16" s="588"/>
      <c r="DSH16" s="588"/>
      <c r="DSI16" s="588"/>
      <c r="DSJ16" s="588"/>
      <c r="DSK16" s="588"/>
      <c r="DSL16" s="588"/>
      <c r="DSM16" s="588"/>
      <c r="DSN16" s="588"/>
      <c r="DSO16" s="588"/>
      <c r="DSP16" s="588"/>
      <c r="DSQ16" s="588"/>
      <c r="DSR16" s="588"/>
      <c r="DSS16" s="588"/>
      <c r="DST16" s="588"/>
      <c r="DSU16" s="588"/>
      <c r="DSV16" s="588"/>
      <c r="DSW16" s="588"/>
      <c r="DSX16" s="588"/>
      <c r="DSY16" s="588"/>
      <c r="DSZ16" s="588"/>
      <c r="DTA16" s="588"/>
      <c r="DTB16" s="588"/>
      <c r="DTC16" s="588"/>
      <c r="DTD16" s="588"/>
      <c r="DTE16" s="588"/>
      <c r="DTF16" s="588"/>
      <c r="DTG16" s="588"/>
      <c r="DTH16" s="588"/>
      <c r="DTI16" s="588"/>
      <c r="DTJ16" s="588"/>
      <c r="DTK16" s="588"/>
      <c r="DTL16" s="588"/>
      <c r="DTM16" s="588"/>
      <c r="DTN16" s="588"/>
      <c r="DTO16" s="588"/>
      <c r="DTP16" s="588"/>
      <c r="DTQ16" s="588"/>
      <c r="DTR16" s="588"/>
      <c r="DTS16" s="588"/>
      <c r="DTT16" s="588"/>
      <c r="DTU16" s="588"/>
      <c r="DTV16" s="588"/>
      <c r="DTW16" s="588"/>
      <c r="DTX16" s="588"/>
      <c r="DTY16" s="588"/>
      <c r="DTZ16" s="588"/>
      <c r="DUA16" s="588"/>
      <c r="DUB16" s="588"/>
      <c r="DUC16" s="588"/>
      <c r="DUD16" s="588"/>
      <c r="DUE16" s="588"/>
      <c r="DUF16" s="588"/>
      <c r="DUG16" s="588"/>
      <c r="DUH16" s="588"/>
      <c r="DUI16" s="588"/>
      <c r="DUJ16" s="588"/>
      <c r="DUK16" s="588"/>
      <c r="DUL16" s="588"/>
      <c r="DUM16" s="588"/>
      <c r="DUN16" s="588"/>
      <c r="DUO16" s="588"/>
      <c r="DUP16" s="588"/>
      <c r="DUQ16" s="588"/>
      <c r="DUR16" s="588"/>
      <c r="DUS16" s="588"/>
      <c r="DUT16" s="588"/>
      <c r="DUU16" s="588"/>
      <c r="DUV16" s="588"/>
      <c r="DUW16" s="588"/>
      <c r="DUX16" s="588"/>
      <c r="DUY16" s="588"/>
      <c r="DUZ16" s="588"/>
      <c r="DVA16" s="588"/>
      <c r="DVB16" s="588"/>
      <c r="DVC16" s="588"/>
      <c r="DVD16" s="588"/>
      <c r="DVE16" s="588"/>
      <c r="DVF16" s="588"/>
      <c r="DVG16" s="588"/>
      <c r="DVH16" s="588"/>
      <c r="DVI16" s="588"/>
      <c r="DVJ16" s="588"/>
      <c r="DVK16" s="588"/>
      <c r="DVL16" s="588"/>
      <c r="DVM16" s="588"/>
      <c r="DVN16" s="588"/>
      <c r="DVO16" s="588"/>
      <c r="DVP16" s="588"/>
      <c r="DVQ16" s="588"/>
      <c r="DVR16" s="588"/>
      <c r="DVS16" s="588"/>
      <c r="DVT16" s="588"/>
      <c r="DVU16" s="588"/>
      <c r="DVV16" s="588"/>
      <c r="DVW16" s="588"/>
      <c r="DVX16" s="588"/>
      <c r="DVY16" s="588"/>
      <c r="DVZ16" s="588"/>
      <c r="DWA16" s="588"/>
      <c r="DWB16" s="588"/>
      <c r="DWC16" s="588"/>
      <c r="DWD16" s="588"/>
      <c r="DWE16" s="588"/>
      <c r="DWF16" s="588"/>
      <c r="DWG16" s="588"/>
      <c r="DWH16" s="588"/>
      <c r="DWI16" s="588"/>
      <c r="DWJ16" s="588"/>
      <c r="DWK16" s="588"/>
      <c r="DWL16" s="588"/>
      <c r="DWM16" s="588"/>
      <c r="DWN16" s="588"/>
      <c r="DWO16" s="588"/>
      <c r="DWP16" s="588"/>
      <c r="DWQ16" s="588"/>
      <c r="DWR16" s="588"/>
      <c r="DWS16" s="588"/>
      <c r="DWT16" s="588"/>
      <c r="DWU16" s="588"/>
      <c r="DWV16" s="588"/>
      <c r="DWW16" s="588"/>
      <c r="DWX16" s="588"/>
      <c r="DWY16" s="588"/>
      <c r="DWZ16" s="588"/>
      <c r="DXA16" s="588"/>
      <c r="DXB16" s="588"/>
      <c r="DXC16" s="588"/>
      <c r="DXD16" s="588"/>
      <c r="DXE16" s="588"/>
      <c r="DXF16" s="588"/>
      <c r="DXG16" s="588"/>
      <c r="DXH16" s="588"/>
      <c r="DXI16" s="588"/>
      <c r="DXJ16" s="588"/>
      <c r="DXK16" s="588"/>
      <c r="DXL16" s="588"/>
      <c r="DXM16" s="588"/>
      <c r="DXN16" s="588"/>
      <c r="DXO16" s="588"/>
      <c r="DXP16" s="588"/>
      <c r="DXQ16" s="588"/>
      <c r="DXR16" s="588"/>
      <c r="DXS16" s="588"/>
      <c r="DXT16" s="588"/>
      <c r="DXU16" s="588"/>
      <c r="DXV16" s="588"/>
      <c r="DXW16" s="588"/>
      <c r="DXX16" s="588"/>
      <c r="DXY16" s="588"/>
      <c r="DXZ16" s="588"/>
      <c r="DYA16" s="588"/>
      <c r="DYB16" s="588"/>
      <c r="DYC16" s="588"/>
      <c r="DYD16" s="588"/>
      <c r="DYE16" s="588"/>
      <c r="DYF16" s="588"/>
      <c r="DYG16" s="588"/>
      <c r="DYH16" s="588"/>
      <c r="DYI16" s="588"/>
      <c r="DYJ16" s="588"/>
      <c r="DYK16" s="588"/>
      <c r="DYL16" s="588"/>
      <c r="DYM16" s="588"/>
      <c r="DYN16" s="588"/>
      <c r="DYO16" s="588"/>
      <c r="DYP16" s="588"/>
      <c r="DYQ16" s="588"/>
      <c r="DYR16" s="588"/>
      <c r="DYS16" s="588"/>
      <c r="DYT16" s="588"/>
      <c r="DYU16" s="588"/>
      <c r="DYV16" s="588"/>
      <c r="DYW16" s="588"/>
      <c r="DYX16" s="588"/>
      <c r="DYY16" s="588"/>
      <c r="DYZ16" s="588"/>
      <c r="DZA16" s="588"/>
      <c r="DZB16" s="588"/>
      <c r="DZC16" s="588"/>
      <c r="DZD16" s="588"/>
      <c r="DZE16" s="588"/>
      <c r="DZF16" s="588"/>
      <c r="DZG16" s="588"/>
      <c r="DZH16" s="588"/>
      <c r="DZI16" s="588"/>
      <c r="DZJ16" s="588"/>
      <c r="DZK16" s="588"/>
      <c r="DZL16" s="588"/>
      <c r="DZM16" s="588"/>
      <c r="DZN16" s="588"/>
      <c r="DZO16" s="588"/>
      <c r="DZP16" s="588"/>
      <c r="DZQ16" s="588"/>
      <c r="DZR16" s="588"/>
      <c r="DZS16" s="588"/>
      <c r="DZT16" s="588"/>
      <c r="DZU16" s="588"/>
      <c r="DZV16" s="588"/>
      <c r="DZW16" s="588"/>
      <c r="DZX16" s="588"/>
      <c r="DZY16" s="588"/>
      <c r="DZZ16" s="588"/>
      <c r="EAA16" s="588"/>
      <c r="EAB16" s="588"/>
      <c r="EAC16" s="588"/>
      <c r="EAD16" s="588"/>
      <c r="EAE16" s="588"/>
      <c r="EAF16" s="588"/>
      <c r="EAG16" s="588"/>
      <c r="EAH16" s="588"/>
      <c r="EAI16" s="588"/>
      <c r="EAJ16" s="588"/>
      <c r="EAK16" s="588"/>
      <c r="EAL16" s="588"/>
      <c r="EAM16" s="588"/>
      <c r="EAN16" s="588"/>
      <c r="EAO16" s="588"/>
      <c r="EAP16" s="588"/>
      <c r="EAQ16" s="588"/>
      <c r="EAR16" s="588"/>
      <c r="EAS16" s="588"/>
      <c r="EAT16" s="588"/>
      <c r="EAU16" s="588"/>
      <c r="EAV16" s="588"/>
      <c r="EAW16" s="588"/>
      <c r="EAX16" s="588"/>
      <c r="EAY16" s="588"/>
      <c r="EAZ16" s="588"/>
      <c r="EBA16" s="588"/>
      <c r="EBB16" s="588"/>
      <c r="EBC16" s="588"/>
      <c r="EBD16" s="588"/>
      <c r="EBE16" s="588"/>
      <c r="EBF16" s="588"/>
      <c r="EBG16" s="588"/>
      <c r="EBH16" s="588"/>
      <c r="EBI16" s="588"/>
      <c r="EBJ16" s="588"/>
      <c r="EBK16" s="588"/>
      <c r="EBL16" s="588"/>
      <c r="EBM16" s="588"/>
      <c r="EBN16" s="588"/>
      <c r="EBO16" s="588"/>
      <c r="EBP16" s="588"/>
      <c r="EBQ16" s="588"/>
      <c r="EBR16" s="588"/>
      <c r="EBS16" s="588"/>
      <c r="EBT16" s="588"/>
      <c r="EBU16" s="588"/>
      <c r="EBV16" s="588"/>
      <c r="EBW16" s="588"/>
      <c r="EBX16" s="588"/>
      <c r="EBY16" s="588"/>
      <c r="EBZ16" s="588"/>
      <c r="ECA16" s="588"/>
      <c r="ECB16" s="588"/>
      <c r="ECC16" s="588"/>
      <c r="ECD16" s="588"/>
      <c r="ECE16" s="588"/>
      <c r="ECF16" s="588"/>
      <c r="ECG16" s="588"/>
      <c r="ECH16" s="588"/>
      <c r="ECI16" s="588"/>
      <c r="ECJ16" s="588"/>
      <c r="ECK16" s="588"/>
      <c r="ECL16" s="588"/>
      <c r="ECM16" s="588"/>
      <c r="ECN16" s="588"/>
      <c r="ECO16" s="588"/>
      <c r="ECP16" s="588"/>
      <c r="ECQ16" s="588"/>
      <c r="ECR16" s="588"/>
      <c r="ECS16" s="588"/>
      <c r="ECT16" s="588"/>
      <c r="ECU16" s="588"/>
      <c r="ECV16" s="588"/>
      <c r="ECW16" s="588"/>
      <c r="ECX16" s="588"/>
      <c r="ECY16" s="588"/>
      <c r="ECZ16" s="588"/>
      <c r="EDA16" s="588"/>
      <c r="EDB16" s="588"/>
      <c r="EDC16" s="588"/>
      <c r="EDD16" s="588"/>
      <c r="EDE16" s="588"/>
      <c r="EDF16" s="588"/>
      <c r="EDG16" s="588"/>
      <c r="EDH16" s="588"/>
      <c r="EDI16" s="588"/>
      <c r="EDJ16" s="588"/>
      <c r="EDK16" s="588"/>
      <c r="EDL16" s="588"/>
      <c r="EDM16" s="588"/>
      <c r="EDN16" s="588"/>
      <c r="EDO16" s="588"/>
      <c r="EDP16" s="588"/>
      <c r="EDQ16" s="588"/>
      <c r="EDR16" s="588"/>
      <c r="EDS16" s="588"/>
      <c r="EDT16" s="588"/>
      <c r="EDU16" s="588"/>
      <c r="EDV16" s="588"/>
      <c r="EDW16" s="588"/>
      <c r="EDX16" s="588"/>
      <c r="EDY16" s="588"/>
      <c r="EDZ16" s="588"/>
      <c r="EEA16" s="588"/>
      <c r="EEB16" s="588"/>
      <c r="EEC16" s="588"/>
      <c r="EED16" s="588"/>
      <c r="EEE16" s="588"/>
      <c r="EEF16" s="588"/>
      <c r="EEG16" s="588"/>
      <c r="EEH16" s="588"/>
      <c r="EEI16" s="588"/>
      <c r="EEJ16" s="588"/>
      <c r="EEK16" s="588"/>
      <c r="EEL16" s="588"/>
      <c r="EEM16" s="588"/>
      <c r="EEN16" s="588"/>
      <c r="EEO16" s="588"/>
      <c r="EEP16" s="588"/>
      <c r="EEQ16" s="588"/>
      <c r="EER16" s="588"/>
      <c r="EES16" s="588"/>
      <c r="EET16" s="588"/>
      <c r="EEU16" s="588"/>
      <c r="EEV16" s="588"/>
      <c r="EEW16" s="588"/>
      <c r="EEX16" s="588"/>
      <c r="EEY16" s="588"/>
      <c r="EEZ16" s="588"/>
      <c r="EFA16" s="588"/>
      <c r="EFB16" s="588"/>
      <c r="EFC16" s="588"/>
      <c r="EFD16" s="588"/>
      <c r="EFE16" s="588"/>
      <c r="EFF16" s="588"/>
      <c r="EFG16" s="588"/>
      <c r="EFH16" s="588"/>
      <c r="EFI16" s="588"/>
      <c r="EFJ16" s="588"/>
      <c r="EFK16" s="588"/>
      <c r="EFL16" s="588"/>
      <c r="EFM16" s="588"/>
      <c r="EFN16" s="588"/>
      <c r="EFO16" s="588"/>
      <c r="EFP16" s="588"/>
      <c r="EFQ16" s="588"/>
      <c r="EFR16" s="588"/>
      <c r="EFS16" s="588"/>
      <c r="EFT16" s="588"/>
      <c r="EFU16" s="588"/>
      <c r="EFV16" s="588"/>
      <c r="EFW16" s="588"/>
      <c r="EFX16" s="588"/>
      <c r="EFY16" s="588"/>
      <c r="EFZ16" s="588"/>
      <c r="EGA16" s="588"/>
      <c r="EGB16" s="588"/>
      <c r="EGC16" s="588"/>
      <c r="EGD16" s="588"/>
      <c r="EGE16" s="588"/>
      <c r="EGF16" s="588"/>
      <c r="EGG16" s="588"/>
      <c r="EGH16" s="588"/>
      <c r="EGI16" s="588"/>
      <c r="EGJ16" s="588"/>
      <c r="EGK16" s="588"/>
      <c r="EGL16" s="588"/>
      <c r="EGM16" s="588"/>
      <c r="EGN16" s="588"/>
      <c r="EGO16" s="588"/>
      <c r="EGP16" s="588"/>
      <c r="EGQ16" s="588"/>
      <c r="EGR16" s="588"/>
      <c r="EGS16" s="588"/>
      <c r="EGT16" s="588"/>
      <c r="EGU16" s="588"/>
      <c r="EGV16" s="588"/>
      <c r="EGW16" s="588"/>
      <c r="EGX16" s="588"/>
      <c r="EGY16" s="588"/>
      <c r="EGZ16" s="588"/>
      <c r="EHA16" s="588"/>
      <c r="EHB16" s="588"/>
      <c r="EHC16" s="588"/>
      <c r="EHD16" s="588"/>
      <c r="EHE16" s="588"/>
      <c r="EHF16" s="588"/>
      <c r="EHG16" s="588"/>
      <c r="EHH16" s="588"/>
      <c r="EHI16" s="588"/>
      <c r="EHJ16" s="588"/>
      <c r="EHK16" s="588"/>
      <c r="EHL16" s="588"/>
      <c r="EHM16" s="588"/>
      <c r="EHN16" s="588"/>
      <c r="EHO16" s="588"/>
      <c r="EHP16" s="588"/>
      <c r="EHQ16" s="588"/>
      <c r="EHR16" s="588"/>
      <c r="EHS16" s="588"/>
      <c r="EHT16" s="588"/>
      <c r="EHU16" s="588"/>
      <c r="EHV16" s="588"/>
      <c r="EHW16" s="588"/>
      <c r="EHX16" s="588"/>
      <c r="EHY16" s="588"/>
      <c r="EHZ16" s="588"/>
      <c r="EIA16" s="588"/>
      <c r="EIB16" s="588"/>
      <c r="EIC16" s="588"/>
      <c r="EID16" s="588"/>
      <c r="EIE16" s="588"/>
      <c r="EIF16" s="588"/>
      <c r="EIG16" s="588"/>
      <c r="EIH16" s="588"/>
      <c r="EII16" s="588"/>
      <c r="EIJ16" s="588"/>
      <c r="EIK16" s="588"/>
      <c r="EIL16" s="588"/>
      <c r="EIM16" s="588"/>
      <c r="EIN16" s="588"/>
      <c r="EIO16" s="588"/>
      <c r="EIP16" s="588"/>
      <c r="EIQ16" s="588"/>
      <c r="EIR16" s="588"/>
      <c r="EIS16" s="588"/>
      <c r="EIT16" s="588"/>
      <c r="EIU16" s="588"/>
      <c r="EIV16" s="588"/>
      <c r="EIW16" s="588"/>
      <c r="EIX16" s="588"/>
      <c r="EIY16" s="588"/>
      <c r="EIZ16" s="588"/>
      <c r="EJA16" s="588"/>
      <c r="EJB16" s="588"/>
      <c r="EJC16" s="588"/>
      <c r="EJD16" s="588"/>
      <c r="EJE16" s="588"/>
      <c r="EJF16" s="588"/>
      <c r="EJG16" s="588"/>
      <c r="EJH16" s="588"/>
      <c r="EJI16" s="588"/>
      <c r="EJJ16" s="588"/>
      <c r="EJK16" s="588"/>
      <c r="EJL16" s="588"/>
      <c r="EJM16" s="588"/>
      <c r="EJN16" s="588"/>
      <c r="EJO16" s="588"/>
      <c r="EJP16" s="588"/>
      <c r="EJQ16" s="588"/>
      <c r="EJR16" s="588"/>
      <c r="EJS16" s="588"/>
      <c r="EJT16" s="588"/>
      <c r="EJU16" s="588"/>
      <c r="EJV16" s="588"/>
      <c r="EJW16" s="588"/>
      <c r="EJX16" s="588"/>
      <c r="EJY16" s="588"/>
      <c r="EJZ16" s="588"/>
      <c r="EKA16" s="588"/>
      <c r="EKB16" s="588"/>
      <c r="EKC16" s="588"/>
      <c r="EKD16" s="588"/>
      <c r="EKE16" s="588"/>
      <c r="EKF16" s="588"/>
      <c r="EKG16" s="588"/>
      <c r="EKH16" s="588"/>
      <c r="EKI16" s="588"/>
      <c r="EKJ16" s="588"/>
      <c r="EKK16" s="588"/>
      <c r="EKL16" s="588"/>
      <c r="EKM16" s="588"/>
      <c r="EKN16" s="588"/>
      <c r="EKO16" s="588"/>
      <c r="EKP16" s="588"/>
      <c r="EKQ16" s="588"/>
      <c r="EKR16" s="588"/>
      <c r="EKS16" s="588"/>
      <c r="EKT16" s="588"/>
      <c r="EKU16" s="588"/>
      <c r="EKV16" s="588"/>
      <c r="EKW16" s="588"/>
      <c r="EKX16" s="588"/>
      <c r="EKY16" s="588"/>
      <c r="EKZ16" s="588"/>
      <c r="ELA16" s="588"/>
      <c r="ELB16" s="588"/>
      <c r="ELC16" s="588"/>
      <c r="ELD16" s="588"/>
      <c r="ELE16" s="588"/>
      <c r="ELF16" s="588"/>
      <c r="ELG16" s="588"/>
      <c r="ELH16" s="588"/>
      <c r="ELI16" s="588"/>
      <c r="ELJ16" s="588"/>
      <c r="ELK16" s="588"/>
      <c r="ELL16" s="588"/>
      <c r="ELM16" s="588"/>
      <c r="ELN16" s="588"/>
      <c r="ELO16" s="588"/>
      <c r="ELP16" s="588"/>
      <c r="ELQ16" s="588"/>
      <c r="ELR16" s="588"/>
      <c r="ELS16" s="588"/>
      <c r="ELT16" s="588"/>
      <c r="ELU16" s="588"/>
      <c r="ELV16" s="588"/>
      <c r="ELW16" s="588"/>
      <c r="ELX16" s="588"/>
      <c r="ELY16" s="588"/>
      <c r="ELZ16" s="588"/>
      <c r="EMA16" s="588"/>
      <c r="EMB16" s="588"/>
      <c r="EMC16" s="588"/>
      <c r="EMD16" s="588"/>
      <c r="EME16" s="588"/>
      <c r="EMF16" s="588"/>
      <c r="EMG16" s="588"/>
      <c r="EMH16" s="588"/>
      <c r="EMI16" s="588"/>
      <c r="EMJ16" s="588"/>
      <c r="EMK16" s="588"/>
      <c r="EML16" s="588"/>
      <c r="EMM16" s="588"/>
      <c r="EMN16" s="588"/>
      <c r="EMO16" s="588"/>
      <c r="EMP16" s="588"/>
      <c r="EMQ16" s="588"/>
      <c r="EMR16" s="588"/>
      <c r="EMS16" s="588"/>
      <c r="EMT16" s="588"/>
      <c r="EMU16" s="588"/>
      <c r="EMV16" s="588"/>
      <c r="EMW16" s="588"/>
      <c r="EMX16" s="588"/>
      <c r="EMY16" s="588"/>
      <c r="EMZ16" s="588"/>
      <c r="ENA16" s="588"/>
      <c r="ENB16" s="588"/>
      <c r="ENC16" s="588"/>
      <c r="END16" s="588"/>
      <c r="ENE16" s="588"/>
      <c r="ENF16" s="588"/>
      <c r="ENG16" s="588"/>
      <c r="ENH16" s="588"/>
      <c r="ENI16" s="588"/>
      <c r="ENJ16" s="588"/>
      <c r="ENK16" s="588"/>
      <c r="ENL16" s="588"/>
      <c r="ENM16" s="588"/>
      <c r="ENN16" s="588"/>
      <c r="ENO16" s="588"/>
      <c r="ENP16" s="588"/>
      <c r="ENQ16" s="588"/>
      <c r="ENR16" s="588"/>
      <c r="ENS16" s="588"/>
      <c r="ENT16" s="588"/>
      <c r="ENU16" s="588"/>
      <c r="ENV16" s="588"/>
      <c r="ENW16" s="588"/>
      <c r="ENX16" s="588"/>
      <c r="ENY16" s="588"/>
      <c r="ENZ16" s="588"/>
      <c r="EOA16" s="588"/>
      <c r="EOB16" s="588"/>
      <c r="EOC16" s="588"/>
      <c r="EOD16" s="588"/>
      <c r="EOE16" s="588"/>
      <c r="EOF16" s="588"/>
      <c r="EOG16" s="588"/>
      <c r="EOH16" s="588"/>
      <c r="EOI16" s="588"/>
      <c r="EOJ16" s="588"/>
      <c r="EOK16" s="588"/>
      <c r="EOL16" s="588"/>
      <c r="EOM16" s="588"/>
      <c r="EON16" s="588"/>
      <c r="EOO16" s="588"/>
      <c r="EOP16" s="588"/>
      <c r="EOQ16" s="588"/>
      <c r="EOR16" s="588"/>
      <c r="EOS16" s="588"/>
      <c r="EOT16" s="588"/>
      <c r="EOU16" s="588"/>
      <c r="EOV16" s="588"/>
      <c r="EOW16" s="588"/>
      <c r="EOX16" s="588"/>
      <c r="EOY16" s="588"/>
      <c r="EOZ16" s="588"/>
      <c r="EPA16" s="588"/>
      <c r="EPB16" s="588"/>
      <c r="EPC16" s="588"/>
      <c r="EPD16" s="588"/>
      <c r="EPE16" s="588"/>
      <c r="EPF16" s="588"/>
      <c r="EPG16" s="588"/>
      <c r="EPH16" s="588"/>
      <c r="EPI16" s="588"/>
      <c r="EPJ16" s="588"/>
      <c r="EPK16" s="588"/>
      <c r="EPL16" s="588"/>
      <c r="EPM16" s="588"/>
      <c r="EPN16" s="588"/>
      <c r="EPO16" s="588"/>
      <c r="EPP16" s="588"/>
      <c r="EPQ16" s="588"/>
      <c r="EPR16" s="588"/>
      <c r="EPS16" s="588"/>
      <c r="EPT16" s="588"/>
      <c r="EPU16" s="588"/>
      <c r="EPV16" s="588"/>
      <c r="EPW16" s="588"/>
      <c r="EPX16" s="588"/>
      <c r="EPY16" s="588"/>
      <c r="EPZ16" s="588"/>
      <c r="EQA16" s="588"/>
      <c r="EQB16" s="588"/>
      <c r="EQC16" s="588"/>
      <c r="EQD16" s="588"/>
      <c r="EQE16" s="588"/>
      <c r="EQF16" s="588"/>
      <c r="EQG16" s="588"/>
      <c r="EQH16" s="588"/>
      <c r="EQI16" s="588"/>
      <c r="EQJ16" s="588"/>
      <c r="EQK16" s="588"/>
      <c r="EQL16" s="588"/>
      <c r="EQM16" s="588"/>
      <c r="EQN16" s="588"/>
      <c r="EQO16" s="588"/>
      <c r="EQP16" s="588"/>
      <c r="EQQ16" s="588"/>
      <c r="EQR16" s="588"/>
      <c r="EQS16" s="588"/>
      <c r="EQT16" s="588"/>
      <c r="EQU16" s="588"/>
      <c r="EQV16" s="588"/>
      <c r="EQW16" s="588"/>
      <c r="EQX16" s="588"/>
      <c r="EQY16" s="588"/>
      <c r="EQZ16" s="588"/>
      <c r="ERA16" s="588"/>
      <c r="ERB16" s="588"/>
      <c r="ERC16" s="588"/>
      <c r="ERD16" s="588"/>
      <c r="ERE16" s="588"/>
      <c r="ERF16" s="588"/>
      <c r="ERG16" s="588"/>
      <c r="ERH16" s="588"/>
      <c r="ERI16" s="588"/>
      <c r="ERJ16" s="588"/>
      <c r="ERK16" s="588"/>
      <c r="ERL16" s="588"/>
      <c r="ERM16" s="588"/>
      <c r="ERN16" s="588"/>
      <c r="ERO16" s="588"/>
      <c r="ERP16" s="588"/>
      <c r="ERQ16" s="588"/>
      <c r="ERR16" s="588"/>
      <c r="ERS16" s="588"/>
      <c r="ERT16" s="588"/>
      <c r="ERU16" s="588"/>
      <c r="ERV16" s="588"/>
      <c r="ERW16" s="588"/>
      <c r="ERX16" s="588"/>
      <c r="ERY16" s="588"/>
      <c r="ERZ16" s="588"/>
      <c r="ESA16" s="588"/>
      <c r="ESB16" s="588"/>
      <c r="ESC16" s="588"/>
      <c r="ESD16" s="588"/>
      <c r="ESE16" s="588"/>
      <c r="ESF16" s="588"/>
      <c r="ESG16" s="588"/>
      <c r="ESH16" s="588"/>
      <c r="ESI16" s="588"/>
      <c r="ESJ16" s="588"/>
      <c r="ESK16" s="588"/>
      <c r="ESL16" s="588"/>
      <c r="ESM16" s="588"/>
      <c r="ESN16" s="588"/>
      <c r="ESO16" s="588"/>
      <c r="ESP16" s="588"/>
      <c r="ESQ16" s="588"/>
      <c r="ESR16" s="588"/>
      <c r="ESS16" s="588"/>
      <c r="EST16" s="588"/>
      <c r="ESU16" s="588"/>
      <c r="ESV16" s="588"/>
      <c r="ESW16" s="588"/>
      <c r="ESX16" s="588"/>
      <c r="ESY16" s="588"/>
      <c r="ESZ16" s="588"/>
      <c r="ETA16" s="588"/>
      <c r="ETB16" s="588"/>
      <c r="ETC16" s="588"/>
      <c r="ETD16" s="588"/>
      <c r="ETE16" s="588"/>
      <c r="ETF16" s="588"/>
      <c r="ETG16" s="588"/>
      <c r="ETH16" s="588"/>
      <c r="ETI16" s="588"/>
      <c r="ETJ16" s="588"/>
      <c r="ETK16" s="588"/>
      <c r="ETL16" s="588"/>
      <c r="ETM16" s="588"/>
      <c r="ETN16" s="588"/>
      <c r="ETO16" s="588"/>
      <c r="ETP16" s="588"/>
      <c r="ETQ16" s="588"/>
      <c r="ETR16" s="588"/>
      <c r="ETS16" s="588"/>
      <c r="ETT16" s="588"/>
      <c r="ETU16" s="588"/>
      <c r="ETV16" s="588"/>
      <c r="ETW16" s="588"/>
      <c r="ETX16" s="588"/>
      <c r="ETY16" s="588"/>
      <c r="ETZ16" s="588"/>
      <c r="EUA16" s="588"/>
      <c r="EUB16" s="588"/>
      <c r="EUC16" s="588"/>
      <c r="EUD16" s="588"/>
      <c r="EUE16" s="588"/>
      <c r="EUF16" s="588"/>
      <c r="EUG16" s="588"/>
      <c r="EUH16" s="588"/>
      <c r="EUI16" s="588"/>
      <c r="EUJ16" s="588"/>
      <c r="EUK16" s="588"/>
      <c r="EUL16" s="588"/>
      <c r="EUM16" s="588"/>
      <c r="EUN16" s="588"/>
      <c r="EUO16" s="588"/>
      <c r="EUP16" s="588"/>
      <c r="EUQ16" s="588"/>
      <c r="EUR16" s="588"/>
      <c r="EUS16" s="588"/>
      <c r="EUT16" s="588"/>
      <c r="EUU16" s="588"/>
      <c r="EUV16" s="588"/>
      <c r="EUW16" s="588"/>
      <c r="EUX16" s="588"/>
      <c r="EUY16" s="588"/>
      <c r="EUZ16" s="588"/>
      <c r="EVA16" s="588"/>
      <c r="EVB16" s="588"/>
      <c r="EVC16" s="588"/>
      <c r="EVD16" s="588"/>
      <c r="EVE16" s="588"/>
      <c r="EVF16" s="588"/>
      <c r="EVG16" s="588"/>
      <c r="EVH16" s="588"/>
      <c r="EVI16" s="588"/>
      <c r="EVJ16" s="588"/>
      <c r="EVK16" s="588"/>
      <c r="EVL16" s="588"/>
      <c r="EVM16" s="588"/>
      <c r="EVN16" s="588"/>
      <c r="EVO16" s="588"/>
      <c r="EVP16" s="588"/>
      <c r="EVQ16" s="588"/>
      <c r="EVR16" s="588"/>
      <c r="EVS16" s="588"/>
      <c r="EVT16" s="588"/>
      <c r="EVU16" s="588"/>
      <c r="EVV16" s="588"/>
      <c r="EVW16" s="588"/>
      <c r="EVX16" s="588"/>
      <c r="EVY16" s="588"/>
      <c r="EVZ16" s="588"/>
      <c r="EWA16" s="588"/>
      <c r="EWB16" s="588"/>
      <c r="EWC16" s="588"/>
      <c r="EWD16" s="588"/>
      <c r="EWE16" s="588"/>
      <c r="EWF16" s="588"/>
      <c r="EWG16" s="588"/>
      <c r="EWH16" s="588"/>
      <c r="EWI16" s="588"/>
      <c r="EWJ16" s="588"/>
      <c r="EWK16" s="588"/>
      <c r="EWL16" s="588"/>
      <c r="EWM16" s="588"/>
      <c r="EWN16" s="588"/>
      <c r="EWO16" s="588"/>
      <c r="EWP16" s="588"/>
      <c r="EWQ16" s="588"/>
      <c r="EWR16" s="588"/>
      <c r="EWS16" s="588"/>
      <c r="EWT16" s="588"/>
      <c r="EWU16" s="588"/>
      <c r="EWV16" s="588"/>
      <c r="EWW16" s="588"/>
      <c r="EWX16" s="588"/>
      <c r="EWY16" s="588"/>
      <c r="EWZ16" s="588"/>
      <c r="EXA16" s="588"/>
      <c r="EXB16" s="588"/>
      <c r="EXC16" s="588"/>
      <c r="EXD16" s="588"/>
      <c r="EXE16" s="588"/>
      <c r="EXF16" s="588"/>
      <c r="EXG16" s="588"/>
      <c r="EXH16" s="588"/>
      <c r="EXI16" s="588"/>
      <c r="EXJ16" s="588"/>
      <c r="EXK16" s="588"/>
      <c r="EXL16" s="588"/>
      <c r="EXM16" s="588"/>
      <c r="EXN16" s="588"/>
      <c r="EXO16" s="588"/>
      <c r="EXP16" s="588"/>
      <c r="EXQ16" s="588"/>
      <c r="EXR16" s="588"/>
      <c r="EXS16" s="588"/>
      <c r="EXT16" s="588"/>
      <c r="EXU16" s="588"/>
      <c r="EXV16" s="588"/>
      <c r="EXW16" s="588"/>
      <c r="EXX16" s="588"/>
      <c r="EXY16" s="588"/>
      <c r="EXZ16" s="588"/>
      <c r="EYA16" s="588"/>
      <c r="EYB16" s="588"/>
      <c r="EYC16" s="588"/>
      <c r="EYD16" s="588"/>
      <c r="EYE16" s="588"/>
      <c r="EYF16" s="588"/>
      <c r="EYG16" s="588"/>
      <c r="EYH16" s="588"/>
      <c r="EYI16" s="588"/>
      <c r="EYJ16" s="588"/>
      <c r="EYK16" s="588"/>
      <c r="EYL16" s="588"/>
      <c r="EYM16" s="588"/>
      <c r="EYN16" s="588"/>
      <c r="EYO16" s="588"/>
      <c r="EYP16" s="588"/>
      <c r="EYQ16" s="588"/>
      <c r="EYR16" s="588"/>
      <c r="EYS16" s="588"/>
      <c r="EYT16" s="588"/>
      <c r="EYU16" s="588"/>
      <c r="EYV16" s="588"/>
      <c r="EYW16" s="588"/>
      <c r="EYX16" s="588"/>
      <c r="EYY16" s="588"/>
      <c r="EYZ16" s="588"/>
      <c r="EZA16" s="588"/>
      <c r="EZB16" s="588"/>
      <c r="EZC16" s="588"/>
      <c r="EZD16" s="588"/>
      <c r="EZE16" s="588"/>
      <c r="EZF16" s="588"/>
      <c r="EZG16" s="588"/>
      <c r="EZH16" s="588"/>
      <c r="EZI16" s="588"/>
      <c r="EZJ16" s="588"/>
      <c r="EZK16" s="588"/>
      <c r="EZL16" s="588"/>
      <c r="EZM16" s="588"/>
      <c r="EZN16" s="588"/>
      <c r="EZO16" s="588"/>
      <c r="EZP16" s="588"/>
      <c r="EZQ16" s="588"/>
      <c r="EZR16" s="588"/>
      <c r="EZS16" s="588"/>
      <c r="EZT16" s="588"/>
      <c r="EZU16" s="588"/>
      <c r="EZV16" s="588"/>
      <c r="EZW16" s="588"/>
      <c r="EZX16" s="588"/>
      <c r="EZY16" s="588"/>
      <c r="EZZ16" s="588"/>
      <c r="FAA16" s="588"/>
      <c r="FAB16" s="588"/>
      <c r="FAC16" s="588"/>
      <c r="FAD16" s="588"/>
      <c r="FAE16" s="588"/>
      <c r="FAF16" s="588"/>
      <c r="FAG16" s="588"/>
      <c r="FAH16" s="588"/>
      <c r="FAI16" s="588"/>
      <c r="FAJ16" s="588"/>
      <c r="FAK16" s="588"/>
      <c r="FAL16" s="588"/>
      <c r="FAM16" s="588"/>
      <c r="FAN16" s="588"/>
      <c r="FAO16" s="588"/>
      <c r="FAP16" s="588"/>
      <c r="FAQ16" s="588"/>
      <c r="FAR16" s="588"/>
      <c r="FAS16" s="588"/>
      <c r="FAT16" s="588"/>
      <c r="FAU16" s="588"/>
      <c r="FAV16" s="588"/>
      <c r="FAW16" s="588"/>
      <c r="FAX16" s="588"/>
      <c r="FAY16" s="588"/>
      <c r="FAZ16" s="588"/>
      <c r="FBA16" s="588"/>
      <c r="FBB16" s="588"/>
      <c r="FBC16" s="588"/>
      <c r="FBD16" s="588"/>
      <c r="FBE16" s="588"/>
      <c r="FBF16" s="588"/>
      <c r="FBG16" s="588"/>
      <c r="FBH16" s="588"/>
      <c r="FBI16" s="588"/>
      <c r="FBJ16" s="588"/>
      <c r="FBK16" s="588"/>
      <c r="FBL16" s="588"/>
      <c r="FBM16" s="588"/>
      <c r="FBN16" s="588"/>
      <c r="FBO16" s="588"/>
      <c r="FBP16" s="588"/>
      <c r="FBQ16" s="588"/>
      <c r="FBR16" s="588"/>
      <c r="FBS16" s="588"/>
      <c r="FBT16" s="588"/>
      <c r="FBU16" s="588"/>
      <c r="FBV16" s="588"/>
      <c r="FBW16" s="588"/>
      <c r="FBX16" s="588"/>
      <c r="FBY16" s="588"/>
      <c r="FBZ16" s="588"/>
      <c r="FCA16" s="588"/>
      <c r="FCB16" s="588"/>
      <c r="FCC16" s="588"/>
      <c r="FCD16" s="588"/>
      <c r="FCE16" s="588"/>
      <c r="FCF16" s="588"/>
      <c r="FCG16" s="588"/>
      <c r="FCH16" s="588"/>
      <c r="FCI16" s="588"/>
      <c r="FCJ16" s="588"/>
      <c r="FCK16" s="588"/>
      <c r="FCL16" s="588"/>
      <c r="FCM16" s="588"/>
      <c r="FCN16" s="588"/>
      <c r="FCO16" s="588"/>
      <c r="FCP16" s="588"/>
      <c r="FCQ16" s="588"/>
      <c r="FCR16" s="588"/>
      <c r="FCS16" s="588"/>
      <c r="FCT16" s="588"/>
      <c r="FCU16" s="588"/>
      <c r="FCV16" s="588"/>
      <c r="FCW16" s="588"/>
      <c r="FCX16" s="588"/>
      <c r="FCY16" s="588"/>
      <c r="FCZ16" s="588"/>
      <c r="FDA16" s="588"/>
      <c r="FDB16" s="588"/>
      <c r="FDC16" s="588"/>
      <c r="FDD16" s="588"/>
      <c r="FDE16" s="588"/>
      <c r="FDF16" s="588"/>
      <c r="FDG16" s="588"/>
      <c r="FDH16" s="588"/>
      <c r="FDI16" s="588"/>
      <c r="FDJ16" s="588"/>
      <c r="FDK16" s="588"/>
      <c r="FDL16" s="588"/>
      <c r="FDM16" s="588"/>
      <c r="FDN16" s="588"/>
      <c r="FDO16" s="588"/>
      <c r="FDP16" s="588"/>
      <c r="FDQ16" s="588"/>
      <c r="FDR16" s="588"/>
      <c r="FDS16" s="588"/>
      <c r="FDT16" s="588"/>
      <c r="FDU16" s="588"/>
      <c r="FDV16" s="588"/>
      <c r="FDW16" s="588"/>
      <c r="FDX16" s="588"/>
      <c r="FDY16" s="588"/>
      <c r="FDZ16" s="588"/>
      <c r="FEA16" s="588"/>
      <c r="FEB16" s="588"/>
      <c r="FEC16" s="588"/>
      <c r="FED16" s="588"/>
      <c r="FEE16" s="588"/>
      <c r="FEF16" s="588"/>
      <c r="FEG16" s="588"/>
      <c r="FEH16" s="588"/>
      <c r="FEI16" s="588"/>
      <c r="FEJ16" s="588"/>
      <c r="FEK16" s="588"/>
      <c r="FEL16" s="588"/>
      <c r="FEM16" s="588"/>
      <c r="FEN16" s="588"/>
      <c r="FEO16" s="588"/>
      <c r="FEP16" s="588"/>
      <c r="FEQ16" s="588"/>
      <c r="FER16" s="588"/>
      <c r="FES16" s="588"/>
      <c r="FET16" s="588"/>
      <c r="FEU16" s="588"/>
      <c r="FEV16" s="588"/>
      <c r="FEW16" s="588"/>
      <c r="FEX16" s="588"/>
      <c r="FEY16" s="588"/>
      <c r="FEZ16" s="588"/>
      <c r="FFA16" s="588"/>
      <c r="FFB16" s="588"/>
      <c r="FFC16" s="588"/>
      <c r="FFD16" s="588"/>
      <c r="FFE16" s="588"/>
      <c r="FFF16" s="588"/>
      <c r="FFG16" s="588"/>
      <c r="FFH16" s="588"/>
      <c r="FFI16" s="588"/>
      <c r="FFJ16" s="588"/>
      <c r="FFK16" s="588"/>
      <c r="FFL16" s="588"/>
      <c r="FFM16" s="588"/>
      <c r="FFN16" s="588"/>
      <c r="FFO16" s="588"/>
      <c r="FFP16" s="588"/>
      <c r="FFQ16" s="588"/>
      <c r="FFR16" s="588"/>
      <c r="FFS16" s="588"/>
      <c r="FFT16" s="588"/>
      <c r="FFU16" s="588"/>
      <c r="FFV16" s="588"/>
      <c r="FFW16" s="588"/>
      <c r="FFX16" s="588"/>
      <c r="FFY16" s="588"/>
      <c r="FFZ16" s="588"/>
      <c r="FGA16" s="588"/>
      <c r="FGB16" s="588"/>
      <c r="FGC16" s="588"/>
      <c r="FGD16" s="588"/>
      <c r="FGE16" s="588"/>
      <c r="FGF16" s="588"/>
      <c r="FGG16" s="588"/>
      <c r="FGH16" s="588"/>
      <c r="FGI16" s="588"/>
      <c r="FGJ16" s="588"/>
      <c r="FGK16" s="588"/>
      <c r="FGL16" s="588"/>
      <c r="FGM16" s="588"/>
      <c r="FGN16" s="588"/>
      <c r="FGO16" s="588"/>
      <c r="FGP16" s="588"/>
      <c r="FGQ16" s="588"/>
      <c r="FGR16" s="588"/>
      <c r="FGS16" s="588"/>
      <c r="FGT16" s="588"/>
      <c r="FGU16" s="588"/>
      <c r="FGV16" s="588"/>
      <c r="FGW16" s="588"/>
      <c r="FGX16" s="588"/>
      <c r="FGY16" s="588"/>
      <c r="FGZ16" s="588"/>
      <c r="FHA16" s="588"/>
      <c r="FHB16" s="588"/>
      <c r="FHC16" s="588"/>
      <c r="FHD16" s="588"/>
      <c r="FHE16" s="588"/>
      <c r="FHF16" s="588"/>
      <c r="FHG16" s="588"/>
      <c r="FHH16" s="588"/>
      <c r="FHI16" s="588"/>
      <c r="FHJ16" s="588"/>
      <c r="FHK16" s="588"/>
      <c r="FHL16" s="588"/>
      <c r="FHM16" s="588"/>
      <c r="FHN16" s="588"/>
      <c r="FHO16" s="588"/>
      <c r="FHP16" s="588"/>
      <c r="FHQ16" s="588"/>
      <c r="FHR16" s="588"/>
      <c r="FHS16" s="588"/>
      <c r="FHT16" s="588"/>
      <c r="FHU16" s="588"/>
      <c r="FHV16" s="588"/>
      <c r="FHW16" s="588"/>
      <c r="FHX16" s="588"/>
      <c r="FHY16" s="588"/>
      <c r="FHZ16" s="588"/>
      <c r="FIA16" s="588"/>
      <c r="FIB16" s="588"/>
      <c r="FIC16" s="588"/>
      <c r="FID16" s="588"/>
      <c r="FIE16" s="588"/>
      <c r="FIF16" s="588"/>
      <c r="FIG16" s="588"/>
      <c r="FIH16" s="588"/>
      <c r="FII16" s="588"/>
      <c r="FIJ16" s="588"/>
      <c r="FIK16" s="588"/>
      <c r="FIL16" s="588"/>
      <c r="FIM16" s="588"/>
      <c r="FIN16" s="588"/>
      <c r="FIO16" s="588"/>
      <c r="FIP16" s="588"/>
      <c r="FIQ16" s="588"/>
      <c r="FIR16" s="588"/>
      <c r="FIS16" s="588"/>
      <c r="FIT16" s="588"/>
      <c r="FIU16" s="588"/>
      <c r="FIV16" s="588"/>
      <c r="FIW16" s="588"/>
      <c r="FIX16" s="588"/>
      <c r="FIY16" s="588"/>
      <c r="FIZ16" s="588"/>
      <c r="FJA16" s="588"/>
      <c r="FJB16" s="588"/>
      <c r="FJC16" s="588"/>
      <c r="FJD16" s="588"/>
      <c r="FJE16" s="588"/>
      <c r="FJF16" s="588"/>
      <c r="FJG16" s="588"/>
      <c r="FJH16" s="588"/>
      <c r="FJI16" s="588"/>
      <c r="FJJ16" s="588"/>
      <c r="FJK16" s="588"/>
      <c r="FJL16" s="588"/>
      <c r="FJM16" s="588"/>
      <c r="FJN16" s="588"/>
      <c r="FJO16" s="588"/>
      <c r="FJP16" s="588"/>
      <c r="FJQ16" s="588"/>
      <c r="FJR16" s="588"/>
      <c r="FJS16" s="588"/>
      <c r="FJT16" s="588"/>
      <c r="FJU16" s="588"/>
      <c r="FJV16" s="588"/>
      <c r="FJW16" s="588"/>
      <c r="FJX16" s="588"/>
      <c r="FJY16" s="588"/>
      <c r="FJZ16" s="588"/>
      <c r="FKA16" s="588"/>
      <c r="FKB16" s="588"/>
      <c r="FKC16" s="588"/>
      <c r="FKD16" s="588"/>
      <c r="FKE16" s="588"/>
      <c r="FKF16" s="588"/>
      <c r="FKG16" s="588"/>
      <c r="FKH16" s="588"/>
      <c r="FKI16" s="588"/>
      <c r="FKJ16" s="588"/>
      <c r="FKK16" s="588"/>
      <c r="FKL16" s="588"/>
      <c r="FKM16" s="588"/>
      <c r="FKN16" s="588"/>
      <c r="FKO16" s="588"/>
      <c r="FKP16" s="588"/>
      <c r="FKQ16" s="588"/>
      <c r="FKR16" s="588"/>
      <c r="FKS16" s="588"/>
      <c r="FKT16" s="588"/>
      <c r="FKU16" s="588"/>
      <c r="FKV16" s="588"/>
      <c r="FKW16" s="588"/>
      <c r="FKX16" s="588"/>
      <c r="FKY16" s="588"/>
      <c r="FKZ16" s="588"/>
      <c r="FLA16" s="588"/>
      <c r="FLB16" s="588"/>
      <c r="FLC16" s="588"/>
      <c r="FLD16" s="588"/>
      <c r="FLE16" s="588"/>
      <c r="FLF16" s="588"/>
      <c r="FLG16" s="588"/>
      <c r="FLH16" s="588"/>
      <c r="FLI16" s="588"/>
      <c r="FLJ16" s="588"/>
      <c r="FLK16" s="588"/>
      <c r="FLL16" s="588"/>
      <c r="FLM16" s="588"/>
      <c r="FLN16" s="588"/>
      <c r="FLO16" s="588"/>
      <c r="FLP16" s="588"/>
      <c r="FLQ16" s="588"/>
      <c r="FLR16" s="588"/>
      <c r="FLS16" s="588"/>
      <c r="FLT16" s="588"/>
      <c r="FLU16" s="588"/>
      <c r="FLV16" s="588"/>
      <c r="FLW16" s="588"/>
      <c r="FLX16" s="588"/>
      <c r="FLY16" s="588"/>
      <c r="FLZ16" s="588"/>
      <c r="FMA16" s="588"/>
      <c r="FMB16" s="588"/>
      <c r="FMC16" s="588"/>
      <c r="FMD16" s="588"/>
      <c r="FME16" s="588"/>
      <c r="FMF16" s="588"/>
      <c r="FMG16" s="588"/>
      <c r="FMH16" s="588"/>
      <c r="FMI16" s="588"/>
      <c r="FMJ16" s="588"/>
      <c r="FMK16" s="588"/>
      <c r="FML16" s="588"/>
      <c r="FMM16" s="588"/>
      <c r="FMN16" s="588"/>
      <c r="FMO16" s="588"/>
      <c r="FMP16" s="588"/>
      <c r="FMQ16" s="588"/>
      <c r="FMR16" s="588"/>
      <c r="FMS16" s="588"/>
      <c r="FMT16" s="588"/>
      <c r="FMU16" s="588"/>
      <c r="FMV16" s="588"/>
      <c r="FMW16" s="588"/>
      <c r="FMX16" s="588"/>
      <c r="FMY16" s="588"/>
      <c r="FMZ16" s="588"/>
      <c r="FNA16" s="588"/>
      <c r="FNB16" s="588"/>
      <c r="FNC16" s="588"/>
      <c r="FND16" s="588"/>
      <c r="FNE16" s="588"/>
      <c r="FNF16" s="588"/>
      <c r="FNG16" s="588"/>
      <c r="FNH16" s="588"/>
      <c r="FNI16" s="588"/>
      <c r="FNJ16" s="588"/>
      <c r="FNK16" s="588"/>
      <c r="FNL16" s="588"/>
      <c r="FNM16" s="588"/>
      <c r="FNN16" s="588"/>
      <c r="FNO16" s="588"/>
      <c r="FNP16" s="588"/>
      <c r="FNQ16" s="588"/>
      <c r="FNR16" s="588"/>
      <c r="FNS16" s="588"/>
      <c r="FNT16" s="588"/>
      <c r="FNU16" s="588"/>
      <c r="FNV16" s="588"/>
      <c r="FNW16" s="588"/>
      <c r="FNX16" s="588"/>
      <c r="FNY16" s="588"/>
      <c r="FNZ16" s="588"/>
      <c r="FOA16" s="588"/>
      <c r="FOB16" s="588"/>
      <c r="FOC16" s="588"/>
      <c r="FOD16" s="588"/>
      <c r="FOE16" s="588"/>
      <c r="FOF16" s="588"/>
      <c r="FOG16" s="588"/>
      <c r="FOH16" s="588"/>
      <c r="FOI16" s="588"/>
      <c r="FOJ16" s="588"/>
      <c r="FOK16" s="588"/>
      <c r="FOL16" s="588"/>
      <c r="FOM16" s="588"/>
      <c r="FON16" s="588"/>
      <c r="FOO16" s="588"/>
      <c r="FOP16" s="588"/>
      <c r="FOQ16" s="588"/>
      <c r="FOR16" s="588"/>
      <c r="FOS16" s="588"/>
      <c r="FOT16" s="588"/>
      <c r="FOU16" s="588"/>
      <c r="FOV16" s="588"/>
      <c r="FOW16" s="588"/>
      <c r="FOX16" s="588"/>
      <c r="FOY16" s="588"/>
      <c r="FOZ16" s="588"/>
      <c r="FPA16" s="588"/>
      <c r="FPB16" s="588"/>
      <c r="FPC16" s="588"/>
      <c r="FPD16" s="588"/>
      <c r="FPE16" s="588"/>
      <c r="FPF16" s="588"/>
      <c r="FPG16" s="588"/>
      <c r="FPH16" s="588"/>
      <c r="FPI16" s="588"/>
      <c r="FPJ16" s="588"/>
      <c r="FPK16" s="588"/>
      <c r="FPL16" s="588"/>
      <c r="FPM16" s="588"/>
      <c r="FPN16" s="588"/>
      <c r="FPO16" s="588"/>
      <c r="FPP16" s="588"/>
      <c r="FPQ16" s="588"/>
      <c r="FPR16" s="588"/>
      <c r="FPS16" s="588"/>
      <c r="FPT16" s="588"/>
      <c r="FPU16" s="588"/>
      <c r="FPV16" s="588"/>
      <c r="FPW16" s="588"/>
      <c r="FPX16" s="588"/>
      <c r="FPY16" s="588"/>
      <c r="FPZ16" s="588"/>
      <c r="FQA16" s="588"/>
      <c r="FQB16" s="588"/>
      <c r="FQC16" s="588"/>
      <c r="FQD16" s="588"/>
      <c r="FQE16" s="588"/>
      <c r="FQF16" s="588"/>
      <c r="FQG16" s="588"/>
      <c r="FQH16" s="588"/>
      <c r="FQI16" s="588"/>
      <c r="FQJ16" s="588"/>
      <c r="FQK16" s="588"/>
      <c r="FQL16" s="588"/>
      <c r="FQM16" s="588"/>
      <c r="FQN16" s="588"/>
      <c r="FQO16" s="588"/>
      <c r="FQP16" s="588"/>
      <c r="FQQ16" s="588"/>
      <c r="FQR16" s="588"/>
      <c r="FQS16" s="588"/>
      <c r="FQT16" s="588"/>
      <c r="FQU16" s="588"/>
      <c r="FQV16" s="588"/>
      <c r="FQW16" s="588"/>
      <c r="FQX16" s="588"/>
      <c r="FQY16" s="588"/>
      <c r="FQZ16" s="588"/>
      <c r="FRA16" s="588"/>
      <c r="FRB16" s="588"/>
      <c r="FRC16" s="588"/>
      <c r="FRD16" s="588"/>
      <c r="FRE16" s="588"/>
      <c r="FRF16" s="588"/>
      <c r="FRG16" s="588"/>
      <c r="FRH16" s="588"/>
      <c r="FRI16" s="588"/>
      <c r="FRJ16" s="588"/>
      <c r="FRK16" s="588"/>
      <c r="FRL16" s="588"/>
      <c r="FRM16" s="588"/>
      <c r="FRN16" s="588"/>
      <c r="FRO16" s="588"/>
      <c r="FRP16" s="588"/>
      <c r="FRQ16" s="588"/>
      <c r="FRR16" s="588"/>
      <c r="FRS16" s="588"/>
      <c r="FRT16" s="588"/>
      <c r="FRU16" s="588"/>
      <c r="FRV16" s="588"/>
      <c r="FRW16" s="588"/>
      <c r="FRX16" s="588"/>
      <c r="FRY16" s="588"/>
      <c r="FRZ16" s="588"/>
      <c r="FSA16" s="588"/>
      <c r="FSB16" s="588"/>
      <c r="FSC16" s="588"/>
      <c r="FSD16" s="588"/>
      <c r="FSE16" s="588"/>
      <c r="FSF16" s="588"/>
      <c r="FSG16" s="588"/>
      <c r="FSH16" s="588"/>
      <c r="FSI16" s="588"/>
      <c r="FSJ16" s="588"/>
      <c r="FSK16" s="588"/>
      <c r="FSL16" s="588"/>
      <c r="FSM16" s="588"/>
      <c r="FSN16" s="588"/>
      <c r="FSO16" s="588"/>
      <c r="FSP16" s="588"/>
      <c r="FSQ16" s="588"/>
      <c r="FSR16" s="588"/>
      <c r="FSS16" s="588"/>
      <c r="FST16" s="588"/>
      <c r="FSU16" s="588"/>
      <c r="FSV16" s="588"/>
      <c r="FSW16" s="588"/>
      <c r="FSX16" s="588"/>
      <c r="FSY16" s="588"/>
      <c r="FSZ16" s="588"/>
      <c r="FTA16" s="588"/>
      <c r="FTB16" s="588"/>
      <c r="FTC16" s="588"/>
      <c r="FTD16" s="588"/>
      <c r="FTE16" s="588"/>
      <c r="FTF16" s="588"/>
      <c r="FTG16" s="588"/>
      <c r="FTH16" s="588"/>
      <c r="FTI16" s="588"/>
      <c r="FTJ16" s="588"/>
      <c r="FTK16" s="588"/>
      <c r="FTL16" s="588"/>
      <c r="FTM16" s="588"/>
      <c r="FTN16" s="588"/>
      <c r="FTO16" s="588"/>
      <c r="FTP16" s="588"/>
      <c r="FTQ16" s="588"/>
      <c r="FTR16" s="588"/>
      <c r="FTS16" s="588"/>
      <c r="FTT16" s="588"/>
      <c r="FTU16" s="588"/>
      <c r="FTV16" s="588"/>
      <c r="FTW16" s="588"/>
      <c r="FTX16" s="588"/>
      <c r="FTY16" s="588"/>
      <c r="FTZ16" s="588"/>
      <c r="FUA16" s="588"/>
      <c r="FUB16" s="588"/>
      <c r="FUC16" s="588"/>
      <c r="FUD16" s="588"/>
      <c r="FUE16" s="588"/>
      <c r="FUF16" s="588"/>
      <c r="FUG16" s="588"/>
      <c r="FUH16" s="588"/>
      <c r="FUI16" s="588"/>
      <c r="FUJ16" s="588"/>
      <c r="FUK16" s="588"/>
      <c r="FUL16" s="588"/>
      <c r="FUM16" s="588"/>
      <c r="FUN16" s="588"/>
      <c r="FUO16" s="588"/>
      <c r="FUP16" s="588"/>
      <c r="FUQ16" s="588"/>
      <c r="FUR16" s="588"/>
      <c r="FUS16" s="588"/>
      <c r="FUT16" s="588"/>
      <c r="FUU16" s="588"/>
      <c r="FUV16" s="588"/>
      <c r="FUW16" s="588"/>
      <c r="FUX16" s="588"/>
      <c r="FUY16" s="588"/>
      <c r="FUZ16" s="588"/>
      <c r="FVA16" s="588"/>
      <c r="FVB16" s="588"/>
      <c r="FVC16" s="588"/>
      <c r="FVD16" s="588"/>
      <c r="FVE16" s="588"/>
      <c r="FVF16" s="588"/>
      <c r="FVG16" s="588"/>
      <c r="FVH16" s="588"/>
      <c r="FVI16" s="588"/>
      <c r="FVJ16" s="588"/>
      <c r="FVK16" s="588"/>
      <c r="FVL16" s="588"/>
      <c r="FVM16" s="588"/>
      <c r="FVN16" s="588"/>
      <c r="FVO16" s="588"/>
      <c r="FVP16" s="588"/>
      <c r="FVQ16" s="588"/>
      <c r="FVR16" s="588"/>
      <c r="FVS16" s="588"/>
      <c r="FVT16" s="588"/>
      <c r="FVU16" s="588"/>
      <c r="FVV16" s="588"/>
      <c r="FVW16" s="588"/>
      <c r="FVX16" s="588"/>
      <c r="FVY16" s="588"/>
      <c r="FVZ16" s="588"/>
      <c r="FWA16" s="588"/>
      <c r="FWB16" s="588"/>
      <c r="FWC16" s="588"/>
      <c r="FWD16" s="588"/>
      <c r="FWE16" s="588"/>
      <c r="FWF16" s="588"/>
      <c r="FWG16" s="588"/>
      <c r="FWH16" s="588"/>
      <c r="FWI16" s="588"/>
      <c r="FWJ16" s="588"/>
      <c r="FWK16" s="588"/>
      <c r="FWL16" s="588"/>
      <c r="FWM16" s="588"/>
      <c r="FWN16" s="588"/>
      <c r="FWO16" s="588"/>
      <c r="FWP16" s="588"/>
      <c r="FWQ16" s="588"/>
      <c r="FWR16" s="588"/>
      <c r="FWS16" s="588"/>
      <c r="FWT16" s="588"/>
      <c r="FWU16" s="588"/>
      <c r="FWV16" s="588"/>
      <c r="FWW16" s="588"/>
      <c r="FWX16" s="588"/>
      <c r="FWY16" s="588"/>
      <c r="FWZ16" s="588"/>
      <c r="FXA16" s="588"/>
      <c r="FXB16" s="588"/>
      <c r="FXC16" s="588"/>
      <c r="FXD16" s="588"/>
      <c r="FXE16" s="588"/>
      <c r="FXF16" s="588"/>
      <c r="FXG16" s="588"/>
      <c r="FXH16" s="588"/>
      <c r="FXI16" s="588"/>
      <c r="FXJ16" s="588"/>
      <c r="FXK16" s="588"/>
      <c r="FXL16" s="588"/>
      <c r="FXM16" s="588"/>
      <c r="FXN16" s="588"/>
      <c r="FXO16" s="588"/>
      <c r="FXP16" s="588"/>
      <c r="FXQ16" s="588"/>
      <c r="FXR16" s="588"/>
      <c r="FXS16" s="588"/>
      <c r="FXT16" s="588"/>
      <c r="FXU16" s="588"/>
      <c r="FXV16" s="588"/>
      <c r="FXW16" s="588"/>
      <c r="FXX16" s="588"/>
      <c r="FXY16" s="588"/>
      <c r="FXZ16" s="588"/>
      <c r="FYA16" s="588"/>
      <c r="FYB16" s="588"/>
      <c r="FYC16" s="588"/>
      <c r="FYD16" s="588"/>
      <c r="FYE16" s="588"/>
      <c r="FYF16" s="588"/>
      <c r="FYG16" s="588"/>
      <c r="FYH16" s="588"/>
      <c r="FYI16" s="588"/>
      <c r="FYJ16" s="588"/>
      <c r="FYK16" s="588"/>
      <c r="FYL16" s="588"/>
      <c r="FYM16" s="588"/>
      <c r="FYN16" s="588"/>
      <c r="FYO16" s="588"/>
      <c r="FYP16" s="588"/>
      <c r="FYQ16" s="588"/>
      <c r="FYR16" s="588"/>
      <c r="FYS16" s="588"/>
      <c r="FYT16" s="588"/>
      <c r="FYU16" s="588"/>
      <c r="FYV16" s="588"/>
      <c r="FYW16" s="588"/>
      <c r="FYX16" s="588"/>
      <c r="FYY16" s="588"/>
      <c r="FYZ16" s="588"/>
      <c r="FZA16" s="588"/>
      <c r="FZB16" s="588"/>
      <c r="FZC16" s="588"/>
      <c r="FZD16" s="588"/>
      <c r="FZE16" s="588"/>
      <c r="FZF16" s="588"/>
      <c r="FZG16" s="588"/>
      <c r="FZH16" s="588"/>
      <c r="FZI16" s="588"/>
      <c r="FZJ16" s="588"/>
      <c r="FZK16" s="588"/>
      <c r="FZL16" s="588"/>
      <c r="FZM16" s="588"/>
      <c r="FZN16" s="588"/>
      <c r="FZO16" s="588"/>
      <c r="FZP16" s="588"/>
      <c r="FZQ16" s="588"/>
      <c r="FZR16" s="588"/>
      <c r="FZS16" s="588"/>
      <c r="FZT16" s="588"/>
      <c r="FZU16" s="588"/>
      <c r="FZV16" s="588"/>
      <c r="FZW16" s="588"/>
      <c r="FZX16" s="588"/>
      <c r="FZY16" s="588"/>
      <c r="FZZ16" s="588"/>
      <c r="GAA16" s="588"/>
      <c r="GAB16" s="588"/>
      <c r="GAC16" s="588"/>
      <c r="GAD16" s="588"/>
      <c r="GAE16" s="588"/>
      <c r="GAF16" s="588"/>
      <c r="GAG16" s="588"/>
      <c r="GAH16" s="588"/>
      <c r="GAI16" s="588"/>
      <c r="GAJ16" s="588"/>
      <c r="GAK16" s="588"/>
      <c r="GAL16" s="588"/>
      <c r="GAM16" s="588"/>
      <c r="GAN16" s="588"/>
      <c r="GAO16" s="588"/>
      <c r="GAP16" s="588"/>
      <c r="GAQ16" s="588"/>
      <c r="GAR16" s="588"/>
      <c r="GAS16" s="588"/>
      <c r="GAT16" s="588"/>
      <c r="GAU16" s="588"/>
      <c r="GAV16" s="588"/>
      <c r="GAW16" s="588"/>
      <c r="GAX16" s="588"/>
      <c r="GAY16" s="588"/>
      <c r="GAZ16" s="588"/>
      <c r="GBA16" s="588"/>
      <c r="GBB16" s="588"/>
      <c r="GBC16" s="588"/>
      <c r="GBD16" s="588"/>
      <c r="GBE16" s="588"/>
      <c r="GBF16" s="588"/>
      <c r="GBG16" s="588"/>
      <c r="GBH16" s="588"/>
      <c r="GBI16" s="588"/>
      <c r="GBJ16" s="588"/>
      <c r="GBK16" s="588"/>
      <c r="GBL16" s="588"/>
      <c r="GBM16" s="588"/>
      <c r="GBN16" s="588"/>
      <c r="GBO16" s="588"/>
      <c r="GBP16" s="588"/>
      <c r="GBQ16" s="588"/>
      <c r="GBR16" s="588"/>
      <c r="GBS16" s="588"/>
      <c r="GBT16" s="588"/>
      <c r="GBU16" s="588"/>
      <c r="GBV16" s="588"/>
      <c r="GBW16" s="588"/>
      <c r="GBX16" s="588"/>
      <c r="GBY16" s="588"/>
      <c r="GBZ16" s="588"/>
      <c r="GCA16" s="588"/>
      <c r="GCB16" s="588"/>
      <c r="GCC16" s="588"/>
      <c r="GCD16" s="588"/>
      <c r="GCE16" s="588"/>
      <c r="GCF16" s="588"/>
      <c r="GCG16" s="588"/>
      <c r="GCH16" s="588"/>
      <c r="GCI16" s="588"/>
      <c r="GCJ16" s="588"/>
      <c r="GCK16" s="588"/>
      <c r="GCL16" s="588"/>
      <c r="GCM16" s="588"/>
      <c r="GCN16" s="588"/>
      <c r="GCO16" s="588"/>
      <c r="GCP16" s="588"/>
      <c r="GCQ16" s="588"/>
      <c r="GCR16" s="588"/>
      <c r="GCS16" s="588"/>
      <c r="GCT16" s="588"/>
      <c r="GCU16" s="588"/>
      <c r="GCV16" s="588"/>
      <c r="GCW16" s="588"/>
      <c r="GCX16" s="588"/>
      <c r="GCY16" s="588"/>
      <c r="GCZ16" s="588"/>
      <c r="GDA16" s="588"/>
      <c r="GDB16" s="588"/>
      <c r="GDC16" s="588"/>
      <c r="GDD16" s="588"/>
      <c r="GDE16" s="588"/>
      <c r="GDF16" s="588"/>
      <c r="GDG16" s="588"/>
      <c r="GDH16" s="588"/>
      <c r="GDI16" s="588"/>
      <c r="GDJ16" s="588"/>
      <c r="GDK16" s="588"/>
      <c r="GDL16" s="588"/>
      <c r="GDM16" s="588"/>
      <c r="GDN16" s="588"/>
      <c r="GDO16" s="588"/>
      <c r="GDP16" s="588"/>
      <c r="GDQ16" s="588"/>
      <c r="GDR16" s="588"/>
      <c r="GDS16" s="588"/>
      <c r="GDT16" s="588"/>
      <c r="GDU16" s="588"/>
      <c r="GDV16" s="588"/>
      <c r="GDW16" s="588"/>
      <c r="GDX16" s="588"/>
      <c r="GDY16" s="588"/>
      <c r="GDZ16" s="588"/>
      <c r="GEA16" s="588"/>
      <c r="GEB16" s="588"/>
      <c r="GEC16" s="588"/>
      <c r="GED16" s="588"/>
      <c r="GEE16" s="588"/>
      <c r="GEF16" s="588"/>
      <c r="GEG16" s="588"/>
      <c r="GEH16" s="588"/>
      <c r="GEI16" s="588"/>
      <c r="GEJ16" s="588"/>
      <c r="GEK16" s="588"/>
      <c r="GEL16" s="588"/>
      <c r="GEM16" s="588"/>
      <c r="GEN16" s="588"/>
      <c r="GEO16" s="588"/>
      <c r="GEP16" s="588"/>
      <c r="GEQ16" s="588"/>
      <c r="GER16" s="588"/>
      <c r="GES16" s="588"/>
      <c r="GET16" s="588"/>
      <c r="GEU16" s="588"/>
      <c r="GEV16" s="588"/>
      <c r="GEW16" s="588"/>
      <c r="GEX16" s="588"/>
      <c r="GEY16" s="588"/>
      <c r="GEZ16" s="588"/>
      <c r="GFA16" s="588"/>
      <c r="GFB16" s="588"/>
      <c r="GFC16" s="588"/>
      <c r="GFD16" s="588"/>
      <c r="GFE16" s="588"/>
      <c r="GFF16" s="588"/>
      <c r="GFG16" s="588"/>
      <c r="GFH16" s="588"/>
      <c r="GFI16" s="588"/>
      <c r="GFJ16" s="588"/>
      <c r="GFK16" s="588"/>
      <c r="GFL16" s="588"/>
      <c r="GFM16" s="588"/>
      <c r="GFN16" s="588"/>
      <c r="GFO16" s="588"/>
      <c r="GFP16" s="588"/>
      <c r="GFQ16" s="588"/>
      <c r="GFR16" s="588"/>
      <c r="GFS16" s="588"/>
      <c r="GFT16" s="588"/>
      <c r="GFU16" s="588"/>
      <c r="GFV16" s="588"/>
      <c r="GFW16" s="588"/>
      <c r="GFX16" s="588"/>
      <c r="GFY16" s="588"/>
      <c r="GFZ16" s="588"/>
      <c r="GGA16" s="588"/>
      <c r="GGB16" s="588"/>
      <c r="GGC16" s="588"/>
      <c r="GGD16" s="588"/>
      <c r="GGE16" s="588"/>
      <c r="GGF16" s="588"/>
      <c r="GGG16" s="588"/>
      <c r="GGH16" s="588"/>
      <c r="GGI16" s="588"/>
      <c r="GGJ16" s="588"/>
      <c r="GGK16" s="588"/>
      <c r="GGL16" s="588"/>
      <c r="GGM16" s="588"/>
      <c r="GGN16" s="588"/>
      <c r="GGO16" s="588"/>
      <c r="GGP16" s="588"/>
      <c r="GGQ16" s="588"/>
      <c r="GGR16" s="588"/>
      <c r="GGS16" s="588"/>
      <c r="GGT16" s="588"/>
      <c r="GGU16" s="588"/>
      <c r="GGV16" s="588"/>
      <c r="GGW16" s="588"/>
      <c r="GGX16" s="588"/>
      <c r="GGY16" s="588"/>
      <c r="GGZ16" s="588"/>
      <c r="GHA16" s="588"/>
      <c r="GHB16" s="588"/>
      <c r="GHC16" s="588"/>
      <c r="GHD16" s="588"/>
      <c r="GHE16" s="588"/>
      <c r="GHF16" s="588"/>
      <c r="GHG16" s="588"/>
      <c r="GHH16" s="588"/>
      <c r="GHI16" s="588"/>
      <c r="GHJ16" s="588"/>
      <c r="GHK16" s="588"/>
      <c r="GHL16" s="588"/>
      <c r="GHM16" s="588"/>
      <c r="GHN16" s="588"/>
      <c r="GHO16" s="588"/>
      <c r="GHP16" s="588"/>
      <c r="GHQ16" s="588"/>
      <c r="GHR16" s="588"/>
      <c r="GHS16" s="588"/>
      <c r="GHT16" s="588"/>
      <c r="GHU16" s="588"/>
      <c r="GHV16" s="588"/>
      <c r="GHW16" s="588"/>
      <c r="GHX16" s="588"/>
      <c r="GHY16" s="588"/>
      <c r="GHZ16" s="588"/>
      <c r="GIA16" s="588"/>
      <c r="GIB16" s="588"/>
      <c r="GIC16" s="588"/>
      <c r="GID16" s="588"/>
      <c r="GIE16" s="588"/>
      <c r="GIF16" s="588"/>
      <c r="GIG16" s="588"/>
      <c r="GIH16" s="588"/>
      <c r="GII16" s="588"/>
      <c r="GIJ16" s="588"/>
      <c r="GIK16" s="588"/>
      <c r="GIL16" s="588"/>
      <c r="GIM16" s="588"/>
      <c r="GIN16" s="588"/>
      <c r="GIO16" s="588"/>
      <c r="GIP16" s="588"/>
      <c r="GIQ16" s="588"/>
      <c r="GIR16" s="588"/>
      <c r="GIS16" s="588"/>
      <c r="GIT16" s="588"/>
      <c r="GIU16" s="588"/>
      <c r="GIV16" s="588"/>
      <c r="GIW16" s="588"/>
      <c r="GIX16" s="588"/>
      <c r="GIY16" s="588"/>
      <c r="GIZ16" s="588"/>
      <c r="GJA16" s="588"/>
      <c r="GJB16" s="588"/>
      <c r="GJC16" s="588"/>
      <c r="GJD16" s="588"/>
      <c r="GJE16" s="588"/>
      <c r="GJF16" s="588"/>
      <c r="GJG16" s="588"/>
      <c r="GJH16" s="588"/>
      <c r="GJI16" s="588"/>
      <c r="GJJ16" s="588"/>
      <c r="GJK16" s="588"/>
      <c r="GJL16" s="588"/>
      <c r="GJM16" s="588"/>
      <c r="GJN16" s="588"/>
      <c r="GJO16" s="588"/>
      <c r="GJP16" s="588"/>
      <c r="GJQ16" s="588"/>
      <c r="GJR16" s="588"/>
      <c r="GJS16" s="588"/>
      <c r="GJT16" s="588"/>
      <c r="GJU16" s="588"/>
      <c r="GJV16" s="588"/>
      <c r="GJW16" s="588"/>
      <c r="GJX16" s="588"/>
      <c r="GJY16" s="588"/>
      <c r="GJZ16" s="588"/>
      <c r="GKA16" s="588"/>
      <c r="GKB16" s="588"/>
      <c r="GKC16" s="588"/>
      <c r="GKD16" s="588"/>
      <c r="GKE16" s="588"/>
      <c r="GKF16" s="588"/>
      <c r="GKG16" s="588"/>
      <c r="GKH16" s="588"/>
      <c r="GKI16" s="588"/>
      <c r="GKJ16" s="588"/>
      <c r="GKK16" s="588"/>
      <c r="GKL16" s="588"/>
      <c r="GKM16" s="588"/>
      <c r="GKN16" s="588"/>
      <c r="GKO16" s="588"/>
      <c r="GKP16" s="588"/>
      <c r="GKQ16" s="588"/>
      <c r="GKR16" s="588"/>
      <c r="GKS16" s="588"/>
      <c r="GKT16" s="588"/>
      <c r="GKU16" s="588"/>
      <c r="GKV16" s="588"/>
      <c r="GKW16" s="588"/>
      <c r="GKX16" s="588"/>
      <c r="GKY16" s="588"/>
      <c r="GKZ16" s="588"/>
      <c r="GLA16" s="588"/>
      <c r="GLB16" s="588"/>
      <c r="GLC16" s="588"/>
      <c r="GLD16" s="588"/>
      <c r="GLE16" s="588"/>
      <c r="GLF16" s="588"/>
      <c r="GLG16" s="588"/>
      <c r="GLH16" s="588"/>
      <c r="GLI16" s="588"/>
      <c r="GLJ16" s="588"/>
      <c r="GLK16" s="588"/>
      <c r="GLL16" s="588"/>
      <c r="GLM16" s="588"/>
      <c r="GLN16" s="588"/>
      <c r="GLO16" s="588"/>
      <c r="GLP16" s="588"/>
      <c r="GLQ16" s="588"/>
      <c r="GLR16" s="588"/>
      <c r="GLS16" s="588"/>
      <c r="GLT16" s="588"/>
      <c r="GLU16" s="588"/>
      <c r="GLV16" s="588"/>
      <c r="GLW16" s="588"/>
      <c r="GLX16" s="588"/>
      <c r="GLY16" s="588"/>
      <c r="GLZ16" s="588"/>
      <c r="GMA16" s="588"/>
      <c r="GMB16" s="588"/>
      <c r="GMC16" s="588"/>
      <c r="GMD16" s="588"/>
      <c r="GME16" s="588"/>
      <c r="GMF16" s="588"/>
      <c r="GMG16" s="588"/>
      <c r="GMH16" s="588"/>
      <c r="GMI16" s="588"/>
      <c r="GMJ16" s="588"/>
      <c r="GMK16" s="588"/>
      <c r="GML16" s="588"/>
      <c r="GMM16" s="588"/>
      <c r="GMN16" s="588"/>
      <c r="GMO16" s="588"/>
      <c r="GMP16" s="588"/>
      <c r="GMQ16" s="588"/>
      <c r="GMR16" s="588"/>
      <c r="GMS16" s="588"/>
      <c r="GMT16" s="588"/>
      <c r="GMU16" s="588"/>
      <c r="GMV16" s="588"/>
      <c r="GMW16" s="588"/>
      <c r="GMX16" s="588"/>
      <c r="GMY16" s="588"/>
      <c r="GMZ16" s="588"/>
      <c r="GNA16" s="588"/>
      <c r="GNB16" s="588"/>
      <c r="GNC16" s="588"/>
      <c r="GND16" s="588"/>
      <c r="GNE16" s="588"/>
      <c r="GNF16" s="588"/>
      <c r="GNG16" s="588"/>
      <c r="GNH16" s="588"/>
      <c r="GNI16" s="588"/>
      <c r="GNJ16" s="588"/>
      <c r="GNK16" s="588"/>
      <c r="GNL16" s="588"/>
      <c r="GNM16" s="588"/>
      <c r="GNN16" s="588"/>
      <c r="GNO16" s="588"/>
      <c r="GNP16" s="588"/>
      <c r="GNQ16" s="588"/>
      <c r="GNR16" s="588"/>
      <c r="GNS16" s="588"/>
      <c r="GNT16" s="588"/>
      <c r="GNU16" s="588"/>
      <c r="GNV16" s="588"/>
      <c r="GNW16" s="588"/>
      <c r="GNX16" s="588"/>
      <c r="GNY16" s="588"/>
      <c r="GNZ16" s="588"/>
      <c r="GOA16" s="588"/>
      <c r="GOB16" s="588"/>
      <c r="GOC16" s="588"/>
      <c r="GOD16" s="588"/>
      <c r="GOE16" s="588"/>
      <c r="GOF16" s="588"/>
      <c r="GOG16" s="588"/>
      <c r="GOH16" s="588"/>
      <c r="GOI16" s="588"/>
      <c r="GOJ16" s="588"/>
      <c r="GOK16" s="588"/>
      <c r="GOL16" s="588"/>
      <c r="GOM16" s="588"/>
      <c r="GON16" s="588"/>
      <c r="GOO16" s="588"/>
      <c r="GOP16" s="588"/>
      <c r="GOQ16" s="588"/>
      <c r="GOR16" s="588"/>
      <c r="GOS16" s="588"/>
      <c r="GOT16" s="588"/>
      <c r="GOU16" s="588"/>
      <c r="GOV16" s="588"/>
      <c r="GOW16" s="588"/>
      <c r="GOX16" s="588"/>
      <c r="GOY16" s="588"/>
      <c r="GOZ16" s="588"/>
      <c r="GPA16" s="588"/>
      <c r="GPB16" s="588"/>
      <c r="GPC16" s="588"/>
      <c r="GPD16" s="588"/>
      <c r="GPE16" s="588"/>
      <c r="GPF16" s="588"/>
      <c r="GPG16" s="588"/>
      <c r="GPH16" s="588"/>
      <c r="GPI16" s="588"/>
      <c r="GPJ16" s="588"/>
      <c r="GPK16" s="588"/>
      <c r="GPL16" s="588"/>
      <c r="GPM16" s="588"/>
      <c r="GPN16" s="588"/>
      <c r="GPO16" s="588"/>
      <c r="GPP16" s="588"/>
      <c r="GPQ16" s="588"/>
      <c r="GPR16" s="588"/>
      <c r="GPS16" s="588"/>
      <c r="GPT16" s="588"/>
      <c r="GPU16" s="588"/>
      <c r="GPV16" s="588"/>
      <c r="GPW16" s="588"/>
      <c r="GPX16" s="588"/>
      <c r="GPY16" s="588"/>
      <c r="GPZ16" s="588"/>
      <c r="GQA16" s="588"/>
      <c r="GQB16" s="588"/>
      <c r="GQC16" s="588"/>
      <c r="GQD16" s="588"/>
      <c r="GQE16" s="588"/>
      <c r="GQF16" s="588"/>
      <c r="GQG16" s="588"/>
      <c r="GQH16" s="588"/>
      <c r="GQI16" s="588"/>
      <c r="GQJ16" s="588"/>
      <c r="GQK16" s="588"/>
      <c r="GQL16" s="588"/>
      <c r="GQM16" s="588"/>
      <c r="GQN16" s="588"/>
      <c r="GQO16" s="588"/>
      <c r="GQP16" s="588"/>
      <c r="GQQ16" s="588"/>
      <c r="GQR16" s="588"/>
      <c r="GQS16" s="588"/>
      <c r="GQT16" s="588"/>
      <c r="GQU16" s="588"/>
      <c r="GQV16" s="588"/>
      <c r="GQW16" s="588"/>
      <c r="GQX16" s="588"/>
      <c r="GQY16" s="588"/>
      <c r="GQZ16" s="588"/>
      <c r="GRA16" s="588"/>
      <c r="GRB16" s="588"/>
      <c r="GRC16" s="588"/>
      <c r="GRD16" s="588"/>
      <c r="GRE16" s="588"/>
      <c r="GRF16" s="588"/>
      <c r="GRG16" s="588"/>
      <c r="GRH16" s="588"/>
      <c r="GRI16" s="588"/>
      <c r="GRJ16" s="588"/>
      <c r="GRK16" s="588"/>
      <c r="GRL16" s="588"/>
      <c r="GRM16" s="588"/>
      <c r="GRN16" s="588"/>
      <c r="GRO16" s="588"/>
      <c r="GRP16" s="588"/>
      <c r="GRQ16" s="588"/>
      <c r="GRR16" s="588"/>
      <c r="GRS16" s="588"/>
      <c r="GRT16" s="588"/>
      <c r="GRU16" s="588"/>
      <c r="GRV16" s="588"/>
      <c r="GRW16" s="588"/>
      <c r="GRX16" s="588"/>
      <c r="GRY16" s="588"/>
      <c r="GRZ16" s="588"/>
      <c r="GSA16" s="588"/>
      <c r="GSB16" s="588"/>
      <c r="GSC16" s="588"/>
      <c r="GSD16" s="588"/>
      <c r="GSE16" s="588"/>
      <c r="GSF16" s="588"/>
      <c r="GSG16" s="588"/>
      <c r="GSH16" s="588"/>
      <c r="GSI16" s="588"/>
      <c r="GSJ16" s="588"/>
      <c r="GSK16" s="588"/>
      <c r="GSL16" s="588"/>
      <c r="GSM16" s="588"/>
      <c r="GSN16" s="588"/>
      <c r="GSO16" s="588"/>
      <c r="GSP16" s="588"/>
      <c r="GSQ16" s="588"/>
      <c r="GSR16" s="588"/>
      <c r="GSS16" s="588"/>
      <c r="GST16" s="588"/>
      <c r="GSU16" s="588"/>
      <c r="GSV16" s="588"/>
      <c r="GSW16" s="588"/>
      <c r="GSX16" s="588"/>
      <c r="GSY16" s="588"/>
      <c r="GSZ16" s="588"/>
      <c r="GTA16" s="588"/>
      <c r="GTB16" s="588"/>
      <c r="GTC16" s="588"/>
      <c r="GTD16" s="588"/>
      <c r="GTE16" s="588"/>
      <c r="GTF16" s="588"/>
      <c r="GTG16" s="588"/>
      <c r="GTH16" s="588"/>
      <c r="GTI16" s="588"/>
      <c r="GTJ16" s="588"/>
      <c r="GTK16" s="588"/>
      <c r="GTL16" s="588"/>
      <c r="GTM16" s="588"/>
      <c r="GTN16" s="588"/>
      <c r="GTO16" s="588"/>
      <c r="GTP16" s="588"/>
      <c r="GTQ16" s="588"/>
      <c r="GTR16" s="588"/>
      <c r="GTS16" s="588"/>
      <c r="GTT16" s="588"/>
      <c r="GTU16" s="588"/>
      <c r="GTV16" s="588"/>
      <c r="GTW16" s="588"/>
      <c r="GTX16" s="588"/>
      <c r="GTY16" s="588"/>
      <c r="GTZ16" s="588"/>
      <c r="GUA16" s="588"/>
      <c r="GUB16" s="588"/>
      <c r="GUC16" s="588"/>
      <c r="GUD16" s="588"/>
      <c r="GUE16" s="588"/>
      <c r="GUF16" s="588"/>
      <c r="GUG16" s="588"/>
      <c r="GUH16" s="588"/>
      <c r="GUI16" s="588"/>
      <c r="GUJ16" s="588"/>
      <c r="GUK16" s="588"/>
      <c r="GUL16" s="588"/>
      <c r="GUM16" s="588"/>
      <c r="GUN16" s="588"/>
      <c r="GUO16" s="588"/>
      <c r="GUP16" s="588"/>
      <c r="GUQ16" s="588"/>
      <c r="GUR16" s="588"/>
      <c r="GUS16" s="588"/>
      <c r="GUT16" s="588"/>
      <c r="GUU16" s="588"/>
      <c r="GUV16" s="588"/>
      <c r="GUW16" s="588"/>
      <c r="GUX16" s="588"/>
      <c r="GUY16" s="588"/>
      <c r="GUZ16" s="588"/>
      <c r="GVA16" s="588"/>
      <c r="GVB16" s="588"/>
      <c r="GVC16" s="588"/>
      <c r="GVD16" s="588"/>
      <c r="GVE16" s="588"/>
      <c r="GVF16" s="588"/>
      <c r="GVG16" s="588"/>
      <c r="GVH16" s="588"/>
      <c r="GVI16" s="588"/>
      <c r="GVJ16" s="588"/>
      <c r="GVK16" s="588"/>
      <c r="GVL16" s="588"/>
      <c r="GVM16" s="588"/>
      <c r="GVN16" s="588"/>
      <c r="GVO16" s="588"/>
      <c r="GVP16" s="588"/>
      <c r="GVQ16" s="588"/>
      <c r="GVR16" s="588"/>
      <c r="GVS16" s="588"/>
      <c r="GVT16" s="588"/>
      <c r="GVU16" s="588"/>
      <c r="GVV16" s="588"/>
      <c r="GVW16" s="588"/>
      <c r="GVX16" s="588"/>
      <c r="GVY16" s="588"/>
      <c r="GVZ16" s="588"/>
      <c r="GWA16" s="588"/>
      <c r="GWB16" s="588"/>
      <c r="GWC16" s="588"/>
      <c r="GWD16" s="588"/>
      <c r="GWE16" s="588"/>
      <c r="GWF16" s="588"/>
      <c r="GWG16" s="588"/>
      <c r="GWH16" s="588"/>
      <c r="GWI16" s="588"/>
      <c r="GWJ16" s="588"/>
      <c r="GWK16" s="588"/>
      <c r="GWL16" s="588"/>
      <c r="GWM16" s="588"/>
      <c r="GWN16" s="588"/>
      <c r="GWO16" s="588"/>
      <c r="GWP16" s="588"/>
      <c r="GWQ16" s="588"/>
      <c r="GWR16" s="588"/>
      <c r="GWS16" s="588"/>
      <c r="GWT16" s="588"/>
      <c r="GWU16" s="588"/>
      <c r="GWV16" s="588"/>
      <c r="GWW16" s="588"/>
      <c r="GWX16" s="588"/>
      <c r="GWY16" s="588"/>
      <c r="GWZ16" s="588"/>
      <c r="GXA16" s="588"/>
      <c r="GXB16" s="588"/>
      <c r="GXC16" s="588"/>
      <c r="GXD16" s="588"/>
      <c r="GXE16" s="588"/>
      <c r="GXF16" s="588"/>
      <c r="GXG16" s="588"/>
      <c r="GXH16" s="588"/>
      <c r="GXI16" s="588"/>
      <c r="GXJ16" s="588"/>
      <c r="GXK16" s="588"/>
      <c r="GXL16" s="588"/>
      <c r="GXM16" s="588"/>
      <c r="GXN16" s="588"/>
      <c r="GXO16" s="588"/>
      <c r="GXP16" s="588"/>
      <c r="GXQ16" s="588"/>
      <c r="GXR16" s="588"/>
      <c r="GXS16" s="588"/>
      <c r="GXT16" s="588"/>
      <c r="GXU16" s="588"/>
      <c r="GXV16" s="588"/>
      <c r="GXW16" s="588"/>
      <c r="GXX16" s="588"/>
      <c r="GXY16" s="588"/>
      <c r="GXZ16" s="588"/>
      <c r="GYA16" s="588"/>
      <c r="GYB16" s="588"/>
      <c r="GYC16" s="588"/>
      <c r="GYD16" s="588"/>
      <c r="GYE16" s="588"/>
      <c r="GYF16" s="588"/>
      <c r="GYG16" s="588"/>
      <c r="GYH16" s="588"/>
      <c r="GYI16" s="588"/>
      <c r="GYJ16" s="588"/>
      <c r="GYK16" s="588"/>
      <c r="GYL16" s="588"/>
      <c r="GYM16" s="588"/>
      <c r="GYN16" s="588"/>
      <c r="GYO16" s="588"/>
      <c r="GYP16" s="588"/>
      <c r="GYQ16" s="588"/>
      <c r="GYR16" s="588"/>
      <c r="GYS16" s="588"/>
      <c r="GYT16" s="588"/>
      <c r="GYU16" s="588"/>
      <c r="GYV16" s="588"/>
      <c r="GYW16" s="588"/>
      <c r="GYX16" s="588"/>
      <c r="GYY16" s="588"/>
      <c r="GYZ16" s="588"/>
      <c r="GZA16" s="588"/>
      <c r="GZB16" s="588"/>
      <c r="GZC16" s="588"/>
      <c r="GZD16" s="588"/>
      <c r="GZE16" s="588"/>
      <c r="GZF16" s="588"/>
      <c r="GZG16" s="588"/>
      <c r="GZH16" s="588"/>
      <c r="GZI16" s="588"/>
      <c r="GZJ16" s="588"/>
      <c r="GZK16" s="588"/>
      <c r="GZL16" s="588"/>
      <c r="GZM16" s="588"/>
      <c r="GZN16" s="588"/>
      <c r="GZO16" s="588"/>
      <c r="GZP16" s="588"/>
      <c r="GZQ16" s="588"/>
      <c r="GZR16" s="588"/>
      <c r="GZS16" s="588"/>
      <c r="GZT16" s="588"/>
      <c r="GZU16" s="588"/>
      <c r="GZV16" s="588"/>
      <c r="GZW16" s="588"/>
      <c r="GZX16" s="588"/>
      <c r="GZY16" s="588"/>
      <c r="GZZ16" s="588"/>
      <c r="HAA16" s="588"/>
      <c r="HAB16" s="588"/>
      <c r="HAC16" s="588"/>
      <c r="HAD16" s="588"/>
      <c r="HAE16" s="588"/>
      <c r="HAF16" s="588"/>
      <c r="HAG16" s="588"/>
      <c r="HAH16" s="588"/>
      <c r="HAI16" s="588"/>
      <c r="HAJ16" s="588"/>
      <c r="HAK16" s="588"/>
      <c r="HAL16" s="588"/>
      <c r="HAM16" s="588"/>
      <c r="HAN16" s="588"/>
      <c r="HAO16" s="588"/>
      <c r="HAP16" s="588"/>
      <c r="HAQ16" s="588"/>
      <c r="HAR16" s="588"/>
      <c r="HAS16" s="588"/>
      <c r="HAT16" s="588"/>
      <c r="HAU16" s="588"/>
      <c r="HAV16" s="588"/>
      <c r="HAW16" s="588"/>
      <c r="HAX16" s="588"/>
      <c r="HAY16" s="588"/>
      <c r="HAZ16" s="588"/>
      <c r="HBA16" s="588"/>
      <c r="HBB16" s="588"/>
      <c r="HBC16" s="588"/>
      <c r="HBD16" s="588"/>
      <c r="HBE16" s="588"/>
      <c r="HBF16" s="588"/>
      <c r="HBG16" s="588"/>
      <c r="HBH16" s="588"/>
      <c r="HBI16" s="588"/>
      <c r="HBJ16" s="588"/>
      <c r="HBK16" s="588"/>
      <c r="HBL16" s="588"/>
      <c r="HBM16" s="588"/>
      <c r="HBN16" s="588"/>
      <c r="HBO16" s="588"/>
      <c r="HBP16" s="588"/>
      <c r="HBQ16" s="588"/>
      <c r="HBR16" s="588"/>
      <c r="HBS16" s="588"/>
      <c r="HBT16" s="588"/>
      <c r="HBU16" s="588"/>
      <c r="HBV16" s="588"/>
      <c r="HBW16" s="588"/>
      <c r="HBX16" s="588"/>
      <c r="HBY16" s="588"/>
      <c r="HBZ16" s="588"/>
      <c r="HCA16" s="588"/>
      <c r="HCB16" s="588"/>
      <c r="HCC16" s="588"/>
      <c r="HCD16" s="588"/>
      <c r="HCE16" s="588"/>
      <c r="HCF16" s="588"/>
      <c r="HCG16" s="588"/>
      <c r="HCH16" s="588"/>
      <c r="HCI16" s="588"/>
      <c r="HCJ16" s="588"/>
      <c r="HCK16" s="588"/>
      <c r="HCL16" s="588"/>
      <c r="HCM16" s="588"/>
      <c r="HCN16" s="588"/>
      <c r="HCO16" s="588"/>
      <c r="HCP16" s="588"/>
      <c r="HCQ16" s="588"/>
      <c r="HCR16" s="588"/>
      <c r="HCS16" s="588"/>
      <c r="HCT16" s="588"/>
      <c r="HCU16" s="588"/>
      <c r="HCV16" s="588"/>
      <c r="HCW16" s="588"/>
      <c r="HCX16" s="588"/>
      <c r="HCY16" s="588"/>
      <c r="HCZ16" s="588"/>
      <c r="HDA16" s="588"/>
      <c r="HDB16" s="588"/>
      <c r="HDC16" s="588"/>
      <c r="HDD16" s="588"/>
      <c r="HDE16" s="588"/>
      <c r="HDF16" s="588"/>
      <c r="HDG16" s="588"/>
      <c r="HDH16" s="588"/>
      <c r="HDI16" s="588"/>
      <c r="HDJ16" s="588"/>
      <c r="HDK16" s="588"/>
      <c r="HDL16" s="588"/>
      <c r="HDM16" s="588"/>
      <c r="HDN16" s="588"/>
      <c r="HDO16" s="588"/>
      <c r="HDP16" s="588"/>
      <c r="HDQ16" s="588"/>
      <c r="HDR16" s="588"/>
      <c r="HDS16" s="588"/>
      <c r="HDT16" s="588"/>
      <c r="HDU16" s="588"/>
      <c r="HDV16" s="588"/>
      <c r="HDW16" s="588"/>
      <c r="HDX16" s="588"/>
      <c r="HDY16" s="588"/>
      <c r="HDZ16" s="588"/>
      <c r="HEA16" s="588"/>
      <c r="HEB16" s="588"/>
      <c r="HEC16" s="588"/>
      <c r="HED16" s="588"/>
      <c r="HEE16" s="588"/>
      <c r="HEF16" s="588"/>
      <c r="HEG16" s="588"/>
      <c r="HEH16" s="588"/>
      <c r="HEI16" s="588"/>
      <c r="HEJ16" s="588"/>
      <c r="HEK16" s="588"/>
      <c r="HEL16" s="588"/>
      <c r="HEM16" s="588"/>
      <c r="HEN16" s="588"/>
      <c r="HEO16" s="588"/>
      <c r="HEP16" s="588"/>
      <c r="HEQ16" s="588"/>
      <c r="HER16" s="588"/>
      <c r="HES16" s="588"/>
      <c r="HET16" s="588"/>
      <c r="HEU16" s="588"/>
      <c r="HEV16" s="588"/>
      <c r="HEW16" s="588"/>
      <c r="HEX16" s="588"/>
      <c r="HEY16" s="588"/>
      <c r="HEZ16" s="588"/>
      <c r="HFA16" s="588"/>
      <c r="HFB16" s="588"/>
      <c r="HFC16" s="588"/>
      <c r="HFD16" s="588"/>
      <c r="HFE16" s="588"/>
      <c r="HFF16" s="588"/>
      <c r="HFG16" s="588"/>
      <c r="HFH16" s="588"/>
      <c r="HFI16" s="588"/>
      <c r="HFJ16" s="588"/>
      <c r="HFK16" s="588"/>
      <c r="HFL16" s="588"/>
      <c r="HFM16" s="588"/>
      <c r="HFN16" s="588"/>
      <c r="HFO16" s="588"/>
      <c r="HFP16" s="588"/>
      <c r="HFQ16" s="588"/>
      <c r="HFR16" s="588"/>
      <c r="HFS16" s="588"/>
      <c r="HFT16" s="588"/>
      <c r="HFU16" s="588"/>
      <c r="HFV16" s="588"/>
      <c r="HFW16" s="588"/>
      <c r="HFX16" s="588"/>
      <c r="HFY16" s="588"/>
      <c r="HFZ16" s="588"/>
      <c r="HGA16" s="588"/>
      <c r="HGB16" s="588"/>
      <c r="HGC16" s="588"/>
      <c r="HGD16" s="588"/>
      <c r="HGE16" s="588"/>
      <c r="HGF16" s="588"/>
      <c r="HGG16" s="588"/>
      <c r="HGH16" s="588"/>
      <c r="HGI16" s="588"/>
      <c r="HGJ16" s="588"/>
      <c r="HGK16" s="588"/>
      <c r="HGL16" s="588"/>
      <c r="HGM16" s="588"/>
      <c r="HGN16" s="588"/>
      <c r="HGO16" s="588"/>
      <c r="HGP16" s="588"/>
      <c r="HGQ16" s="588"/>
      <c r="HGR16" s="588"/>
      <c r="HGS16" s="588"/>
      <c r="HGT16" s="588"/>
      <c r="HGU16" s="588"/>
      <c r="HGV16" s="588"/>
      <c r="HGW16" s="588"/>
      <c r="HGX16" s="588"/>
      <c r="HGY16" s="588"/>
      <c r="HGZ16" s="588"/>
      <c r="HHA16" s="588"/>
      <c r="HHB16" s="588"/>
      <c r="HHC16" s="588"/>
      <c r="HHD16" s="588"/>
      <c r="HHE16" s="588"/>
      <c r="HHF16" s="588"/>
      <c r="HHG16" s="588"/>
      <c r="HHH16" s="588"/>
      <c r="HHI16" s="588"/>
      <c r="HHJ16" s="588"/>
      <c r="HHK16" s="588"/>
      <c r="HHL16" s="588"/>
      <c r="HHM16" s="588"/>
      <c r="HHN16" s="588"/>
      <c r="HHO16" s="588"/>
      <c r="HHP16" s="588"/>
      <c r="HHQ16" s="588"/>
      <c r="HHR16" s="588"/>
      <c r="HHS16" s="588"/>
      <c r="HHT16" s="588"/>
      <c r="HHU16" s="588"/>
      <c r="HHV16" s="588"/>
      <c r="HHW16" s="588"/>
      <c r="HHX16" s="588"/>
      <c r="HHY16" s="588"/>
      <c r="HHZ16" s="588"/>
      <c r="HIA16" s="588"/>
      <c r="HIB16" s="588"/>
      <c r="HIC16" s="588"/>
      <c r="HID16" s="588"/>
      <c r="HIE16" s="588"/>
      <c r="HIF16" s="588"/>
      <c r="HIG16" s="588"/>
      <c r="HIH16" s="588"/>
      <c r="HII16" s="588"/>
      <c r="HIJ16" s="588"/>
      <c r="HIK16" s="588"/>
      <c r="HIL16" s="588"/>
      <c r="HIM16" s="588"/>
      <c r="HIN16" s="588"/>
      <c r="HIO16" s="588"/>
      <c r="HIP16" s="588"/>
      <c r="HIQ16" s="588"/>
      <c r="HIR16" s="588"/>
      <c r="HIS16" s="588"/>
      <c r="HIT16" s="588"/>
      <c r="HIU16" s="588"/>
      <c r="HIV16" s="588"/>
      <c r="HIW16" s="588"/>
      <c r="HIX16" s="588"/>
      <c r="HIY16" s="588"/>
      <c r="HIZ16" s="588"/>
      <c r="HJA16" s="588"/>
      <c r="HJB16" s="588"/>
      <c r="HJC16" s="588"/>
      <c r="HJD16" s="588"/>
      <c r="HJE16" s="588"/>
      <c r="HJF16" s="588"/>
      <c r="HJG16" s="588"/>
      <c r="HJH16" s="588"/>
      <c r="HJI16" s="588"/>
      <c r="HJJ16" s="588"/>
      <c r="HJK16" s="588"/>
      <c r="HJL16" s="588"/>
      <c r="HJM16" s="588"/>
      <c r="HJN16" s="588"/>
      <c r="HJO16" s="588"/>
      <c r="HJP16" s="588"/>
      <c r="HJQ16" s="588"/>
      <c r="HJR16" s="588"/>
      <c r="HJS16" s="588"/>
      <c r="HJT16" s="588"/>
      <c r="HJU16" s="588"/>
      <c r="HJV16" s="588"/>
      <c r="HJW16" s="588"/>
      <c r="HJX16" s="588"/>
      <c r="HJY16" s="588"/>
      <c r="HJZ16" s="588"/>
      <c r="HKA16" s="588"/>
      <c r="HKB16" s="588"/>
      <c r="HKC16" s="588"/>
      <c r="HKD16" s="588"/>
      <c r="HKE16" s="588"/>
      <c r="HKF16" s="588"/>
      <c r="HKG16" s="588"/>
      <c r="HKH16" s="588"/>
      <c r="HKI16" s="588"/>
      <c r="HKJ16" s="588"/>
      <c r="HKK16" s="588"/>
      <c r="HKL16" s="588"/>
      <c r="HKM16" s="588"/>
      <c r="HKN16" s="588"/>
      <c r="HKO16" s="588"/>
      <c r="HKP16" s="588"/>
      <c r="HKQ16" s="588"/>
      <c r="HKR16" s="588"/>
      <c r="HKS16" s="588"/>
      <c r="HKT16" s="588"/>
      <c r="HKU16" s="588"/>
      <c r="HKV16" s="588"/>
      <c r="HKW16" s="588"/>
      <c r="HKX16" s="588"/>
      <c r="HKY16" s="588"/>
      <c r="HKZ16" s="588"/>
      <c r="HLA16" s="588"/>
      <c r="HLB16" s="588"/>
      <c r="HLC16" s="588"/>
      <c r="HLD16" s="588"/>
      <c r="HLE16" s="588"/>
      <c r="HLF16" s="588"/>
      <c r="HLG16" s="588"/>
      <c r="HLH16" s="588"/>
      <c r="HLI16" s="588"/>
      <c r="HLJ16" s="588"/>
      <c r="HLK16" s="588"/>
      <c r="HLL16" s="588"/>
      <c r="HLM16" s="588"/>
      <c r="HLN16" s="588"/>
      <c r="HLO16" s="588"/>
      <c r="HLP16" s="588"/>
      <c r="HLQ16" s="588"/>
      <c r="HLR16" s="588"/>
      <c r="HLS16" s="588"/>
      <c r="HLT16" s="588"/>
      <c r="HLU16" s="588"/>
      <c r="HLV16" s="588"/>
      <c r="HLW16" s="588"/>
      <c r="HLX16" s="588"/>
      <c r="HLY16" s="588"/>
      <c r="HLZ16" s="588"/>
      <c r="HMA16" s="588"/>
      <c r="HMB16" s="588"/>
      <c r="HMC16" s="588"/>
      <c r="HMD16" s="588"/>
      <c r="HME16" s="588"/>
      <c r="HMF16" s="588"/>
      <c r="HMG16" s="588"/>
      <c r="HMH16" s="588"/>
      <c r="HMI16" s="588"/>
      <c r="HMJ16" s="588"/>
      <c r="HMK16" s="588"/>
      <c r="HML16" s="588"/>
      <c r="HMM16" s="588"/>
      <c r="HMN16" s="588"/>
      <c r="HMO16" s="588"/>
      <c r="HMP16" s="588"/>
      <c r="HMQ16" s="588"/>
      <c r="HMR16" s="588"/>
      <c r="HMS16" s="588"/>
      <c r="HMT16" s="588"/>
      <c r="HMU16" s="588"/>
      <c r="HMV16" s="588"/>
      <c r="HMW16" s="588"/>
      <c r="HMX16" s="588"/>
      <c r="HMY16" s="588"/>
      <c r="HMZ16" s="588"/>
      <c r="HNA16" s="588"/>
      <c r="HNB16" s="588"/>
      <c r="HNC16" s="588"/>
      <c r="HND16" s="588"/>
      <c r="HNE16" s="588"/>
      <c r="HNF16" s="588"/>
      <c r="HNG16" s="588"/>
      <c r="HNH16" s="588"/>
      <c r="HNI16" s="588"/>
      <c r="HNJ16" s="588"/>
      <c r="HNK16" s="588"/>
      <c r="HNL16" s="588"/>
      <c r="HNM16" s="588"/>
      <c r="HNN16" s="588"/>
      <c r="HNO16" s="588"/>
      <c r="HNP16" s="588"/>
      <c r="HNQ16" s="588"/>
      <c r="HNR16" s="588"/>
      <c r="HNS16" s="588"/>
      <c r="HNT16" s="588"/>
      <c r="HNU16" s="588"/>
      <c r="HNV16" s="588"/>
      <c r="HNW16" s="588"/>
      <c r="HNX16" s="588"/>
      <c r="HNY16" s="588"/>
      <c r="HNZ16" s="588"/>
      <c r="HOA16" s="588"/>
      <c r="HOB16" s="588"/>
      <c r="HOC16" s="588"/>
      <c r="HOD16" s="588"/>
      <c r="HOE16" s="588"/>
      <c r="HOF16" s="588"/>
      <c r="HOG16" s="588"/>
      <c r="HOH16" s="588"/>
      <c r="HOI16" s="588"/>
      <c r="HOJ16" s="588"/>
      <c r="HOK16" s="588"/>
      <c r="HOL16" s="588"/>
      <c r="HOM16" s="588"/>
      <c r="HON16" s="588"/>
      <c r="HOO16" s="588"/>
      <c r="HOP16" s="588"/>
      <c r="HOQ16" s="588"/>
      <c r="HOR16" s="588"/>
      <c r="HOS16" s="588"/>
      <c r="HOT16" s="588"/>
      <c r="HOU16" s="588"/>
      <c r="HOV16" s="588"/>
      <c r="HOW16" s="588"/>
      <c r="HOX16" s="588"/>
      <c r="HOY16" s="588"/>
      <c r="HOZ16" s="588"/>
      <c r="HPA16" s="588"/>
      <c r="HPB16" s="588"/>
      <c r="HPC16" s="588"/>
      <c r="HPD16" s="588"/>
      <c r="HPE16" s="588"/>
      <c r="HPF16" s="588"/>
      <c r="HPG16" s="588"/>
      <c r="HPH16" s="588"/>
      <c r="HPI16" s="588"/>
      <c r="HPJ16" s="588"/>
      <c r="HPK16" s="588"/>
      <c r="HPL16" s="588"/>
      <c r="HPM16" s="588"/>
      <c r="HPN16" s="588"/>
      <c r="HPO16" s="588"/>
      <c r="HPP16" s="588"/>
      <c r="HPQ16" s="588"/>
      <c r="HPR16" s="588"/>
      <c r="HPS16" s="588"/>
      <c r="HPT16" s="588"/>
      <c r="HPU16" s="588"/>
      <c r="HPV16" s="588"/>
      <c r="HPW16" s="588"/>
      <c r="HPX16" s="588"/>
      <c r="HPY16" s="588"/>
      <c r="HPZ16" s="588"/>
      <c r="HQA16" s="588"/>
      <c r="HQB16" s="588"/>
      <c r="HQC16" s="588"/>
      <c r="HQD16" s="588"/>
      <c r="HQE16" s="588"/>
      <c r="HQF16" s="588"/>
      <c r="HQG16" s="588"/>
      <c r="HQH16" s="588"/>
      <c r="HQI16" s="588"/>
      <c r="HQJ16" s="588"/>
      <c r="HQK16" s="588"/>
      <c r="HQL16" s="588"/>
      <c r="HQM16" s="588"/>
      <c r="HQN16" s="588"/>
      <c r="HQO16" s="588"/>
      <c r="HQP16" s="588"/>
      <c r="HQQ16" s="588"/>
      <c r="HQR16" s="588"/>
      <c r="HQS16" s="588"/>
      <c r="HQT16" s="588"/>
      <c r="HQU16" s="588"/>
      <c r="HQV16" s="588"/>
      <c r="HQW16" s="588"/>
      <c r="HQX16" s="588"/>
      <c r="HQY16" s="588"/>
      <c r="HQZ16" s="588"/>
      <c r="HRA16" s="588"/>
      <c r="HRB16" s="588"/>
      <c r="HRC16" s="588"/>
      <c r="HRD16" s="588"/>
      <c r="HRE16" s="588"/>
      <c r="HRF16" s="588"/>
      <c r="HRG16" s="588"/>
      <c r="HRH16" s="588"/>
      <c r="HRI16" s="588"/>
      <c r="HRJ16" s="588"/>
      <c r="HRK16" s="588"/>
      <c r="HRL16" s="588"/>
      <c r="HRM16" s="588"/>
      <c r="HRN16" s="588"/>
      <c r="HRO16" s="588"/>
      <c r="HRP16" s="588"/>
      <c r="HRQ16" s="588"/>
      <c r="HRR16" s="588"/>
      <c r="HRS16" s="588"/>
      <c r="HRT16" s="588"/>
      <c r="HRU16" s="588"/>
      <c r="HRV16" s="588"/>
      <c r="HRW16" s="588"/>
      <c r="HRX16" s="588"/>
      <c r="HRY16" s="588"/>
      <c r="HRZ16" s="588"/>
      <c r="HSA16" s="588"/>
      <c r="HSB16" s="588"/>
      <c r="HSC16" s="588"/>
      <c r="HSD16" s="588"/>
      <c r="HSE16" s="588"/>
      <c r="HSF16" s="588"/>
      <c r="HSG16" s="588"/>
      <c r="HSH16" s="588"/>
      <c r="HSI16" s="588"/>
      <c r="HSJ16" s="588"/>
      <c r="HSK16" s="588"/>
      <c r="HSL16" s="588"/>
      <c r="HSM16" s="588"/>
      <c r="HSN16" s="588"/>
      <c r="HSO16" s="588"/>
      <c r="HSP16" s="588"/>
      <c r="HSQ16" s="588"/>
      <c r="HSR16" s="588"/>
      <c r="HSS16" s="588"/>
      <c r="HST16" s="588"/>
      <c r="HSU16" s="588"/>
      <c r="HSV16" s="588"/>
      <c r="HSW16" s="588"/>
      <c r="HSX16" s="588"/>
      <c r="HSY16" s="588"/>
      <c r="HSZ16" s="588"/>
      <c r="HTA16" s="588"/>
      <c r="HTB16" s="588"/>
      <c r="HTC16" s="588"/>
      <c r="HTD16" s="588"/>
      <c r="HTE16" s="588"/>
      <c r="HTF16" s="588"/>
      <c r="HTG16" s="588"/>
      <c r="HTH16" s="588"/>
      <c r="HTI16" s="588"/>
      <c r="HTJ16" s="588"/>
      <c r="HTK16" s="588"/>
      <c r="HTL16" s="588"/>
      <c r="HTM16" s="588"/>
      <c r="HTN16" s="588"/>
      <c r="HTO16" s="588"/>
      <c r="HTP16" s="588"/>
      <c r="HTQ16" s="588"/>
      <c r="HTR16" s="588"/>
      <c r="HTS16" s="588"/>
      <c r="HTT16" s="588"/>
      <c r="HTU16" s="588"/>
      <c r="HTV16" s="588"/>
      <c r="HTW16" s="588"/>
      <c r="HTX16" s="588"/>
      <c r="HTY16" s="588"/>
      <c r="HTZ16" s="588"/>
      <c r="HUA16" s="588"/>
      <c r="HUB16" s="588"/>
      <c r="HUC16" s="588"/>
      <c r="HUD16" s="588"/>
      <c r="HUE16" s="588"/>
      <c r="HUF16" s="588"/>
      <c r="HUG16" s="588"/>
      <c r="HUH16" s="588"/>
      <c r="HUI16" s="588"/>
      <c r="HUJ16" s="588"/>
      <c r="HUK16" s="588"/>
      <c r="HUL16" s="588"/>
      <c r="HUM16" s="588"/>
      <c r="HUN16" s="588"/>
      <c r="HUO16" s="588"/>
      <c r="HUP16" s="588"/>
      <c r="HUQ16" s="588"/>
      <c r="HUR16" s="588"/>
      <c r="HUS16" s="588"/>
      <c r="HUT16" s="588"/>
      <c r="HUU16" s="588"/>
      <c r="HUV16" s="588"/>
      <c r="HUW16" s="588"/>
      <c r="HUX16" s="588"/>
      <c r="HUY16" s="588"/>
      <c r="HUZ16" s="588"/>
      <c r="HVA16" s="588"/>
      <c r="HVB16" s="588"/>
      <c r="HVC16" s="588"/>
      <c r="HVD16" s="588"/>
      <c r="HVE16" s="588"/>
      <c r="HVF16" s="588"/>
      <c r="HVG16" s="588"/>
      <c r="HVH16" s="588"/>
      <c r="HVI16" s="588"/>
      <c r="HVJ16" s="588"/>
      <c r="HVK16" s="588"/>
      <c r="HVL16" s="588"/>
      <c r="HVM16" s="588"/>
      <c r="HVN16" s="588"/>
      <c r="HVO16" s="588"/>
      <c r="HVP16" s="588"/>
      <c r="HVQ16" s="588"/>
      <c r="HVR16" s="588"/>
      <c r="HVS16" s="588"/>
      <c r="HVT16" s="588"/>
      <c r="HVU16" s="588"/>
      <c r="HVV16" s="588"/>
      <c r="HVW16" s="588"/>
      <c r="HVX16" s="588"/>
      <c r="HVY16" s="588"/>
      <c r="HVZ16" s="588"/>
      <c r="HWA16" s="588"/>
      <c r="HWB16" s="588"/>
      <c r="HWC16" s="588"/>
      <c r="HWD16" s="588"/>
      <c r="HWE16" s="588"/>
      <c r="HWF16" s="588"/>
      <c r="HWG16" s="588"/>
      <c r="HWH16" s="588"/>
      <c r="HWI16" s="588"/>
      <c r="HWJ16" s="588"/>
      <c r="HWK16" s="588"/>
      <c r="HWL16" s="588"/>
      <c r="HWM16" s="588"/>
      <c r="HWN16" s="588"/>
      <c r="HWO16" s="588"/>
      <c r="HWP16" s="588"/>
      <c r="HWQ16" s="588"/>
      <c r="HWR16" s="588"/>
      <c r="HWS16" s="588"/>
      <c r="HWT16" s="588"/>
      <c r="HWU16" s="588"/>
      <c r="HWV16" s="588"/>
      <c r="HWW16" s="588"/>
      <c r="HWX16" s="588"/>
      <c r="HWY16" s="588"/>
      <c r="HWZ16" s="588"/>
      <c r="HXA16" s="588"/>
      <c r="HXB16" s="588"/>
      <c r="HXC16" s="588"/>
      <c r="HXD16" s="588"/>
      <c r="HXE16" s="588"/>
      <c r="HXF16" s="588"/>
      <c r="HXG16" s="588"/>
      <c r="HXH16" s="588"/>
      <c r="HXI16" s="588"/>
      <c r="HXJ16" s="588"/>
      <c r="HXK16" s="588"/>
      <c r="HXL16" s="588"/>
      <c r="HXM16" s="588"/>
      <c r="HXN16" s="588"/>
      <c r="HXO16" s="588"/>
      <c r="HXP16" s="588"/>
      <c r="HXQ16" s="588"/>
      <c r="HXR16" s="588"/>
      <c r="HXS16" s="588"/>
      <c r="HXT16" s="588"/>
      <c r="HXU16" s="588"/>
      <c r="HXV16" s="588"/>
      <c r="HXW16" s="588"/>
      <c r="HXX16" s="588"/>
      <c r="HXY16" s="588"/>
      <c r="HXZ16" s="588"/>
      <c r="HYA16" s="588"/>
      <c r="HYB16" s="588"/>
      <c r="HYC16" s="588"/>
      <c r="HYD16" s="588"/>
      <c r="HYE16" s="588"/>
      <c r="HYF16" s="588"/>
      <c r="HYG16" s="588"/>
      <c r="HYH16" s="588"/>
      <c r="HYI16" s="588"/>
      <c r="HYJ16" s="588"/>
      <c r="HYK16" s="588"/>
      <c r="HYL16" s="588"/>
      <c r="HYM16" s="588"/>
      <c r="HYN16" s="588"/>
      <c r="HYO16" s="588"/>
      <c r="HYP16" s="588"/>
      <c r="HYQ16" s="588"/>
      <c r="HYR16" s="588"/>
      <c r="HYS16" s="588"/>
      <c r="HYT16" s="588"/>
      <c r="HYU16" s="588"/>
      <c r="HYV16" s="588"/>
      <c r="HYW16" s="588"/>
      <c r="HYX16" s="588"/>
      <c r="HYY16" s="588"/>
      <c r="HYZ16" s="588"/>
      <c r="HZA16" s="588"/>
      <c r="HZB16" s="588"/>
      <c r="HZC16" s="588"/>
      <c r="HZD16" s="588"/>
      <c r="HZE16" s="588"/>
      <c r="HZF16" s="588"/>
      <c r="HZG16" s="588"/>
      <c r="HZH16" s="588"/>
      <c r="HZI16" s="588"/>
      <c r="HZJ16" s="588"/>
      <c r="HZK16" s="588"/>
      <c r="HZL16" s="588"/>
      <c r="HZM16" s="588"/>
      <c r="HZN16" s="588"/>
      <c r="HZO16" s="588"/>
      <c r="HZP16" s="588"/>
      <c r="HZQ16" s="588"/>
      <c r="HZR16" s="588"/>
      <c r="HZS16" s="588"/>
      <c r="HZT16" s="588"/>
      <c r="HZU16" s="588"/>
      <c r="HZV16" s="588"/>
      <c r="HZW16" s="588"/>
      <c r="HZX16" s="588"/>
      <c r="HZY16" s="588"/>
      <c r="HZZ16" s="588"/>
      <c r="IAA16" s="588"/>
      <c r="IAB16" s="588"/>
      <c r="IAC16" s="588"/>
      <c r="IAD16" s="588"/>
      <c r="IAE16" s="588"/>
      <c r="IAF16" s="588"/>
      <c r="IAG16" s="588"/>
      <c r="IAH16" s="588"/>
      <c r="IAI16" s="588"/>
      <c r="IAJ16" s="588"/>
      <c r="IAK16" s="588"/>
      <c r="IAL16" s="588"/>
      <c r="IAM16" s="588"/>
      <c r="IAN16" s="588"/>
      <c r="IAO16" s="588"/>
      <c r="IAP16" s="588"/>
      <c r="IAQ16" s="588"/>
      <c r="IAR16" s="588"/>
      <c r="IAS16" s="588"/>
      <c r="IAT16" s="588"/>
      <c r="IAU16" s="588"/>
      <c r="IAV16" s="588"/>
      <c r="IAW16" s="588"/>
      <c r="IAX16" s="588"/>
      <c r="IAY16" s="588"/>
      <c r="IAZ16" s="588"/>
      <c r="IBA16" s="588"/>
      <c r="IBB16" s="588"/>
      <c r="IBC16" s="588"/>
      <c r="IBD16" s="588"/>
      <c r="IBE16" s="588"/>
      <c r="IBF16" s="588"/>
      <c r="IBG16" s="588"/>
      <c r="IBH16" s="588"/>
      <c r="IBI16" s="588"/>
      <c r="IBJ16" s="588"/>
      <c r="IBK16" s="588"/>
      <c r="IBL16" s="588"/>
      <c r="IBM16" s="588"/>
      <c r="IBN16" s="588"/>
      <c r="IBO16" s="588"/>
      <c r="IBP16" s="588"/>
      <c r="IBQ16" s="588"/>
      <c r="IBR16" s="588"/>
      <c r="IBS16" s="588"/>
      <c r="IBT16" s="588"/>
      <c r="IBU16" s="588"/>
      <c r="IBV16" s="588"/>
      <c r="IBW16" s="588"/>
      <c r="IBX16" s="588"/>
      <c r="IBY16" s="588"/>
      <c r="IBZ16" s="588"/>
      <c r="ICA16" s="588"/>
      <c r="ICB16" s="588"/>
      <c r="ICC16" s="588"/>
      <c r="ICD16" s="588"/>
      <c r="ICE16" s="588"/>
      <c r="ICF16" s="588"/>
      <c r="ICG16" s="588"/>
      <c r="ICH16" s="588"/>
      <c r="ICI16" s="588"/>
      <c r="ICJ16" s="588"/>
      <c r="ICK16" s="588"/>
      <c r="ICL16" s="588"/>
      <c r="ICM16" s="588"/>
      <c r="ICN16" s="588"/>
      <c r="ICO16" s="588"/>
      <c r="ICP16" s="588"/>
      <c r="ICQ16" s="588"/>
      <c r="ICR16" s="588"/>
      <c r="ICS16" s="588"/>
      <c r="ICT16" s="588"/>
      <c r="ICU16" s="588"/>
      <c r="ICV16" s="588"/>
      <c r="ICW16" s="588"/>
      <c r="ICX16" s="588"/>
      <c r="ICY16" s="588"/>
      <c r="ICZ16" s="588"/>
      <c r="IDA16" s="588"/>
      <c r="IDB16" s="588"/>
      <c r="IDC16" s="588"/>
      <c r="IDD16" s="588"/>
      <c r="IDE16" s="588"/>
      <c r="IDF16" s="588"/>
      <c r="IDG16" s="588"/>
      <c r="IDH16" s="588"/>
      <c r="IDI16" s="588"/>
      <c r="IDJ16" s="588"/>
      <c r="IDK16" s="588"/>
      <c r="IDL16" s="588"/>
      <c r="IDM16" s="588"/>
      <c r="IDN16" s="588"/>
      <c r="IDO16" s="588"/>
      <c r="IDP16" s="588"/>
      <c r="IDQ16" s="588"/>
      <c r="IDR16" s="588"/>
      <c r="IDS16" s="588"/>
      <c r="IDT16" s="588"/>
      <c r="IDU16" s="588"/>
      <c r="IDV16" s="588"/>
      <c r="IDW16" s="588"/>
      <c r="IDX16" s="588"/>
      <c r="IDY16" s="588"/>
      <c r="IDZ16" s="588"/>
      <c r="IEA16" s="588"/>
      <c r="IEB16" s="588"/>
      <c r="IEC16" s="588"/>
      <c r="IED16" s="588"/>
      <c r="IEE16" s="588"/>
      <c r="IEF16" s="588"/>
      <c r="IEG16" s="588"/>
      <c r="IEH16" s="588"/>
      <c r="IEI16" s="588"/>
      <c r="IEJ16" s="588"/>
      <c r="IEK16" s="588"/>
      <c r="IEL16" s="588"/>
      <c r="IEM16" s="588"/>
      <c r="IEN16" s="588"/>
      <c r="IEO16" s="588"/>
      <c r="IEP16" s="588"/>
      <c r="IEQ16" s="588"/>
      <c r="IER16" s="588"/>
      <c r="IES16" s="588"/>
      <c r="IET16" s="588"/>
      <c r="IEU16" s="588"/>
      <c r="IEV16" s="588"/>
      <c r="IEW16" s="588"/>
      <c r="IEX16" s="588"/>
      <c r="IEY16" s="588"/>
      <c r="IEZ16" s="588"/>
      <c r="IFA16" s="588"/>
      <c r="IFB16" s="588"/>
      <c r="IFC16" s="588"/>
      <c r="IFD16" s="588"/>
      <c r="IFE16" s="588"/>
      <c r="IFF16" s="588"/>
      <c r="IFG16" s="588"/>
      <c r="IFH16" s="588"/>
      <c r="IFI16" s="588"/>
      <c r="IFJ16" s="588"/>
      <c r="IFK16" s="588"/>
      <c r="IFL16" s="588"/>
      <c r="IFM16" s="588"/>
      <c r="IFN16" s="588"/>
      <c r="IFO16" s="588"/>
      <c r="IFP16" s="588"/>
      <c r="IFQ16" s="588"/>
      <c r="IFR16" s="588"/>
      <c r="IFS16" s="588"/>
      <c r="IFT16" s="588"/>
      <c r="IFU16" s="588"/>
      <c r="IFV16" s="588"/>
      <c r="IFW16" s="588"/>
      <c r="IFX16" s="588"/>
      <c r="IFY16" s="588"/>
      <c r="IFZ16" s="588"/>
      <c r="IGA16" s="588"/>
      <c r="IGB16" s="588"/>
      <c r="IGC16" s="588"/>
      <c r="IGD16" s="588"/>
      <c r="IGE16" s="588"/>
      <c r="IGF16" s="588"/>
      <c r="IGG16" s="588"/>
      <c r="IGH16" s="588"/>
      <c r="IGI16" s="588"/>
      <c r="IGJ16" s="588"/>
      <c r="IGK16" s="588"/>
      <c r="IGL16" s="588"/>
      <c r="IGM16" s="588"/>
      <c r="IGN16" s="588"/>
      <c r="IGO16" s="588"/>
      <c r="IGP16" s="588"/>
      <c r="IGQ16" s="588"/>
      <c r="IGR16" s="588"/>
      <c r="IGS16" s="588"/>
      <c r="IGT16" s="588"/>
      <c r="IGU16" s="588"/>
      <c r="IGV16" s="588"/>
      <c r="IGW16" s="588"/>
      <c r="IGX16" s="588"/>
      <c r="IGY16" s="588"/>
      <c r="IGZ16" s="588"/>
      <c r="IHA16" s="588"/>
      <c r="IHB16" s="588"/>
      <c r="IHC16" s="588"/>
      <c r="IHD16" s="588"/>
      <c r="IHE16" s="588"/>
      <c r="IHF16" s="588"/>
      <c r="IHG16" s="588"/>
      <c r="IHH16" s="588"/>
      <c r="IHI16" s="588"/>
      <c r="IHJ16" s="588"/>
      <c r="IHK16" s="588"/>
      <c r="IHL16" s="588"/>
      <c r="IHM16" s="588"/>
      <c r="IHN16" s="588"/>
      <c r="IHO16" s="588"/>
      <c r="IHP16" s="588"/>
      <c r="IHQ16" s="588"/>
      <c r="IHR16" s="588"/>
      <c r="IHS16" s="588"/>
      <c r="IHT16" s="588"/>
      <c r="IHU16" s="588"/>
      <c r="IHV16" s="588"/>
      <c r="IHW16" s="588"/>
      <c r="IHX16" s="588"/>
      <c r="IHY16" s="588"/>
      <c r="IHZ16" s="588"/>
      <c r="IIA16" s="588"/>
      <c r="IIB16" s="588"/>
      <c r="IIC16" s="588"/>
      <c r="IID16" s="588"/>
      <c r="IIE16" s="588"/>
      <c r="IIF16" s="588"/>
      <c r="IIG16" s="588"/>
      <c r="IIH16" s="588"/>
      <c r="III16" s="588"/>
      <c r="IIJ16" s="588"/>
      <c r="IIK16" s="588"/>
      <c r="IIL16" s="588"/>
      <c r="IIM16" s="588"/>
      <c r="IIN16" s="588"/>
      <c r="IIO16" s="588"/>
      <c r="IIP16" s="588"/>
      <c r="IIQ16" s="588"/>
      <c r="IIR16" s="588"/>
      <c r="IIS16" s="588"/>
      <c r="IIT16" s="588"/>
      <c r="IIU16" s="588"/>
      <c r="IIV16" s="588"/>
      <c r="IIW16" s="588"/>
      <c r="IIX16" s="588"/>
      <c r="IIY16" s="588"/>
      <c r="IIZ16" s="588"/>
      <c r="IJA16" s="588"/>
      <c r="IJB16" s="588"/>
      <c r="IJC16" s="588"/>
      <c r="IJD16" s="588"/>
      <c r="IJE16" s="588"/>
      <c r="IJF16" s="588"/>
      <c r="IJG16" s="588"/>
      <c r="IJH16" s="588"/>
      <c r="IJI16" s="588"/>
      <c r="IJJ16" s="588"/>
      <c r="IJK16" s="588"/>
      <c r="IJL16" s="588"/>
      <c r="IJM16" s="588"/>
      <c r="IJN16" s="588"/>
      <c r="IJO16" s="588"/>
      <c r="IJP16" s="588"/>
      <c r="IJQ16" s="588"/>
      <c r="IJR16" s="588"/>
      <c r="IJS16" s="588"/>
      <c r="IJT16" s="588"/>
      <c r="IJU16" s="588"/>
      <c r="IJV16" s="588"/>
      <c r="IJW16" s="588"/>
      <c r="IJX16" s="588"/>
      <c r="IJY16" s="588"/>
      <c r="IJZ16" s="588"/>
      <c r="IKA16" s="588"/>
      <c r="IKB16" s="588"/>
      <c r="IKC16" s="588"/>
      <c r="IKD16" s="588"/>
      <c r="IKE16" s="588"/>
      <c r="IKF16" s="588"/>
      <c r="IKG16" s="588"/>
      <c r="IKH16" s="588"/>
      <c r="IKI16" s="588"/>
      <c r="IKJ16" s="588"/>
      <c r="IKK16" s="588"/>
      <c r="IKL16" s="588"/>
      <c r="IKM16" s="588"/>
      <c r="IKN16" s="588"/>
      <c r="IKO16" s="588"/>
      <c r="IKP16" s="588"/>
      <c r="IKQ16" s="588"/>
      <c r="IKR16" s="588"/>
      <c r="IKS16" s="588"/>
      <c r="IKT16" s="588"/>
      <c r="IKU16" s="588"/>
      <c r="IKV16" s="588"/>
      <c r="IKW16" s="588"/>
      <c r="IKX16" s="588"/>
      <c r="IKY16" s="588"/>
      <c r="IKZ16" s="588"/>
      <c r="ILA16" s="588"/>
      <c r="ILB16" s="588"/>
      <c r="ILC16" s="588"/>
      <c r="ILD16" s="588"/>
      <c r="ILE16" s="588"/>
      <c r="ILF16" s="588"/>
      <c r="ILG16" s="588"/>
      <c r="ILH16" s="588"/>
      <c r="ILI16" s="588"/>
      <c r="ILJ16" s="588"/>
      <c r="ILK16" s="588"/>
      <c r="ILL16" s="588"/>
      <c r="ILM16" s="588"/>
      <c r="ILN16" s="588"/>
      <c r="ILO16" s="588"/>
      <c r="ILP16" s="588"/>
      <c r="ILQ16" s="588"/>
      <c r="ILR16" s="588"/>
      <c r="ILS16" s="588"/>
      <c r="ILT16" s="588"/>
      <c r="ILU16" s="588"/>
      <c r="ILV16" s="588"/>
      <c r="ILW16" s="588"/>
      <c r="ILX16" s="588"/>
      <c r="ILY16" s="588"/>
      <c r="ILZ16" s="588"/>
      <c r="IMA16" s="588"/>
      <c r="IMB16" s="588"/>
      <c r="IMC16" s="588"/>
      <c r="IMD16" s="588"/>
      <c r="IME16" s="588"/>
      <c r="IMF16" s="588"/>
      <c r="IMG16" s="588"/>
      <c r="IMH16" s="588"/>
      <c r="IMI16" s="588"/>
      <c r="IMJ16" s="588"/>
      <c r="IMK16" s="588"/>
      <c r="IML16" s="588"/>
      <c r="IMM16" s="588"/>
      <c r="IMN16" s="588"/>
      <c r="IMO16" s="588"/>
      <c r="IMP16" s="588"/>
      <c r="IMQ16" s="588"/>
      <c r="IMR16" s="588"/>
      <c r="IMS16" s="588"/>
      <c r="IMT16" s="588"/>
      <c r="IMU16" s="588"/>
      <c r="IMV16" s="588"/>
      <c r="IMW16" s="588"/>
      <c r="IMX16" s="588"/>
      <c r="IMY16" s="588"/>
      <c r="IMZ16" s="588"/>
      <c r="INA16" s="588"/>
      <c r="INB16" s="588"/>
      <c r="INC16" s="588"/>
      <c r="IND16" s="588"/>
      <c r="INE16" s="588"/>
      <c r="INF16" s="588"/>
      <c r="ING16" s="588"/>
      <c r="INH16" s="588"/>
      <c r="INI16" s="588"/>
      <c r="INJ16" s="588"/>
      <c r="INK16" s="588"/>
      <c r="INL16" s="588"/>
      <c r="INM16" s="588"/>
      <c r="INN16" s="588"/>
      <c r="INO16" s="588"/>
      <c r="INP16" s="588"/>
      <c r="INQ16" s="588"/>
      <c r="INR16" s="588"/>
      <c r="INS16" s="588"/>
      <c r="INT16" s="588"/>
      <c r="INU16" s="588"/>
      <c r="INV16" s="588"/>
      <c r="INW16" s="588"/>
      <c r="INX16" s="588"/>
      <c r="INY16" s="588"/>
      <c r="INZ16" s="588"/>
      <c r="IOA16" s="588"/>
      <c r="IOB16" s="588"/>
      <c r="IOC16" s="588"/>
      <c r="IOD16" s="588"/>
      <c r="IOE16" s="588"/>
      <c r="IOF16" s="588"/>
      <c r="IOG16" s="588"/>
      <c r="IOH16" s="588"/>
      <c r="IOI16" s="588"/>
      <c r="IOJ16" s="588"/>
      <c r="IOK16" s="588"/>
      <c r="IOL16" s="588"/>
      <c r="IOM16" s="588"/>
      <c r="ION16" s="588"/>
      <c r="IOO16" s="588"/>
      <c r="IOP16" s="588"/>
      <c r="IOQ16" s="588"/>
      <c r="IOR16" s="588"/>
      <c r="IOS16" s="588"/>
      <c r="IOT16" s="588"/>
      <c r="IOU16" s="588"/>
      <c r="IOV16" s="588"/>
      <c r="IOW16" s="588"/>
      <c r="IOX16" s="588"/>
      <c r="IOY16" s="588"/>
      <c r="IOZ16" s="588"/>
      <c r="IPA16" s="588"/>
      <c r="IPB16" s="588"/>
      <c r="IPC16" s="588"/>
      <c r="IPD16" s="588"/>
      <c r="IPE16" s="588"/>
      <c r="IPF16" s="588"/>
      <c r="IPG16" s="588"/>
      <c r="IPH16" s="588"/>
      <c r="IPI16" s="588"/>
      <c r="IPJ16" s="588"/>
      <c r="IPK16" s="588"/>
      <c r="IPL16" s="588"/>
      <c r="IPM16" s="588"/>
      <c r="IPN16" s="588"/>
      <c r="IPO16" s="588"/>
      <c r="IPP16" s="588"/>
      <c r="IPQ16" s="588"/>
      <c r="IPR16" s="588"/>
      <c r="IPS16" s="588"/>
      <c r="IPT16" s="588"/>
      <c r="IPU16" s="588"/>
      <c r="IPV16" s="588"/>
      <c r="IPW16" s="588"/>
      <c r="IPX16" s="588"/>
      <c r="IPY16" s="588"/>
      <c r="IPZ16" s="588"/>
      <c r="IQA16" s="588"/>
      <c r="IQB16" s="588"/>
      <c r="IQC16" s="588"/>
      <c r="IQD16" s="588"/>
      <c r="IQE16" s="588"/>
      <c r="IQF16" s="588"/>
      <c r="IQG16" s="588"/>
      <c r="IQH16" s="588"/>
      <c r="IQI16" s="588"/>
      <c r="IQJ16" s="588"/>
      <c r="IQK16" s="588"/>
      <c r="IQL16" s="588"/>
      <c r="IQM16" s="588"/>
      <c r="IQN16" s="588"/>
      <c r="IQO16" s="588"/>
      <c r="IQP16" s="588"/>
      <c r="IQQ16" s="588"/>
      <c r="IQR16" s="588"/>
      <c r="IQS16" s="588"/>
      <c r="IQT16" s="588"/>
      <c r="IQU16" s="588"/>
      <c r="IQV16" s="588"/>
      <c r="IQW16" s="588"/>
      <c r="IQX16" s="588"/>
      <c r="IQY16" s="588"/>
      <c r="IQZ16" s="588"/>
      <c r="IRA16" s="588"/>
      <c r="IRB16" s="588"/>
      <c r="IRC16" s="588"/>
      <c r="IRD16" s="588"/>
      <c r="IRE16" s="588"/>
      <c r="IRF16" s="588"/>
      <c r="IRG16" s="588"/>
      <c r="IRH16" s="588"/>
      <c r="IRI16" s="588"/>
      <c r="IRJ16" s="588"/>
      <c r="IRK16" s="588"/>
      <c r="IRL16" s="588"/>
      <c r="IRM16" s="588"/>
      <c r="IRN16" s="588"/>
      <c r="IRO16" s="588"/>
      <c r="IRP16" s="588"/>
      <c r="IRQ16" s="588"/>
      <c r="IRR16" s="588"/>
      <c r="IRS16" s="588"/>
      <c r="IRT16" s="588"/>
      <c r="IRU16" s="588"/>
      <c r="IRV16" s="588"/>
      <c r="IRW16" s="588"/>
      <c r="IRX16" s="588"/>
      <c r="IRY16" s="588"/>
      <c r="IRZ16" s="588"/>
      <c r="ISA16" s="588"/>
      <c r="ISB16" s="588"/>
      <c r="ISC16" s="588"/>
      <c r="ISD16" s="588"/>
      <c r="ISE16" s="588"/>
      <c r="ISF16" s="588"/>
      <c r="ISG16" s="588"/>
      <c r="ISH16" s="588"/>
      <c r="ISI16" s="588"/>
      <c r="ISJ16" s="588"/>
      <c r="ISK16" s="588"/>
      <c r="ISL16" s="588"/>
      <c r="ISM16" s="588"/>
      <c r="ISN16" s="588"/>
      <c r="ISO16" s="588"/>
      <c r="ISP16" s="588"/>
      <c r="ISQ16" s="588"/>
      <c r="ISR16" s="588"/>
      <c r="ISS16" s="588"/>
      <c r="IST16" s="588"/>
      <c r="ISU16" s="588"/>
      <c r="ISV16" s="588"/>
      <c r="ISW16" s="588"/>
      <c r="ISX16" s="588"/>
      <c r="ISY16" s="588"/>
      <c r="ISZ16" s="588"/>
      <c r="ITA16" s="588"/>
      <c r="ITB16" s="588"/>
      <c r="ITC16" s="588"/>
      <c r="ITD16" s="588"/>
      <c r="ITE16" s="588"/>
      <c r="ITF16" s="588"/>
      <c r="ITG16" s="588"/>
      <c r="ITH16" s="588"/>
      <c r="ITI16" s="588"/>
      <c r="ITJ16" s="588"/>
      <c r="ITK16" s="588"/>
      <c r="ITL16" s="588"/>
      <c r="ITM16" s="588"/>
      <c r="ITN16" s="588"/>
      <c r="ITO16" s="588"/>
      <c r="ITP16" s="588"/>
      <c r="ITQ16" s="588"/>
      <c r="ITR16" s="588"/>
      <c r="ITS16" s="588"/>
      <c r="ITT16" s="588"/>
      <c r="ITU16" s="588"/>
      <c r="ITV16" s="588"/>
      <c r="ITW16" s="588"/>
      <c r="ITX16" s="588"/>
      <c r="ITY16" s="588"/>
      <c r="ITZ16" s="588"/>
      <c r="IUA16" s="588"/>
      <c r="IUB16" s="588"/>
      <c r="IUC16" s="588"/>
      <c r="IUD16" s="588"/>
      <c r="IUE16" s="588"/>
      <c r="IUF16" s="588"/>
      <c r="IUG16" s="588"/>
      <c r="IUH16" s="588"/>
      <c r="IUI16" s="588"/>
      <c r="IUJ16" s="588"/>
      <c r="IUK16" s="588"/>
      <c r="IUL16" s="588"/>
      <c r="IUM16" s="588"/>
      <c r="IUN16" s="588"/>
      <c r="IUO16" s="588"/>
      <c r="IUP16" s="588"/>
      <c r="IUQ16" s="588"/>
      <c r="IUR16" s="588"/>
      <c r="IUS16" s="588"/>
      <c r="IUT16" s="588"/>
      <c r="IUU16" s="588"/>
      <c r="IUV16" s="588"/>
      <c r="IUW16" s="588"/>
      <c r="IUX16" s="588"/>
      <c r="IUY16" s="588"/>
      <c r="IUZ16" s="588"/>
      <c r="IVA16" s="588"/>
      <c r="IVB16" s="588"/>
      <c r="IVC16" s="588"/>
      <c r="IVD16" s="588"/>
      <c r="IVE16" s="588"/>
      <c r="IVF16" s="588"/>
      <c r="IVG16" s="588"/>
      <c r="IVH16" s="588"/>
      <c r="IVI16" s="588"/>
      <c r="IVJ16" s="588"/>
      <c r="IVK16" s="588"/>
      <c r="IVL16" s="588"/>
      <c r="IVM16" s="588"/>
      <c r="IVN16" s="588"/>
      <c r="IVO16" s="588"/>
      <c r="IVP16" s="588"/>
      <c r="IVQ16" s="588"/>
      <c r="IVR16" s="588"/>
      <c r="IVS16" s="588"/>
      <c r="IVT16" s="588"/>
      <c r="IVU16" s="588"/>
      <c r="IVV16" s="588"/>
      <c r="IVW16" s="588"/>
      <c r="IVX16" s="588"/>
      <c r="IVY16" s="588"/>
      <c r="IVZ16" s="588"/>
      <c r="IWA16" s="588"/>
      <c r="IWB16" s="588"/>
      <c r="IWC16" s="588"/>
      <c r="IWD16" s="588"/>
      <c r="IWE16" s="588"/>
      <c r="IWF16" s="588"/>
      <c r="IWG16" s="588"/>
      <c r="IWH16" s="588"/>
      <c r="IWI16" s="588"/>
      <c r="IWJ16" s="588"/>
      <c r="IWK16" s="588"/>
      <c r="IWL16" s="588"/>
      <c r="IWM16" s="588"/>
      <c r="IWN16" s="588"/>
      <c r="IWO16" s="588"/>
      <c r="IWP16" s="588"/>
      <c r="IWQ16" s="588"/>
      <c r="IWR16" s="588"/>
      <c r="IWS16" s="588"/>
      <c r="IWT16" s="588"/>
      <c r="IWU16" s="588"/>
      <c r="IWV16" s="588"/>
      <c r="IWW16" s="588"/>
      <c r="IWX16" s="588"/>
      <c r="IWY16" s="588"/>
      <c r="IWZ16" s="588"/>
      <c r="IXA16" s="588"/>
      <c r="IXB16" s="588"/>
      <c r="IXC16" s="588"/>
      <c r="IXD16" s="588"/>
      <c r="IXE16" s="588"/>
      <c r="IXF16" s="588"/>
      <c r="IXG16" s="588"/>
      <c r="IXH16" s="588"/>
      <c r="IXI16" s="588"/>
      <c r="IXJ16" s="588"/>
      <c r="IXK16" s="588"/>
      <c r="IXL16" s="588"/>
      <c r="IXM16" s="588"/>
      <c r="IXN16" s="588"/>
      <c r="IXO16" s="588"/>
      <c r="IXP16" s="588"/>
      <c r="IXQ16" s="588"/>
      <c r="IXR16" s="588"/>
      <c r="IXS16" s="588"/>
      <c r="IXT16" s="588"/>
      <c r="IXU16" s="588"/>
      <c r="IXV16" s="588"/>
      <c r="IXW16" s="588"/>
      <c r="IXX16" s="588"/>
      <c r="IXY16" s="588"/>
      <c r="IXZ16" s="588"/>
      <c r="IYA16" s="588"/>
      <c r="IYB16" s="588"/>
      <c r="IYC16" s="588"/>
      <c r="IYD16" s="588"/>
      <c r="IYE16" s="588"/>
      <c r="IYF16" s="588"/>
      <c r="IYG16" s="588"/>
      <c r="IYH16" s="588"/>
      <c r="IYI16" s="588"/>
      <c r="IYJ16" s="588"/>
      <c r="IYK16" s="588"/>
      <c r="IYL16" s="588"/>
      <c r="IYM16" s="588"/>
      <c r="IYN16" s="588"/>
      <c r="IYO16" s="588"/>
      <c r="IYP16" s="588"/>
      <c r="IYQ16" s="588"/>
      <c r="IYR16" s="588"/>
      <c r="IYS16" s="588"/>
      <c r="IYT16" s="588"/>
      <c r="IYU16" s="588"/>
      <c r="IYV16" s="588"/>
      <c r="IYW16" s="588"/>
      <c r="IYX16" s="588"/>
      <c r="IYY16" s="588"/>
      <c r="IYZ16" s="588"/>
      <c r="IZA16" s="588"/>
      <c r="IZB16" s="588"/>
      <c r="IZC16" s="588"/>
      <c r="IZD16" s="588"/>
      <c r="IZE16" s="588"/>
      <c r="IZF16" s="588"/>
      <c r="IZG16" s="588"/>
      <c r="IZH16" s="588"/>
      <c r="IZI16" s="588"/>
      <c r="IZJ16" s="588"/>
      <c r="IZK16" s="588"/>
      <c r="IZL16" s="588"/>
      <c r="IZM16" s="588"/>
      <c r="IZN16" s="588"/>
      <c r="IZO16" s="588"/>
      <c r="IZP16" s="588"/>
      <c r="IZQ16" s="588"/>
      <c r="IZR16" s="588"/>
      <c r="IZS16" s="588"/>
      <c r="IZT16" s="588"/>
      <c r="IZU16" s="588"/>
      <c r="IZV16" s="588"/>
      <c r="IZW16" s="588"/>
      <c r="IZX16" s="588"/>
      <c r="IZY16" s="588"/>
      <c r="IZZ16" s="588"/>
      <c r="JAA16" s="588"/>
      <c r="JAB16" s="588"/>
      <c r="JAC16" s="588"/>
      <c r="JAD16" s="588"/>
      <c r="JAE16" s="588"/>
      <c r="JAF16" s="588"/>
      <c r="JAG16" s="588"/>
      <c r="JAH16" s="588"/>
      <c r="JAI16" s="588"/>
      <c r="JAJ16" s="588"/>
      <c r="JAK16" s="588"/>
      <c r="JAL16" s="588"/>
      <c r="JAM16" s="588"/>
      <c r="JAN16" s="588"/>
      <c r="JAO16" s="588"/>
      <c r="JAP16" s="588"/>
      <c r="JAQ16" s="588"/>
      <c r="JAR16" s="588"/>
      <c r="JAS16" s="588"/>
      <c r="JAT16" s="588"/>
      <c r="JAU16" s="588"/>
      <c r="JAV16" s="588"/>
      <c r="JAW16" s="588"/>
      <c r="JAX16" s="588"/>
      <c r="JAY16" s="588"/>
      <c r="JAZ16" s="588"/>
      <c r="JBA16" s="588"/>
      <c r="JBB16" s="588"/>
      <c r="JBC16" s="588"/>
      <c r="JBD16" s="588"/>
      <c r="JBE16" s="588"/>
      <c r="JBF16" s="588"/>
      <c r="JBG16" s="588"/>
      <c r="JBH16" s="588"/>
      <c r="JBI16" s="588"/>
      <c r="JBJ16" s="588"/>
      <c r="JBK16" s="588"/>
      <c r="JBL16" s="588"/>
      <c r="JBM16" s="588"/>
      <c r="JBN16" s="588"/>
      <c r="JBO16" s="588"/>
      <c r="JBP16" s="588"/>
      <c r="JBQ16" s="588"/>
      <c r="JBR16" s="588"/>
      <c r="JBS16" s="588"/>
      <c r="JBT16" s="588"/>
      <c r="JBU16" s="588"/>
      <c r="JBV16" s="588"/>
      <c r="JBW16" s="588"/>
      <c r="JBX16" s="588"/>
      <c r="JBY16" s="588"/>
      <c r="JBZ16" s="588"/>
      <c r="JCA16" s="588"/>
      <c r="JCB16" s="588"/>
      <c r="JCC16" s="588"/>
      <c r="JCD16" s="588"/>
      <c r="JCE16" s="588"/>
      <c r="JCF16" s="588"/>
      <c r="JCG16" s="588"/>
      <c r="JCH16" s="588"/>
      <c r="JCI16" s="588"/>
      <c r="JCJ16" s="588"/>
      <c r="JCK16" s="588"/>
      <c r="JCL16" s="588"/>
      <c r="JCM16" s="588"/>
      <c r="JCN16" s="588"/>
      <c r="JCO16" s="588"/>
      <c r="JCP16" s="588"/>
      <c r="JCQ16" s="588"/>
      <c r="JCR16" s="588"/>
      <c r="JCS16" s="588"/>
      <c r="JCT16" s="588"/>
      <c r="JCU16" s="588"/>
      <c r="JCV16" s="588"/>
      <c r="JCW16" s="588"/>
      <c r="JCX16" s="588"/>
      <c r="JCY16" s="588"/>
      <c r="JCZ16" s="588"/>
      <c r="JDA16" s="588"/>
      <c r="JDB16" s="588"/>
      <c r="JDC16" s="588"/>
      <c r="JDD16" s="588"/>
      <c r="JDE16" s="588"/>
      <c r="JDF16" s="588"/>
      <c r="JDG16" s="588"/>
      <c r="JDH16" s="588"/>
      <c r="JDI16" s="588"/>
      <c r="JDJ16" s="588"/>
      <c r="JDK16" s="588"/>
      <c r="JDL16" s="588"/>
      <c r="JDM16" s="588"/>
      <c r="JDN16" s="588"/>
      <c r="JDO16" s="588"/>
      <c r="JDP16" s="588"/>
      <c r="JDQ16" s="588"/>
      <c r="JDR16" s="588"/>
      <c r="JDS16" s="588"/>
      <c r="JDT16" s="588"/>
      <c r="JDU16" s="588"/>
      <c r="JDV16" s="588"/>
      <c r="JDW16" s="588"/>
      <c r="JDX16" s="588"/>
      <c r="JDY16" s="588"/>
      <c r="JDZ16" s="588"/>
      <c r="JEA16" s="588"/>
      <c r="JEB16" s="588"/>
      <c r="JEC16" s="588"/>
      <c r="JED16" s="588"/>
      <c r="JEE16" s="588"/>
      <c r="JEF16" s="588"/>
      <c r="JEG16" s="588"/>
      <c r="JEH16" s="588"/>
      <c r="JEI16" s="588"/>
      <c r="JEJ16" s="588"/>
      <c r="JEK16" s="588"/>
      <c r="JEL16" s="588"/>
      <c r="JEM16" s="588"/>
      <c r="JEN16" s="588"/>
      <c r="JEO16" s="588"/>
      <c r="JEP16" s="588"/>
      <c r="JEQ16" s="588"/>
      <c r="JER16" s="588"/>
      <c r="JES16" s="588"/>
      <c r="JET16" s="588"/>
      <c r="JEU16" s="588"/>
      <c r="JEV16" s="588"/>
      <c r="JEW16" s="588"/>
      <c r="JEX16" s="588"/>
      <c r="JEY16" s="588"/>
      <c r="JEZ16" s="588"/>
      <c r="JFA16" s="588"/>
      <c r="JFB16" s="588"/>
      <c r="JFC16" s="588"/>
      <c r="JFD16" s="588"/>
      <c r="JFE16" s="588"/>
      <c r="JFF16" s="588"/>
      <c r="JFG16" s="588"/>
      <c r="JFH16" s="588"/>
      <c r="JFI16" s="588"/>
      <c r="JFJ16" s="588"/>
      <c r="JFK16" s="588"/>
      <c r="JFL16" s="588"/>
      <c r="JFM16" s="588"/>
      <c r="JFN16" s="588"/>
      <c r="JFO16" s="588"/>
      <c r="JFP16" s="588"/>
      <c r="JFQ16" s="588"/>
      <c r="JFR16" s="588"/>
      <c r="JFS16" s="588"/>
      <c r="JFT16" s="588"/>
      <c r="JFU16" s="588"/>
      <c r="JFV16" s="588"/>
      <c r="JFW16" s="588"/>
      <c r="JFX16" s="588"/>
      <c r="JFY16" s="588"/>
      <c r="JFZ16" s="588"/>
      <c r="JGA16" s="588"/>
      <c r="JGB16" s="588"/>
      <c r="JGC16" s="588"/>
      <c r="JGD16" s="588"/>
      <c r="JGE16" s="588"/>
      <c r="JGF16" s="588"/>
      <c r="JGG16" s="588"/>
      <c r="JGH16" s="588"/>
      <c r="JGI16" s="588"/>
      <c r="JGJ16" s="588"/>
      <c r="JGK16" s="588"/>
      <c r="JGL16" s="588"/>
      <c r="JGM16" s="588"/>
      <c r="JGN16" s="588"/>
      <c r="JGO16" s="588"/>
      <c r="JGP16" s="588"/>
      <c r="JGQ16" s="588"/>
      <c r="JGR16" s="588"/>
      <c r="JGS16" s="588"/>
      <c r="JGT16" s="588"/>
      <c r="JGU16" s="588"/>
      <c r="JGV16" s="588"/>
      <c r="JGW16" s="588"/>
      <c r="JGX16" s="588"/>
      <c r="JGY16" s="588"/>
      <c r="JGZ16" s="588"/>
      <c r="JHA16" s="588"/>
      <c r="JHB16" s="588"/>
      <c r="JHC16" s="588"/>
      <c r="JHD16" s="588"/>
      <c r="JHE16" s="588"/>
      <c r="JHF16" s="588"/>
      <c r="JHG16" s="588"/>
      <c r="JHH16" s="588"/>
      <c r="JHI16" s="588"/>
      <c r="JHJ16" s="588"/>
      <c r="JHK16" s="588"/>
      <c r="JHL16" s="588"/>
      <c r="JHM16" s="588"/>
      <c r="JHN16" s="588"/>
      <c r="JHO16" s="588"/>
      <c r="JHP16" s="588"/>
      <c r="JHQ16" s="588"/>
      <c r="JHR16" s="588"/>
      <c r="JHS16" s="588"/>
      <c r="JHT16" s="588"/>
      <c r="JHU16" s="588"/>
      <c r="JHV16" s="588"/>
      <c r="JHW16" s="588"/>
      <c r="JHX16" s="588"/>
      <c r="JHY16" s="588"/>
      <c r="JHZ16" s="588"/>
      <c r="JIA16" s="588"/>
      <c r="JIB16" s="588"/>
      <c r="JIC16" s="588"/>
      <c r="JID16" s="588"/>
      <c r="JIE16" s="588"/>
      <c r="JIF16" s="588"/>
      <c r="JIG16" s="588"/>
      <c r="JIH16" s="588"/>
      <c r="JII16" s="588"/>
      <c r="JIJ16" s="588"/>
      <c r="JIK16" s="588"/>
      <c r="JIL16" s="588"/>
      <c r="JIM16" s="588"/>
      <c r="JIN16" s="588"/>
      <c r="JIO16" s="588"/>
      <c r="JIP16" s="588"/>
      <c r="JIQ16" s="588"/>
      <c r="JIR16" s="588"/>
      <c r="JIS16" s="588"/>
      <c r="JIT16" s="588"/>
      <c r="JIU16" s="588"/>
      <c r="JIV16" s="588"/>
      <c r="JIW16" s="588"/>
      <c r="JIX16" s="588"/>
      <c r="JIY16" s="588"/>
      <c r="JIZ16" s="588"/>
      <c r="JJA16" s="588"/>
      <c r="JJB16" s="588"/>
      <c r="JJC16" s="588"/>
      <c r="JJD16" s="588"/>
      <c r="JJE16" s="588"/>
      <c r="JJF16" s="588"/>
      <c r="JJG16" s="588"/>
      <c r="JJH16" s="588"/>
      <c r="JJI16" s="588"/>
      <c r="JJJ16" s="588"/>
      <c r="JJK16" s="588"/>
      <c r="JJL16" s="588"/>
      <c r="JJM16" s="588"/>
      <c r="JJN16" s="588"/>
      <c r="JJO16" s="588"/>
      <c r="JJP16" s="588"/>
      <c r="JJQ16" s="588"/>
      <c r="JJR16" s="588"/>
      <c r="JJS16" s="588"/>
      <c r="JJT16" s="588"/>
      <c r="JJU16" s="588"/>
      <c r="JJV16" s="588"/>
      <c r="JJW16" s="588"/>
      <c r="JJX16" s="588"/>
      <c r="JJY16" s="588"/>
      <c r="JJZ16" s="588"/>
      <c r="JKA16" s="588"/>
      <c r="JKB16" s="588"/>
      <c r="JKC16" s="588"/>
      <c r="JKD16" s="588"/>
      <c r="JKE16" s="588"/>
      <c r="JKF16" s="588"/>
      <c r="JKG16" s="588"/>
      <c r="JKH16" s="588"/>
      <c r="JKI16" s="588"/>
      <c r="JKJ16" s="588"/>
      <c r="JKK16" s="588"/>
      <c r="JKL16" s="588"/>
      <c r="JKM16" s="588"/>
      <c r="JKN16" s="588"/>
      <c r="JKO16" s="588"/>
      <c r="JKP16" s="588"/>
      <c r="JKQ16" s="588"/>
      <c r="JKR16" s="588"/>
      <c r="JKS16" s="588"/>
      <c r="JKT16" s="588"/>
      <c r="JKU16" s="588"/>
      <c r="JKV16" s="588"/>
      <c r="JKW16" s="588"/>
      <c r="JKX16" s="588"/>
      <c r="JKY16" s="588"/>
      <c r="JKZ16" s="588"/>
      <c r="JLA16" s="588"/>
      <c r="JLB16" s="588"/>
      <c r="JLC16" s="588"/>
      <c r="JLD16" s="588"/>
      <c r="JLE16" s="588"/>
      <c r="JLF16" s="588"/>
      <c r="JLG16" s="588"/>
      <c r="JLH16" s="588"/>
      <c r="JLI16" s="588"/>
      <c r="JLJ16" s="588"/>
      <c r="JLK16" s="588"/>
      <c r="JLL16" s="588"/>
      <c r="JLM16" s="588"/>
      <c r="JLN16" s="588"/>
      <c r="JLO16" s="588"/>
      <c r="JLP16" s="588"/>
      <c r="JLQ16" s="588"/>
      <c r="JLR16" s="588"/>
      <c r="JLS16" s="588"/>
      <c r="JLT16" s="588"/>
      <c r="JLU16" s="588"/>
      <c r="JLV16" s="588"/>
      <c r="JLW16" s="588"/>
      <c r="JLX16" s="588"/>
      <c r="JLY16" s="588"/>
      <c r="JLZ16" s="588"/>
      <c r="JMA16" s="588"/>
      <c r="JMB16" s="588"/>
      <c r="JMC16" s="588"/>
      <c r="JMD16" s="588"/>
      <c r="JME16" s="588"/>
      <c r="JMF16" s="588"/>
      <c r="JMG16" s="588"/>
      <c r="JMH16" s="588"/>
      <c r="JMI16" s="588"/>
      <c r="JMJ16" s="588"/>
      <c r="JMK16" s="588"/>
      <c r="JML16" s="588"/>
      <c r="JMM16" s="588"/>
      <c r="JMN16" s="588"/>
      <c r="JMO16" s="588"/>
      <c r="JMP16" s="588"/>
      <c r="JMQ16" s="588"/>
      <c r="JMR16" s="588"/>
      <c r="JMS16" s="588"/>
      <c r="JMT16" s="588"/>
      <c r="JMU16" s="588"/>
      <c r="JMV16" s="588"/>
      <c r="JMW16" s="588"/>
      <c r="JMX16" s="588"/>
      <c r="JMY16" s="588"/>
      <c r="JMZ16" s="588"/>
      <c r="JNA16" s="588"/>
      <c r="JNB16" s="588"/>
      <c r="JNC16" s="588"/>
      <c r="JND16" s="588"/>
      <c r="JNE16" s="588"/>
      <c r="JNF16" s="588"/>
      <c r="JNG16" s="588"/>
      <c r="JNH16" s="588"/>
      <c r="JNI16" s="588"/>
      <c r="JNJ16" s="588"/>
      <c r="JNK16" s="588"/>
      <c r="JNL16" s="588"/>
      <c r="JNM16" s="588"/>
      <c r="JNN16" s="588"/>
      <c r="JNO16" s="588"/>
      <c r="JNP16" s="588"/>
      <c r="JNQ16" s="588"/>
      <c r="JNR16" s="588"/>
      <c r="JNS16" s="588"/>
      <c r="JNT16" s="588"/>
      <c r="JNU16" s="588"/>
      <c r="JNV16" s="588"/>
      <c r="JNW16" s="588"/>
      <c r="JNX16" s="588"/>
      <c r="JNY16" s="588"/>
      <c r="JNZ16" s="588"/>
      <c r="JOA16" s="588"/>
      <c r="JOB16" s="588"/>
      <c r="JOC16" s="588"/>
      <c r="JOD16" s="588"/>
      <c r="JOE16" s="588"/>
      <c r="JOF16" s="588"/>
      <c r="JOG16" s="588"/>
      <c r="JOH16" s="588"/>
      <c r="JOI16" s="588"/>
      <c r="JOJ16" s="588"/>
      <c r="JOK16" s="588"/>
      <c r="JOL16" s="588"/>
      <c r="JOM16" s="588"/>
      <c r="JON16" s="588"/>
      <c r="JOO16" s="588"/>
      <c r="JOP16" s="588"/>
      <c r="JOQ16" s="588"/>
      <c r="JOR16" s="588"/>
      <c r="JOS16" s="588"/>
      <c r="JOT16" s="588"/>
      <c r="JOU16" s="588"/>
      <c r="JOV16" s="588"/>
      <c r="JOW16" s="588"/>
      <c r="JOX16" s="588"/>
      <c r="JOY16" s="588"/>
      <c r="JOZ16" s="588"/>
      <c r="JPA16" s="588"/>
      <c r="JPB16" s="588"/>
      <c r="JPC16" s="588"/>
      <c r="JPD16" s="588"/>
      <c r="JPE16" s="588"/>
      <c r="JPF16" s="588"/>
      <c r="JPG16" s="588"/>
      <c r="JPH16" s="588"/>
      <c r="JPI16" s="588"/>
      <c r="JPJ16" s="588"/>
      <c r="JPK16" s="588"/>
      <c r="JPL16" s="588"/>
      <c r="JPM16" s="588"/>
      <c r="JPN16" s="588"/>
      <c r="JPO16" s="588"/>
      <c r="JPP16" s="588"/>
      <c r="JPQ16" s="588"/>
      <c r="JPR16" s="588"/>
      <c r="JPS16" s="588"/>
      <c r="JPT16" s="588"/>
      <c r="JPU16" s="588"/>
      <c r="JPV16" s="588"/>
      <c r="JPW16" s="588"/>
      <c r="JPX16" s="588"/>
      <c r="JPY16" s="588"/>
      <c r="JPZ16" s="588"/>
      <c r="JQA16" s="588"/>
      <c r="JQB16" s="588"/>
      <c r="JQC16" s="588"/>
      <c r="JQD16" s="588"/>
      <c r="JQE16" s="588"/>
      <c r="JQF16" s="588"/>
      <c r="JQG16" s="588"/>
      <c r="JQH16" s="588"/>
      <c r="JQI16" s="588"/>
      <c r="JQJ16" s="588"/>
      <c r="JQK16" s="588"/>
      <c r="JQL16" s="588"/>
      <c r="JQM16" s="588"/>
      <c r="JQN16" s="588"/>
      <c r="JQO16" s="588"/>
      <c r="JQP16" s="588"/>
      <c r="JQQ16" s="588"/>
      <c r="JQR16" s="588"/>
      <c r="JQS16" s="588"/>
      <c r="JQT16" s="588"/>
      <c r="JQU16" s="588"/>
      <c r="JQV16" s="588"/>
      <c r="JQW16" s="588"/>
      <c r="JQX16" s="588"/>
      <c r="JQY16" s="588"/>
      <c r="JQZ16" s="588"/>
      <c r="JRA16" s="588"/>
      <c r="JRB16" s="588"/>
      <c r="JRC16" s="588"/>
      <c r="JRD16" s="588"/>
      <c r="JRE16" s="588"/>
      <c r="JRF16" s="588"/>
      <c r="JRG16" s="588"/>
      <c r="JRH16" s="588"/>
      <c r="JRI16" s="588"/>
      <c r="JRJ16" s="588"/>
      <c r="JRK16" s="588"/>
      <c r="JRL16" s="588"/>
      <c r="JRM16" s="588"/>
      <c r="JRN16" s="588"/>
      <c r="JRO16" s="588"/>
      <c r="JRP16" s="588"/>
      <c r="JRQ16" s="588"/>
      <c r="JRR16" s="588"/>
      <c r="JRS16" s="588"/>
      <c r="JRT16" s="588"/>
      <c r="JRU16" s="588"/>
      <c r="JRV16" s="588"/>
      <c r="JRW16" s="588"/>
      <c r="JRX16" s="588"/>
      <c r="JRY16" s="588"/>
      <c r="JRZ16" s="588"/>
      <c r="JSA16" s="588"/>
      <c r="JSB16" s="588"/>
      <c r="JSC16" s="588"/>
      <c r="JSD16" s="588"/>
      <c r="JSE16" s="588"/>
      <c r="JSF16" s="588"/>
      <c r="JSG16" s="588"/>
      <c r="JSH16" s="588"/>
      <c r="JSI16" s="588"/>
      <c r="JSJ16" s="588"/>
      <c r="JSK16" s="588"/>
      <c r="JSL16" s="588"/>
      <c r="JSM16" s="588"/>
      <c r="JSN16" s="588"/>
      <c r="JSO16" s="588"/>
      <c r="JSP16" s="588"/>
      <c r="JSQ16" s="588"/>
      <c r="JSR16" s="588"/>
      <c r="JSS16" s="588"/>
      <c r="JST16" s="588"/>
      <c r="JSU16" s="588"/>
      <c r="JSV16" s="588"/>
      <c r="JSW16" s="588"/>
      <c r="JSX16" s="588"/>
      <c r="JSY16" s="588"/>
      <c r="JSZ16" s="588"/>
      <c r="JTA16" s="588"/>
      <c r="JTB16" s="588"/>
      <c r="JTC16" s="588"/>
      <c r="JTD16" s="588"/>
      <c r="JTE16" s="588"/>
      <c r="JTF16" s="588"/>
      <c r="JTG16" s="588"/>
      <c r="JTH16" s="588"/>
      <c r="JTI16" s="588"/>
      <c r="JTJ16" s="588"/>
      <c r="JTK16" s="588"/>
      <c r="JTL16" s="588"/>
      <c r="JTM16" s="588"/>
      <c r="JTN16" s="588"/>
      <c r="JTO16" s="588"/>
      <c r="JTP16" s="588"/>
      <c r="JTQ16" s="588"/>
      <c r="JTR16" s="588"/>
      <c r="JTS16" s="588"/>
      <c r="JTT16" s="588"/>
      <c r="JTU16" s="588"/>
      <c r="JTV16" s="588"/>
      <c r="JTW16" s="588"/>
      <c r="JTX16" s="588"/>
      <c r="JTY16" s="588"/>
      <c r="JTZ16" s="588"/>
      <c r="JUA16" s="588"/>
      <c r="JUB16" s="588"/>
      <c r="JUC16" s="588"/>
      <c r="JUD16" s="588"/>
      <c r="JUE16" s="588"/>
      <c r="JUF16" s="588"/>
      <c r="JUG16" s="588"/>
      <c r="JUH16" s="588"/>
      <c r="JUI16" s="588"/>
      <c r="JUJ16" s="588"/>
      <c r="JUK16" s="588"/>
      <c r="JUL16" s="588"/>
      <c r="JUM16" s="588"/>
      <c r="JUN16" s="588"/>
      <c r="JUO16" s="588"/>
      <c r="JUP16" s="588"/>
      <c r="JUQ16" s="588"/>
      <c r="JUR16" s="588"/>
      <c r="JUS16" s="588"/>
      <c r="JUT16" s="588"/>
      <c r="JUU16" s="588"/>
      <c r="JUV16" s="588"/>
      <c r="JUW16" s="588"/>
      <c r="JUX16" s="588"/>
      <c r="JUY16" s="588"/>
      <c r="JUZ16" s="588"/>
      <c r="JVA16" s="588"/>
      <c r="JVB16" s="588"/>
      <c r="JVC16" s="588"/>
      <c r="JVD16" s="588"/>
      <c r="JVE16" s="588"/>
      <c r="JVF16" s="588"/>
      <c r="JVG16" s="588"/>
      <c r="JVH16" s="588"/>
      <c r="JVI16" s="588"/>
      <c r="JVJ16" s="588"/>
      <c r="JVK16" s="588"/>
      <c r="JVL16" s="588"/>
      <c r="JVM16" s="588"/>
      <c r="JVN16" s="588"/>
      <c r="JVO16" s="588"/>
      <c r="JVP16" s="588"/>
      <c r="JVQ16" s="588"/>
      <c r="JVR16" s="588"/>
      <c r="JVS16" s="588"/>
      <c r="JVT16" s="588"/>
      <c r="JVU16" s="588"/>
      <c r="JVV16" s="588"/>
      <c r="JVW16" s="588"/>
      <c r="JVX16" s="588"/>
      <c r="JVY16" s="588"/>
      <c r="JVZ16" s="588"/>
      <c r="JWA16" s="588"/>
      <c r="JWB16" s="588"/>
      <c r="JWC16" s="588"/>
      <c r="JWD16" s="588"/>
      <c r="JWE16" s="588"/>
      <c r="JWF16" s="588"/>
      <c r="JWG16" s="588"/>
      <c r="JWH16" s="588"/>
      <c r="JWI16" s="588"/>
      <c r="JWJ16" s="588"/>
      <c r="JWK16" s="588"/>
      <c r="JWL16" s="588"/>
      <c r="JWM16" s="588"/>
      <c r="JWN16" s="588"/>
      <c r="JWO16" s="588"/>
      <c r="JWP16" s="588"/>
      <c r="JWQ16" s="588"/>
      <c r="JWR16" s="588"/>
      <c r="JWS16" s="588"/>
      <c r="JWT16" s="588"/>
      <c r="JWU16" s="588"/>
      <c r="JWV16" s="588"/>
      <c r="JWW16" s="588"/>
      <c r="JWX16" s="588"/>
      <c r="JWY16" s="588"/>
      <c r="JWZ16" s="588"/>
      <c r="JXA16" s="588"/>
      <c r="JXB16" s="588"/>
      <c r="JXC16" s="588"/>
      <c r="JXD16" s="588"/>
      <c r="JXE16" s="588"/>
      <c r="JXF16" s="588"/>
      <c r="JXG16" s="588"/>
      <c r="JXH16" s="588"/>
      <c r="JXI16" s="588"/>
      <c r="JXJ16" s="588"/>
      <c r="JXK16" s="588"/>
      <c r="JXL16" s="588"/>
      <c r="JXM16" s="588"/>
      <c r="JXN16" s="588"/>
      <c r="JXO16" s="588"/>
      <c r="JXP16" s="588"/>
      <c r="JXQ16" s="588"/>
      <c r="JXR16" s="588"/>
      <c r="JXS16" s="588"/>
      <c r="JXT16" s="588"/>
      <c r="JXU16" s="588"/>
      <c r="JXV16" s="588"/>
      <c r="JXW16" s="588"/>
      <c r="JXX16" s="588"/>
      <c r="JXY16" s="588"/>
      <c r="JXZ16" s="588"/>
      <c r="JYA16" s="588"/>
      <c r="JYB16" s="588"/>
      <c r="JYC16" s="588"/>
      <c r="JYD16" s="588"/>
      <c r="JYE16" s="588"/>
      <c r="JYF16" s="588"/>
      <c r="JYG16" s="588"/>
      <c r="JYH16" s="588"/>
      <c r="JYI16" s="588"/>
      <c r="JYJ16" s="588"/>
      <c r="JYK16" s="588"/>
      <c r="JYL16" s="588"/>
      <c r="JYM16" s="588"/>
      <c r="JYN16" s="588"/>
      <c r="JYO16" s="588"/>
      <c r="JYP16" s="588"/>
      <c r="JYQ16" s="588"/>
      <c r="JYR16" s="588"/>
      <c r="JYS16" s="588"/>
      <c r="JYT16" s="588"/>
      <c r="JYU16" s="588"/>
      <c r="JYV16" s="588"/>
      <c r="JYW16" s="588"/>
      <c r="JYX16" s="588"/>
      <c r="JYY16" s="588"/>
      <c r="JYZ16" s="588"/>
      <c r="JZA16" s="588"/>
      <c r="JZB16" s="588"/>
      <c r="JZC16" s="588"/>
      <c r="JZD16" s="588"/>
      <c r="JZE16" s="588"/>
      <c r="JZF16" s="588"/>
      <c r="JZG16" s="588"/>
      <c r="JZH16" s="588"/>
      <c r="JZI16" s="588"/>
      <c r="JZJ16" s="588"/>
      <c r="JZK16" s="588"/>
      <c r="JZL16" s="588"/>
      <c r="JZM16" s="588"/>
      <c r="JZN16" s="588"/>
      <c r="JZO16" s="588"/>
      <c r="JZP16" s="588"/>
      <c r="JZQ16" s="588"/>
      <c r="JZR16" s="588"/>
      <c r="JZS16" s="588"/>
      <c r="JZT16" s="588"/>
      <c r="JZU16" s="588"/>
      <c r="JZV16" s="588"/>
      <c r="JZW16" s="588"/>
      <c r="JZX16" s="588"/>
      <c r="JZY16" s="588"/>
      <c r="JZZ16" s="588"/>
      <c r="KAA16" s="588"/>
      <c r="KAB16" s="588"/>
      <c r="KAC16" s="588"/>
      <c r="KAD16" s="588"/>
      <c r="KAE16" s="588"/>
      <c r="KAF16" s="588"/>
      <c r="KAG16" s="588"/>
      <c r="KAH16" s="588"/>
      <c r="KAI16" s="588"/>
      <c r="KAJ16" s="588"/>
      <c r="KAK16" s="588"/>
      <c r="KAL16" s="588"/>
      <c r="KAM16" s="588"/>
      <c r="KAN16" s="588"/>
      <c r="KAO16" s="588"/>
      <c r="KAP16" s="588"/>
      <c r="KAQ16" s="588"/>
      <c r="KAR16" s="588"/>
      <c r="KAS16" s="588"/>
      <c r="KAT16" s="588"/>
      <c r="KAU16" s="588"/>
      <c r="KAV16" s="588"/>
      <c r="KAW16" s="588"/>
      <c r="KAX16" s="588"/>
      <c r="KAY16" s="588"/>
      <c r="KAZ16" s="588"/>
      <c r="KBA16" s="588"/>
      <c r="KBB16" s="588"/>
      <c r="KBC16" s="588"/>
      <c r="KBD16" s="588"/>
      <c r="KBE16" s="588"/>
      <c r="KBF16" s="588"/>
      <c r="KBG16" s="588"/>
      <c r="KBH16" s="588"/>
      <c r="KBI16" s="588"/>
      <c r="KBJ16" s="588"/>
      <c r="KBK16" s="588"/>
      <c r="KBL16" s="588"/>
      <c r="KBM16" s="588"/>
      <c r="KBN16" s="588"/>
      <c r="KBO16" s="588"/>
      <c r="KBP16" s="588"/>
      <c r="KBQ16" s="588"/>
      <c r="KBR16" s="588"/>
      <c r="KBS16" s="588"/>
      <c r="KBT16" s="588"/>
      <c r="KBU16" s="588"/>
      <c r="KBV16" s="588"/>
      <c r="KBW16" s="588"/>
      <c r="KBX16" s="588"/>
      <c r="KBY16" s="588"/>
      <c r="KBZ16" s="588"/>
      <c r="KCA16" s="588"/>
      <c r="KCB16" s="588"/>
      <c r="KCC16" s="588"/>
      <c r="KCD16" s="588"/>
      <c r="KCE16" s="588"/>
      <c r="KCF16" s="588"/>
      <c r="KCG16" s="588"/>
      <c r="KCH16" s="588"/>
      <c r="KCI16" s="588"/>
      <c r="KCJ16" s="588"/>
      <c r="KCK16" s="588"/>
      <c r="KCL16" s="588"/>
      <c r="KCM16" s="588"/>
      <c r="KCN16" s="588"/>
      <c r="KCO16" s="588"/>
      <c r="KCP16" s="588"/>
      <c r="KCQ16" s="588"/>
      <c r="KCR16" s="588"/>
      <c r="KCS16" s="588"/>
      <c r="KCT16" s="588"/>
      <c r="KCU16" s="588"/>
      <c r="KCV16" s="588"/>
      <c r="KCW16" s="588"/>
      <c r="KCX16" s="588"/>
      <c r="KCY16" s="588"/>
      <c r="KCZ16" s="588"/>
      <c r="KDA16" s="588"/>
      <c r="KDB16" s="588"/>
      <c r="KDC16" s="588"/>
      <c r="KDD16" s="588"/>
      <c r="KDE16" s="588"/>
      <c r="KDF16" s="588"/>
      <c r="KDG16" s="588"/>
      <c r="KDH16" s="588"/>
      <c r="KDI16" s="588"/>
      <c r="KDJ16" s="588"/>
      <c r="KDK16" s="588"/>
      <c r="KDL16" s="588"/>
      <c r="KDM16" s="588"/>
      <c r="KDN16" s="588"/>
      <c r="KDO16" s="588"/>
      <c r="KDP16" s="588"/>
      <c r="KDQ16" s="588"/>
      <c r="KDR16" s="588"/>
      <c r="KDS16" s="588"/>
      <c r="KDT16" s="588"/>
      <c r="KDU16" s="588"/>
      <c r="KDV16" s="588"/>
      <c r="KDW16" s="588"/>
      <c r="KDX16" s="588"/>
      <c r="KDY16" s="588"/>
      <c r="KDZ16" s="588"/>
      <c r="KEA16" s="588"/>
      <c r="KEB16" s="588"/>
      <c r="KEC16" s="588"/>
      <c r="KED16" s="588"/>
      <c r="KEE16" s="588"/>
      <c r="KEF16" s="588"/>
      <c r="KEG16" s="588"/>
      <c r="KEH16" s="588"/>
      <c r="KEI16" s="588"/>
      <c r="KEJ16" s="588"/>
      <c r="KEK16" s="588"/>
      <c r="KEL16" s="588"/>
      <c r="KEM16" s="588"/>
      <c r="KEN16" s="588"/>
      <c r="KEO16" s="588"/>
      <c r="KEP16" s="588"/>
      <c r="KEQ16" s="588"/>
      <c r="KER16" s="588"/>
      <c r="KES16" s="588"/>
      <c r="KET16" s="588"/>
      <c r="KEU16" s="588"/>
      <c r="KEV16" s="588"/>
      <c r="KEW16" s="588"/>
      <c r="KEX16" s="588"/>
      <c r="KEY16" s="588"/>
      <c r="KEZ16" s="588"/>
      <c r="KFA16" s="588"/>
      <c r="KFB16" s="588"/>
      <c r="KFC16" s="588"/>
      <c r="KFD16" s="588"/>
      <c r="KFE16" s="588"/>
      <c r="KFF16" s="588"/>
      <c r="KFG16" s="588"/>
      <c r="KFH16" s="588"/>
      <c r="KFI16" s="588"/>
      <c r="KFJ16" s="588"/>
      <c r="KFK16" s="588"/>
      <c r="KFL16" s="588"/>
      <c r="KFM16" s="588"/>
      <c r="KFN16" s="588"/>
      <c r="KFO16" s="588"/>
      <c r="KFP16" s="588"/>
      <c r="KFQ16" s="588"/>
      <c r="KFR16" s="588"/>
      <c r="KFS16" s="588"/>
      <c r="KFT16" s="588"/>
      <c r="KFU16" s="588"/>
      <c r="KFV16" s="588"/>
      <c r="KFW16" s="588"/>
      <c r="KFX16" s="588"/>
      <c r="KFY16" s="588"/>
      <c r="KFZ16" s="588"/>
      <c r="KGA16" s="588"/>
      <c r="KGB16" s="588"/>
      <c r="KGC16" s="588"/>
      <c r="KGD16" s="588"/>
      <c r="KGE16" s="588"/>
      <c r="KGF16" s="588"/>
      <c r="KGG16" s="588"/>
      <c r="KGH16" s="588"/>
      <c r="KGI16" s="588"/>
      <c r="KGJ16" s="588"/>
      <c r="KGK16" s="588"/>
      <c r="KGL16" s="588"/>
      <c r="KGM16" s="588"/>
      <c r="KGN16" s="588"/>
      <c r="KGO16" s="588"/>
      <c r="KGP16" s="588"/>
      <c r="KGQ16" s="588"/>
      <c r="KGR16" s="588"/>
      <c r="KGS16" s="588"/>
      <c r="KGT16" s="588"/>
      <c r="KGU16" s="588"/>
      <c r="KGV16" s="588"/>
      <c r="KGW16" s="588"/>
      <c r="KGX16" s="588"/>
      <c r="KGY16" s="588"/>
      <c r="KGZ16" s="588"/>
      <c r="KHA16" s="588"/>
      <c r="KHB16" s="588"/>
      <c r="KHC16" s="588"/>
      <c r="KHD16" s="588"/>
      <c r="KHE16" s="588"/>
      <c r="KHF16" s="588"/>
      <c r="KHG16" s="588"/>
      <c r="KHH16" s="588"/>
      <c r="KHI16" s="588"/>
      <c r="KHJ16" s="588"/>
      <c r="KHK16" s="588"/>
      <c r="KHL16" s="588"/>
      <c r="KHM16" s="588"/>
      <c r="KHN16" s="588"/>
      <c r="KHO16" s="588"/>
      <c r="KHP16" s="588"/>
      <c r="KHQ16" s="588"/>
      <c r="KHR16" s="588"/>
      <c r="KHS16" s="588"/>
      <c r="KHT16" s="588"/>
      <c r="KHU16" s="588"/>
      <c r="KHV16" s="588"/>
      <c r="KHW16" s="588"/>
      <c r="KHX16" s="588"/>
      <c r="KHY16" s="588"/>
      <c r="KHZ16" s="588"/>
      <c r="KIA16" s="588"/>
      <c r="KIB16" s="588"/>
      <c r="KIC16" s="588"/>
      <c r="KID16" s="588"/>
      <c r="KIE16" s="588"/>
      <c r="KIF16" s="588"/>
      <c r="KIG16" s="588"/>
      <c r="KIH16" s="588"/>
      <c r="KII16" s="588"/>
      <c r="KIJ16" s="588"/>
      <c r="KIK16" s="588"/>
      <c r="KIL16" s="588"/>
      <c r="KIM16" s="588"/>
      <c r="KIN16" s="588"/>
      <c r="KIO16" s="588"/>
      <c r="KIP16" s="588"/>
      <c r="KIQ16" s="588"/>
      <c r="KIR16" s="588"/>
      <c r="KIS16" s="588"/>
      <c r="KIT16" s="588"/>
      <c r="KIU16" s="588"/>
      <c r="KIV16" s="588"/>
      <c r="KIW16" s="588"/>
      <c r="KIX16" s="588"/>
      <c r="KIY16" s="588"/>
      <c r="KIZ16" s="588"/>
      <c r="KJA16" s="588"/>
      <c r="KJB16" s="588"/>
      <c r="KJC16" s="588"/>
      <c r="KJD16" s="588"/>
      <c r="KJE16" s="588"/>
      <c r="KJF16" s="588"/>
      <c r="KJG16" s="588"/>
      <c r="KJH16" s="588"/>
      <c r="KJI16" s="588"/>
      <c r="KJJ16" s="588"/>
      <c r="KJK16" s="588"/>
      <c r="KJL16" s="588"/>
      <c r="KJM16" s="588"/>
      <c r="KJN16" s="588"/>
      <c r="KJO16" s="588"/>
      <c r="KJP16" s="588"/>
      <c r="KJQ16" s="588"/>
      <c r="KJR16" s="588"/>
      <c r="KJS16" s="588"/>
      <c r="KJT16" s="588"/>
      <c r="KJU16" s="588"/>
      <c r="KJV16" s="588"/>
      <c r="KJW16" s="588"/>
      <c r="KJX16" s="588"/>
      <c r="KJY16" s="588"/>
      <c r="KJZ16" s="588"/>
      <c r="KKA16" s="588"/>
      <c r="KKB16" s="588"/>
      <c r="KKC16" s="588"/>
      <c r="KKD16" s="588"/>
      <c r="KKE16" s="588"/>
      <c r="KKF16" s="588"/>
      <c r="KKG16" s="588"/>
      <c r="KKH16" s="588"/>
      <c r="KKI16" s="588"/>
      <c r="KKJ16" s="588"/>
      <c r="KKK16" s="588"/>
      <c r="KKL16" s="588"/>
      <c r="KKM16" s="588"/>
      <c r="KKN16" s="588"/>
      <c r="KKO16" s="588"/>
      <c r="KKP16" s="588"/>
      <c r="KKQ16" s="588"/>
      <c r="KKR16" s="588"/>
      <c r="KKS16" s="588"/>
      <c r="KKT16" s="588"/>
      <c r="KKU16" s="588"/>
      <c r="KKV16" s="588"/>
      <c r="KKW16" s="588"/>
      <c r="KKX16" s="588"/>
      <c r="KKY16" s="588"/>
      <c r="KKZ16" s="588"/>
      <c r="KLA16" s="588"/>
      <c r="KLB16" s="588"/>
      <c r="KLC16" s="588"/>
      <c r="KLD16" s="588"/>
      <c r="KLE16" s="588"/>
      <c r="KLF16" s="588"/>
      <c r="KLG16" s="588"/>
      <c r="KLH16" s="588"/>
      <c r="KLI16" s="588"/>
      <c r="KLJ16" s="588"/>
      <c r="KLK16" s="588"/>
      <c r="KLL16" s="588"/>
      <c r="KLM16" s="588"/>
      <c r="KLN16" s="588"/>
      <c r="KLO16" s="588"/>
      <c r="KLP16" s="588"/>
      <c r="KLQ16" s="588"/>
      <c r="KLR16" s="588"/>
      <c r="KLS16" s="588"/>
      <c r="KLT16" s="588"/>
      <c r="KLU16" s="588"/>
      <c r="KLV16" s="588"/>
      <c r="KLW16" s="588"/>
      <c r="KLX16" s="588"/>
      <c r="KLY16" s="588"/>
      <c r="KLZ16" s="588"/>
      <c r="KMA16" s="588"/>
      <c r="KMB16" s="588"/>
      <c r="KMC16" s="588"/>
      <c r="KMD16" s="588"/>
      <c r="KME16" s="588"/>
      <c r="KMF16" s="588"/>
      <c r="KMG16" s="588"/>
      <c r="KMH16" s="588"/>
      <c r="KMI16" s="588"/>
      <c r="KMJ16" s="588"/>
      <c r="KMK16" s="588"/>
      <c r="KML16" s="588"/>
      <c r="KMM16" s="588"/>
      <c r="KMN16" s="588"/>
      <c r="KMO16" s="588"/>
      <c r="KMP16" s="588"/>
      <c r="KMQ16" s="588"/>
      <c r="KMR16" s="588"/>
      <c r="KMS16" s="588"/>
      <c r="KMT16" s="588"/>
      <c r="KMU16" s="588"/>
      <c r="KMV16" s="588"/>
      <c r="KMW16" s="588"/>
      <c r="KMX16" s="588"/>
      <c r="KMY16" s="588"/>
      <c r="KMZ16" s="588"/>
      <c r="KNA16" s="588"/>
      <c r="KNB16" s="588"/>
      <c r="KNC16" s="588"/>
      <c r="KND16" s="588"/>
      <c r="KNE16" s="588"/>
      <c r="KNF16" s="588"/>
      <c r="KNG16" s="588"/>
      <c r="KNH16" s="588"/>
      <c r="KNI16" s="588"/>
      <c r="KNJ16" s="588"/>
      <c r="KNK16" s="588"/>
      <c r="KNL16" s="588"/>
      <c r="KNM16" s="588"/>
      <c r="KNN16" s="588"/>
      <c r="KNO16" s="588"/>
      <c r="KNP16" s="588"/>
      <c r="KNQ16" s="588"/>
      <c r="KNR16" s="588"/>
      <c r="KNS16" s="588"/>
      <c r="KNT16" s="588"/>
      <c r="KNU16" s="588"/>
      <c r="KNV16" s="588"/>
      <c r="KNW16" s="588"/>
      <c r="KNX16" s="588"/>
      <c r="KNY16" s="588"/>
      <c r="KNZ16" s="588"/>
      <c r="KOA16" s="588"/>
      <c r="KOB16" s="588"/>
      <c r="KOC16" s="588"/>
      <c r="KOD16" s="588"/>
      <c r="KOE16" s="588"/>
      <c r="KOF16" s="588"/>
      <c r="KOG16" s="588"/>
      <c r="KOH16" s="588"/>
      <c r="KOI16" s="588"/>
      <c r="KOJ16" s="588"/>
      <c r="KOK16" s="588"/>
      <c r="KOL16" s="588"/>
      <c r="KOM16" s="588"/>
      <c r="KON16" s="588"/>
      <c r="KOO16" s="588"/>
      <c r="KOP16" s="588"/>
      <c r="KOQ16" s="588"/>
      <c r="KOR16" s="588"/>
      <c r="KOS16" s="588"/>
      <c r="KOT16" s="588"/>
      <c r="KOU16" s="588"/>
      <c r="KOV16" s="588"/>
      <c r="KOW16" s="588"/>
      <c r="KOX16" s="588"/>
      <c r="KOY16" s="588"/>
      <c r="KOZ16" s="588"/>
      <c r="KPA16" s="588"/>
      <c r="KPB16" s="588"/>
      <c r="KPC16" s="588"/>
      <c r="KPD16" s="588"/>
      <c r="KPE16" s="588"/>
      <c r="KPF16" s="588"/>
      <c r="KPG16" s="588"/>
      <c r="KPH16" s="588"/>
      <c r="KPI16" s="588"/>
      <c r="KPJ16" s="588"/>
      <c r="KPK16" s="588"/>
      <c r="KPL16" s="588"/>
      <c r="KPM16" s="588"/>
      <c r="KPN16" s="588"/>
      <c r="KPO16" s="588"/>
      <c r="KPP16" s="588"/>
      <c r="KPQ16" s="588"/>
      <c r="KPR16" s="588"/>
      <c r="KPS16" s="588"/>
      <c r="KPT16" s="588"/>
      <c r="KPU16" s="588"/>
      <c r="KPV16" s="588"/>
      <c r="KPW16" s="588"/>
      <c r="KPX16" s="588"/>
      <c r="KPY16" s="588"/>
      <c r="KPZ16" s="588"/>
      <c r="KQA16" s="588"/>
      <c r="KQB16" s="588"/>
      <c r="KQC16" s="588"/>
      <c r="KQD16" s="588"/>
      <c r="KQE16" s="588"/>
      <c r="KQF16" s="588"/>
      <c r="KQG16" s="588"/>
      <c r="KQH16" s="588"/>
      <c r="KQI16" s="588"/>
      <c r="KQJ16" s="588"/>
      <c r="KQK16" s="588"/>
      <c r="KQL16" s="588"/>
      <c r="KQM16" s="588"/>
      <c r="KQN16" s="588"/>
      <c r="KQO16" s="588"/>
      <c r="KQP16" s="588"/>
      <c r="KQQ16" s="588"/>
      <c r="KQR16" s="588"/>
      <c r="KQS16" s="588"/>
      <c r="KQT16" s="588"/>
      <c r="KQU16" s="588"/>
      <c r="KQV16" s="588"/>
      <c r="KQW16" s="588"/>
      <c r="KQX16" s="588"/>
      <c r="KQY16" s="588"/>
      <c r="KQZ16" s="588"/>
      <c r="KRA16" s="588"/>
      <c r="KRB16" s="588"/>
      <c r="KRC16" s="588"/>
      <c r="KRD16" s="588"/>
      <c r="KRE16" s="588"/>
      <c r="KRF16" s="588"/>
      <c r="KRG16" s="588"/>
      <c r="KRH16" s="588"/>
      <c r="KRI16" s="588"/>
      <c r="KRJ16" s="588"/>
      <c r="KRK16" s="588"/>
      <c r="KRL16" s="588"/>
      <c r="KRM16" s="588"/>
      <c r="KRN16" s="588"/>
      <c r="KRO16" s="588"/>
      <c r="KRP16" s="588"/>
      <c r="KRQ16" s="588"/>
      <c r="KRR16" s="588"/>
      <c r="KRS16" s="588"/>
      <c r="KRT16" s="588"/>
      <c r="KRU16" s="588"/>
      <c r="KRV16" s="588"/>
      <c r="KRW16" s="588"/>
      <c r="KRX16" s="588"/>
      <c r="KRY16" s="588"/>
      <c r="KRZ16" s="588"/>
      <c r="KSA16" s="588"/>
      <c r="KSB16" s="588"/>
      <c r="KSC16" s="588"/>
      <c r="KSD16" s="588"/>
      <c r="KSE16" s="588"/>
      <c r="KSF16" s="588"/>
      <c r="KSG16" s="588"/>
      <c r="KSH16" s="588"/>
      <c r="KSI16" s="588"/>
      <c r="KSJ16" s="588"/>
      <c r="KSK16" s="588"/>
      <c r="KSL16" s="588"/>
      <c r="KSM16" s="588"/>
      <c r="KSN16" s="588"/>
      <c r="KSO16" s="588"/>
      <c r="KSP16" s="588"/>
      <c r="KSQ16" s="588"/>
      <c r="KSR16" s="588"/>
      <c r="KSS16" s="588"/>
      <c r="KST16" s="588"/>
      <c r="KSU16" s="588"/>
      <c r="KSV16" s="588"/>
      <c r="KSW16" s="588"/>
      <c r="KSX16" s="588"/>
      <c r="KSY16" s="588"/>
      <c r="KSZ16" s="588"/>
      <c r="KTA16" s="588"/>
      <c r="KTB16" s="588"/>
      <c r="KTC16" s="588"/>
      <c r="KTD16" s="588"/>
      <c r="KTE16" s="588"/>
      <c r="KTF16" s="588"/>
      <c r="KTG16" s="588"/>
      <c r="KTH16" s="588"/>
      <c r="KTI16" s="588"/>
      <c r="KTJ16" s="588"/>
      <c r="KTK16" s="588"/>
      <c r="KTL16" s="588"/>
      <c r="KTM16" s="588"/>
      <c r="KTN16" s="588"/>
      <c r="KTO16" s="588"/>
      <c r="KTP16" s="588"/>
      <c r="KTQ16" s="588"/>
      <c r="KTR16" s="588"/>
      <c r="KTS16" s="588"/>
      <c r="KTT16" s="588"/>
      <c r="KTU16" s="588"/>
      <c r="KTV16" s="588"/>
      <c r="KTW16" s="588"/>
      <c r="KTX16" s="588"/>
      <c r="KTY16" s="588"/>
      <c r="KTZ16" s="588"/>
      <c r="KUA16" s="588"/>
      <c r="KUB16" s="588"/>
      <c r="KUC16" s="588"/>
      <c r="KUD16" s="588"/>
      <c r="KUE16" s="588"/>
      <c r="KUF16" s="588"/>
      <c r="KUG16" s="588"/>
      <c r="KUH16" s="588"/>
      <c r="KUI16" s="588"/>
      <c r="KUJ16" s="588"/>
      <c r="KUK16" s="588"/>
      <c r="KUL16" s="588"/>
      <c r="KUM16" s="588"/>
      <c r="KUN16" s="588"/>
      <c r="KUO16" s="588"/>
      <c r="KUP16" s="588"/>
      <c r="KUQ16" s="588"/>
      <c r="KUR16" s="588"/>
      <c r="KUS16" s="588"/>
      <c r="KUT16" s="588"/>
      <c r="KUU16" s="588"/>
      <c r="KUV16" s="588"/>
      <c r="KUW16" s="588"/>
      <c r="KUX16" s="588"/>
      <c r="KUY16" s="588"/>
      <c r="KUZ16" s="588"/>
      <c r="KVA16" s="588"/>
      <c r="KVB16" s="588"/>
      <c r="KVC16" s="588"/>
      <c r="KVD16" s="588"/>
      <c r="KVE16" s="588"/>
      <c r="KVF16" s="588"/>
      <c r="KVG16" s="588"/>
      <c r="KVH16" s="588"/>
      <c r="KVI16" s="588"/>
      <c r="KVJ16" s="588"/>
      <c r="KVK16" s="588"/>
      <c r="KVL16" s="588"/>
      <c r="KVM16" s="588"/>
      <c r="KVN16" s="588"/>
      <c r="KVO16" s="588"/>
      <c r="KVP16" s="588"/>
      <c r="KVQ16" s="588"/>
      <c r="KVR16" s="588"/>
      <c r="KVS16" s="588"/>
      <c r="KVT16" s="588"/>
      <c r="KVU16" s="588"/>
      <c r="KVV16" s="588"/>
      <c r="KVW16" s="588"/>
      <c r="KVX16" s="588"/>
      <c r="KVY16" s="588"/>
      <c r="KVZ16" s="588"/>
      <c r="KWA16" s="588"/>
      <c r="KWB16" s="588"/>
      <c r="KWC16" s="588"/>
      <c r="KWD16" s="588"/>
      <c r="KWE16" s="588"/>
      <c r="KWF16" s="588"/>
      <c r="KWG16" s="588"/>
      <c r="KWH16" s="588"/>
      <c r="KWI16" s="588"/>
      <c r="KWJ16" s="588"/>
      <c r="KWK16" s="588"/>
      <c r="KWL16" s="588"/>
      <c r="KWM16" s="588"/>
      <c r="KWN16" s="588"/>
      <c r="KWO16" s="588"/>
      <c r="KWP16" s="588"/>
      <c r="KWQ16" s="588"/>
      <c r="KWR16" s="588"/>
      <c r="KWS16" s="588"/>
      <c r="KWT16" s="588"/>
      <c r="KWU16" s="588"/>
      <c r="KWV16" s="588"/>
      <c r="KWW16" s="588"/>
      <c r="KWX16" s="588"/>
      <c r="KWY16" s="588"/>
      <c r="KWZ16" s="588"/>
      <c r="KXA16" s="588"/>
      <c r="KXB16" s="588"/>
      <c r="KXC16" s="588"/>
      <c r="KXD16" s="588"/>
      <c r="KXE16" s="588"/>
      <c r="KXF16" s="588"/>
      <c r="KXG16" s="588"/>
      <c r="KXH16" s="588"/>
      <c r="KXI16" s="588"/>
      <c r="KXJ16" s="588"/>
      <c r="KXK16" s="588"/>
      <c r="KXL16" s="588"/>
      <c r="KXM16" s="588"/>
      <c r="KXN16" s="588"/>
      <c r="KXO16" s="588"/>
      <c r="KXP16" s="588"/>
      <c r="KXQ16" s="588"/>
      <c r="KXR16" s="588"/>
      <c r="KXS16" s="588"/>
      <c r="KXT16" s="588"/>
      <c r="KXU16" s="588"/>
      <c r="KXV16" s="588"/>
      <c r="KXW16" s="588"/>
      <c r="KXX16" s="588"/>
      <c r="KXY16" s="588"/>
      <c r="KXZ16" s="588"/>
      <c r="KYA16" s="588"/>
      <c r="KYB16" s="588"/>
      <c r="KYC16" s="588"/>
      <c r="KYD16" s="588"/>
      <c r="KYE16" s="588"/>
      <c r="KYF16" s="588"/>
      <c r="KYG16" s="588"/>
      <c r="KYH16" s="588"/>
      <c r="KYI16" s="588"/>
      <c r="KYJ16" s="588"/>
      <c r="KYK16" s="588"/>
      <c r="KYL16" s="588"/>
      <c r="KYM16" s="588"/>
      <c r="KYN16" s="588"/>
      <c r="KYO16" s="588"/>
      <c r="KYP16" s="588"/>
      <c r="KYQ16" s="588"/>
      <c r="KYR16" s="588"/>
      <c r="KYS16" s="588"/>
      <c r="KYT16" s="588"/>
      <c r="KYU16" s="588"/>
      <c r="KYV16" s="588"/>
      <c r="KYW16" s="588"/>
      <c r="KYX16" s="588"/>
      <c r="KYY16" s="588"/>
      <c r="KYZ16" s="588"/>
      <c r="KZA16" s="588"/>
      <c r="KZB16" s="588"/>
      <c r="KZC16" s="588"/>
      <c r="KZD16" s="588"/>
      <c r="KZE16" s="588"/>
      <c r="KZF16" s="588"/>
      <c r="KZG16" s="588"/>
      <c r="KZH16" s="588"/>
      <c r="KZI16" s="588"/>
      <c r="KZJ16" s="588"/>
      <c r="KZK16" s="588"/>
      <c r="KZL16" s="588"/>
      <c r="KZM16" s="588"/>
      <c r="KZN16" s="588"/>
      <c r="KZO16" s="588"/>
      <c r="KZP16" s="588"/>
      <c r="KZQ16" s="588"/>
      <c r="KZR16" s="588"/>
      <c r="KZS16" s="588"/>
      <c r="KZT16" s="588"/>
      <c r="KZU16" s="588"/>
      <c r="KZV16" s="588"/>
      <c r="KZW16" s="588"/>
      <c r="KZX16" s="588"/>
      <c r="KZY16" s="588"/>
      <c r="KZZ16" s="588"/>
      <c r="LAA16" s="588"/>
      <c r="LAB16" s="588"/>
      <c r="LAC16" s="588"/>
      <c r="LAD16" s="588"/>
      <c r="LAE16" s="588"/>
      <c r="LAF16" s="588"/>
      <c r="LAG16" s="588"/>
      <c r="LAH16" s="588"/>
      <c r="LAI16" s="588"/>
      <c r="LAJ16" s="588"/>
      <c r="LAK16" s="588"/>
      <c r="LAL16" s="588"/>
      <c r="LAM16" s="588"/>
      <c r="LAN16" s="588"/>
      <c r="LAO16" s="588"/>
      <c r="LAP16" s="588"/>
      <c r="LAQ16" s="588"/>
      <c r="LAR16" s="588"/>
      <c r="LAS16" s="588"/>
      <c r="LAT16" s="588"/>
      <c r="LAU16" s="588"/>
      <c r="LAV16" s="588"/>
      <c r="LAW16" s="588"/>
      <c r="LAX16" s="588"/>
      <c r="LAY16" s="588"/>
      <c r="LAZ16" s="588"/>
      <c r="LBA16" s="588"/>
      <c r="LBB16" s="588"/>
      <c r="LBC16" s="588"/>
      <c r="LBD16" s="588"/>
      <c r="LBE16" s="588"/>
      <c r="LBF16" s="588"/>
      <c r="LBG16" s="588"/>
      <c r="LBH16" s="588"/>
      <c r="LBI16" s="588"/>
      <c r="LBJ16" s="588"/>
      <c r="LBK16" s="588"/>
      <c r="LBL16" s="588"/>
      <c r="LBM16" s="588"/>
      <c r="LBN16" s="588"/>
      <c r="LBO16" s="588"/>
      <c r="LBP16" s="588"/>
      <c r="LBQ16" s="588"/>
      <c r="LBR16" s="588"/>
      <c r="LBS16" s="588"/>
      <c r="LBT16" s="588"/>
      <c r="LBU16" s="588"/>
      <c r="LBV16" s="588"/>
      <c r="LBW16" s="588"/>
      <c r="LBX16" s="588"/>
      <c r="LBY16" s="588"/>
      <c r="LBZ16" s="588"/>
      <c r="LCA16" s="588"/>
      <c r="LCB16" s="588"/>
      <c r="LCC16" s="588"/>
      <c r="LCD16" s="588"/>
      <c r="LCE16" s="588"/>
      <c r="LCF16" s="588"/>
      <c r="LCG16" s="588"/>
      <c r="LCH16" s="588"/>
      <c r="LCI16" s="588"/>
      <c r="LCJ16" s="588"/>
      <c r="LCK16" s="588"/>
      <c r="LCL16" s="588"/>
      <c r="LCM16" s="588"/>
      <c r="LCN16" s="588"/>
      <c r="LCO16" s="588"/>
      <c r="LCP16" s="588"/>
      <c r="LCQ16" s="588"/>
      <c r="LCR16" s="588"/>
      <c r="LCS16" s="588"/>
      <c r="LCT16" s="588"/>
      <c r="LCU16" s="588"/>
      <c r="LCV16" s="588"/>
      <c r="LCW16" s="588"/>
      <c r="LCX16" s="588"/>
      <c r="LCY16" s="588"/>
      <c r="LCZ16" s="588"/>
      <c r="LDA16" s="588"/>
      <c r="LDB16" s="588"/>
      <c r="LDC16" s="588"/>
      <c r="LDD16" s="588"/>
      <c r="LDE16" s="588"/>
      <c r="LDF16" s="588"/>
      <c r="LDG16" s="588"/>
      <c r="LDH16" s="588"/>
      <c r="LDI16" s="588"/>
      <c r="LDJ16" s="588"/>
      <c r="LDK16" s="588"/>
      <c r="LDL16" s="588"/>
      <c r="LDM16" s="588"/>
      <c r="LDN16" s="588"/>
      <c r="LDO16" s="588"/>
      <c r="LDP16" s="588"/>
      <c r="LDQ16" s="588"/>
      <c r="LDR16" s="588"/>
      <c r="LDS16" s="588"/>
      <c r="LDT16" s="588"/>
      <c r="LDU16" s="588"/>
      <c r="LDV16" s="588"/>
      <c r="LDW16" s="588"/>
      <c r="LDX16" s="588"/>
      <c r="LDY16" s="588"/>
      <c r="LDZ16" s="588"/>
      <c r="LEA16" s="588"/>
      <c r="LEB16" s="588"/>
      <c r="LEC16" s="588"/>
      <c r="LED16" s="588"/>
      <c r="LEE16" s="588"/>
      <c r="LEF16" s="588"/>
      <c r="LEG16" s="588"/>
      <c r="LEH16" s="588"/>
      <c r="LEI16" s="588"/>
      <c r="LEJ16" s="588"/>
      <c r="LEK16" s="588"/>
      <c r="LEL16" s="588"/>
      <c r="LEM16" s="588"/>
      <c r="LEN16" s="588"/>
      <c r="LEO16" s="588"/>
      <c r="LEP16" s="588"/>
      <c r="LEQ16" s="588"/>
      <c r="LER16" s="588"/>
      <c r="LES16" s="588"/>
      <c r="LET16" s="588"/>
      <c r="LEU16" s="588"/>
      <c r="LEV16" s="588"/>
      <c r="LEW16" s="588"/>
      <c r="LEX16" s="588"/>
      <c r="LEY16" s="588"/>
      <c r="LEZ16" s="588"/>
      <c r="LFA16" s="588"/>
      <c r="LFB16" s="588"/>
      <c r="LFC16" s="588"/>
      <c r="LFD16" s="588"/>
      <c r="LFE16" s="588"/>
      <c r="LFF16" s="588"/>
      <c r="LFG16" s="588"/>
      <c r="LFH16" s="588"/>
      <c r="LFI16" s="588"/>
      <c r="LFJ16" s="588"/>
      <c r="LFK16" s="588"/>
      <c r="LFL16" s="588"/>
      <c r="LFM16" s="588"/>
      <c r="LFN16" s="588"/>
      <c r="LFO16" s="588"/>
      <c r="LFP16" s="588"/>
      <c r="LFQ16" s="588"/>
      <c r="LFR16" s="588"/>
      <c r="LFS16" s="588"/>
      <c r="LFT16" s="588"/>
      <c r="LFU16" s="588"/>
      <c r="LFV16" s="588"/>
      <c r="LFW16" s="588"/>
      <c r="LFX16" s="588"/>
      <c r="LFY16" s="588"/>
      <c r="LFZ16" s="588"/>
      <c r="LGA16" s="588"/>
      <c r="LGB16" s="588"/>
      <c r="LGC16" s="588"/>
      <c r="LGD16" s="588"/>
      <c r="LGE16" s="588"/>
      <c r="LGF16" s="588"/>
      <c r="LGG16" s="588"/>
      <c r="LGH16" s="588"/>
      <c r="LGI16" s="588"/>
      <c r="LGJ16" s="588"/>
      <c r="LGK16" s="588"/>
      <c r="LGL16" s="588"/>
      <c r="LGM16" s="588"/>
      <c r="LGN16" s="588"/>
      <c r="LGO16" s="588"/>
      <c r="LGP16" s="588"/>
      <c r="LGQ16" s="588"/>
      <c r="LGR16" s="588"/>
      <c r="LGS16" s="588"/>
      <c r="LGT16" s="588"/>
      <c r="LGU16" s="588"/>
      <c r="LGV16" s="588"/>
      <c r="LGW16" s="588"/>
      <c r="LGX16" s="588"/>
      <c r="LGY16" s="588"/>
      <c r="LGZ16" s="588"/>
      <c r="LHA16" s="588"/>
      <c r="LHB16" s="588"/>
      <c r="LHC16" s="588"/>
      <c r="LHD16" s="588"/>
      <c r="LHE16" s="588"/>
      <c r="LHF16" s="588"/>
      <c r="LHG16" s="588"/>
      <c r="LHH16" s="588"/>
      <c r="LHI16" s="588"/>
      <c r="LHJ16" s="588"/>
      <c r="LHK16" s="588"/>
      <c r="LHL16" s="588"/>
      <c r="LHM16" s="588"/>
      <c r="LHN16" s="588"/>
      <c r="LHO16" s="588"/>
      <c r="LHP16" s="588"/>
      <c r="LHQ16" s="588"/>
      <c r="LHR16" s="588"/>
      <c r="LHS16" s="588"/>
      <c r="LHT16" s="588"/>
      <c r="LHU16" s="588"/>
      <c r="LHV16" s="588"/>
      <c r="LHW16" s="588"/>
      <c r="LHX16" s="588"/>
      <c r="LHY16" s="588"/>
      <c r="LHZ16" s="588"/>
      <c r="LIA16" s="588"/>
      <c r="LIB16" s="588"/>
      <c r="LIC16" s="588"/>
      <c r="LID16" s="588"/>
      <c r="LIE16" s="588"/>
      <c r="LIF16" s="588"/>
      <c r="LIG16" s="588"/>
      <c r="LIH16" s="588"/>
      <c r="LII16" s="588"/>
      <c r="LIJ16" s="588"/>
      <c r="LIK16" s="588"/>
      <c r="LIL16" s="588"/>
      <c r="LIM16" s="588"/>
      <c r="LIN16" s="588"/>
      <c r="LIO16" s="588"/>
      <c r="LIP16" s="588"/>
      <c r="LIQ16" s="588"/>
      <c r="LIR16" s="588"/>
      <c r="LIS16" s="588"/>
      <c r="LIT16" s="588"/>
      <c r="LIU16" s="588"/>
      <c r="LIV16" s="588"/>
      <c r="LIW16" s="588"/>
      <c r="LIX16" s="588"/>
      <c r="LIY16" s="588"/>
      <c r="LIZ16" s="588"/>
      <c r="LJA16" s="588"/>
      <c r="LJB16" s="588"/>
      <c r="LJC16" s="588"/>
      <c r="LJD16" s="588"/>
      <c r="LJE16" s="588"/>
      <c r="LJF16" s="588"/>
      <c r="LJG16" s="588"/>
      <c r="LJH16" s="588"/>
      <c r="LJI16" s="588"/>
      <c r="LJJ16" s="588"/>
      <c r="LJK16" s="588"/>
      <c r="LJL16" s="588"/>
      <c r="LJM16" s="588"/>
      <c r="LJN16" s="588"/>
      <c r="LJO16" s="588"/>
      <c r="LJP16" s="588"/>
      <c r="LJQ16" s="588"/>
      <c r="LJR16" s="588"/>
      <c r="LJS16" s="588"/>
      <c r="LJT16" s="588"/>
      <c r="LJU16" s="588"/>
      <c r="LJV16" s="588"/>
      <c r="LJW16" s="588"/>
      <c r="LJX16" s="588"/>
      <c r="LJY16" s="588"/>
      <c r="LJZ16" s="588"/>
      <c r="LKA16" s="588"/>
      <c r="LKB16" s="588"/>
      <c r="LKC16" s="588"/>
      <c r="LKD16" s="588"/>
      <c r="LKE16" s="588"/>
      <c r="LKF16" s="588"/>
      <c r="LKG16" s="588"/>
      <c r="LKH16" s="588"/>
      <c r="LKI16" s="588"/>
      <c r="LKJ16" s="588"/>
      <c r="LKK16" s="588"/>
      <c r="LKL16" s="588"/>
      <c r="LKM16" s="588"/>
      <c r="LKN16" s="588"/>
      <c r="LKO16" s="588"/>
      <c r="LKP16" s="588"/>
      <c r="LKQ16" s="588"/>
      <c r="LKR16" s="588"/>
      <c r="LKS16" s="588"/>
      <c r="LKT16" s="588"/>
      <c r="LKU16" s="588"/>
      <c r="LKV16" s="588"/>
      <c r="LKW16" s="588"/>
      <c r="LKX16" s="588"/>
      <c r="LKY16" s="588"/>
      <c r="LKZ16" s="588"/>
      <c r="LLA16" s="588"/>
      <c r="LLB16" s="588"/>
      <c r="LLC16" s="588"/>
      <c r="LLD16" s="588"/>
      <c r="LLE16" s="588"/>
      <c r="LLF16" s="588"/>
      <c r="LLG16" s="588"/>
      <c r="LLH16" s="588"/>
      <c r="LLI16" s="588"/>
      <c r="LLJ16" s="588"/>
      <c r="LLK16" s="588"/>
      <c r="LLL16" s="588"/>
      <c r="LLM16" s="588"/>
      <c r="LLN16" s="588"/>
      <c r="LLO16" s="588"/>
      <c r="LLP16" s="588"/>
      <c r="LLQ16" s="588"/>
      <c r="LLR16" s="588"/>
      <c r="LLS16" s="588"/>
      <c r="LLT16" s="588"/>
      <c r="LLU16" s="588"/>
      <c r="LLV16" s="588"/>
      <c r="LLW16" s="588"/>
      <c r="LLX16" s="588"/>
      <c r="LLY16" s="588"/>
      <c r="LLZ16" s="588"/>
      <c r="LMA16" s="588"/>
      <c r="LMB16" s="588"/>
      <c r="LMC16" s="588"/>
      <c r="LMD16" s="588"/>
      <c r="LME16" s="588"/>
      <c r="LMF16" s="588"/>
      <c r="LMG16" s="588"/>
      <c r="LMH16" s="588"/>
      <c r="LMI16" s="588"/>
      <c r="LMJ16" s="588"/>
      <c r="LMK16" s="588"/>
      <c r="LML16" s="588"/>
      <c r="LMM16" s="588"/>
      <c r="LMN16" s="588"/>
      <c r="LMO16" s="588"/>
      <c r="LMP16" s="588"/>
      <c r="LMQ16" s="588"/>
      <c r="LMR16" s="588"/>
      <c r="LMS16" s="588"/>
      <c r="LMT16" s="588"/>
      <c r="LMU16" s="588"/>
      <c r="LMV16" s="588"/>
      <c r="LMW16" s="588"/>
      <c r="LMX16" s="588"/>
      <c r="LMY16" s="588"/>
      <c r="LMZ16" s="588"/>
      <c r="LNA16" s="588"/>
      <c r="LNB16" s="588"/>
      <c r="LNC16" s="588"/>
      <c r="LND16" s="588"/>
      <c r="LNE16" s="588"/>
      <c r="LNF16" s="588"/>
      <c r="LNG16" s="588"/>
      <c r="LNH16" s="588"/>
      <c r="LNI16" s="588"/>
      <c r="LNJ16" s="588"/>
      <c r="LNK16" s="588"/>
      <c r="LNL16" s="588"/>
      <c r="LNM16" s="588"/>
      <c r="LNN16" s="588"/>
      <c r="LNO16" s="588"/>
      <c r="LNP16" s="588"/>
      <c r="LNQ16" s="588"/>
      <c r="LNR16" s="588"/>
      <c r="LNS16" s="588"/>
      <c r="LNT16" s="588"/>
      <c r="LNU16" s="588"/>
      <c r="LNV16" s="588"/>
      <c r="LNW16" s="588"/>
      <c r="LNX16" s="588"/>
      <c r="LNY16" s="588"/>
      <c r="LNZ16" s="588"/>
      <c r="LOA16" s="588"/>
      <c r="LOB16" s="588"/>
      <c r="LOC16" s="588"/>
      <c r="LOD16" s="588"/>
      <c r="LOE16" s="588"/>
      <c r="LOF16" s="588"/>
      <c r="LOG16" s="588"/>
      <c r="LOH16" s="588"/>
      <c r="LOI16" s="588"/>
      <c r="LOJ16" s="588"/>
      <c r="LOK16" s="588"/>
      <c r="LOL16" s="588"/>
      <c r="LOM16" s="588"/>
      <c r="LON16" s="588"/>
      <c r="LOO16" s="588"/>
      <c r="LOP16" s="588"/>
      <c r="LOQ16" s="588"/>
      <c r="LOR16" s="588"/>
      <c r="LOS16" s="588"/>
      <c r="LOT16" s="588"/>
      <c r="LOU16" s="588"/>
      <c r="LOV16" s="588"/>
      <c r="LOW16" s="588"/>
      <c r="LOX16" s="588"/>
      <c r="LOY16" s="588"/>
      <c r="LOZ16" s="588"/>
      <c r="LPA16" s="588"/>
      <c r="LPB16" s="588"/>
      <c r="LPC16" s="588"/>
      <c r="LPD16" s="588"/>
      <c r="LPE16" s="588"/>
      <c r="LPF16" s="588"/>
      <c r="LPG16" s="588"/>
      <c r="LPH16" s="588"/>
      <c r="LPI16" s="588"/>
      <c r="LPJ16" s="588"/>
      <c r="LPK16" s="588"/>
      <c r="LPL16" s="588"/>
      <c r="LPM16" s="588"/>
      <c r="LPN16" s="588"/>
      <c r="LPO16" s="588"/>
      <c r="LPP16" s="588"/>
      <c r="LPQ16" s="588"/>
      <c r="LPR16" s="588"/>
      <c r="LPS16" s="588"/>
      <c r="LPT16" s="588"/>
      <c r="LPU16" s="588"/>
      <c r="LPV16" s="588"/>
      <c r="LPW16" s="588"/>
      <c r="LPX16" s="588"/>
      <c r="LPY16" s="588"/>
      <c r="LPZ16" s="588"/>
      <c r="LQA16" s="588"/>
      <c r="LQB16" s="588"/>
      <c r="LQC16" s="588"/>
      <c r="LQD16" s="588"/>
      <c r="LQE16" s="588"/>
      <c r="LQF16" s="588"/>
      <c r="LQG16" s="588"/>
      <c r="LQH16" s="588"/>
      <c r="LQI16" s="588"/>
      <c r="LQJ16" s="588"/>
      <c r="LQK16" s="588"/>
      <c r="LQL16" s="588"/>
      <c r="LQM16" s="588"/>
      <c r="LQN16" s="588"/>
      <c r="LQO16" s="588"/>
      <c r="LQP16" s="588"/>
      <c r="LQQ16" s="588"/>
      <c r="LQR16" s="588"/>
      <c r="LQS16" s="588"/>
      <c r="LQT16" s="588"/>
      <c r="LQU16" s="588"/>
      <c r="LQV16" s="588"/>
      <c r="LQW16" s="588"/>
      <c r="LQX16" s="588"/>
      <c r="LQY16" s="588"/>
      <c r="LQZ16" s="588"/>
      <c r="LRA16" s="588"/>
      <c r="LRB16" s="588"/>
      <c r="LRC16" s="588"/>
      <c r="LRD16" s="588"/>
      <c r="LRE16" s="588"/>
      <c r="LRF16" s="588"/>
      <c r="LRG16" s="588"/>
      <c r="LRH16" s="588"/>
      <c r="LRI16" s="588"/>
      <c r="LRJ16" s="588"/>
      <c r="LRK16" s="588"/>
      <c r="LRL16" s="588"/>
      <c r="LRM16" s="588"/>
      <c r="LRN16" s="588"/>
      <c r="LRO16" s="588"/>
      <c r="LRP16" s="588"/>
      <c r="LRQ16" s="588"/>
      <c r="LRR16" s="588"/>
      <c r="LRS16" s="588"/>
      <c r="LRT16" s="588"/>
      <c r="LRU16" s="588"/>
      <c r="LRV16" s="588"/>
      <c r="LRW16" s="588"/>
      <c r="LRX16" s="588"/>
      <c r="LRY16" s="588"/>
      <c r="LRZ16" s="588"/>
      <c r="LSA16" s="588"/>
      <c r="LSB16" s="588"/>
      <c r="LSC16" s="588"/>
      <c r="LSD16" s="588"/>
      <c r="LSE16" s="588"/>
      <c r="LSF16" s="588"/>
      <c r="LSG16" s="588"/>
      <c r="LSH16" s="588"/>
      <c r="LSI16" s="588"/>
      <c r="LSJ16" s="588"/>
      <c r="LSK16" s="588"/>
      <c r="LSL16" s="588"/>
      <c r="LSM16" s="588"/>
      <c r="LSN16" s="588"/>
      <c r="LSO16" s="588"/>
      <c r="LSP16" s="588"/>
      <c r="LSQ16" s="588"/>
      <c r="LSR16" s="588"/>
      <c r="LSS16" s="588"/>
      <c r="LST16" s="588"/>
      <c r="LSU16" s="588"/>
      <c r="LSV16" s="588"/>
      <c r="LSW16" s="588"/>
      <c r="LSX16" s="588"/>
      <c r="LSY16" s="588"/>
      <c r="LSZ16" s="588"/>
      <c r="LTA16" s="588"/>
      <c r="LTB16" s="588"/>
      <c r="LTC16" s="588"/>
      <c r="LTD16" s="588"/>
      <c r="LTE16" s="588"/>
      <c r="LTF16" s="588"/>
      <c r="LTG16" s="588"/>
      <c r="LTH16" s="588"/>
      <c r="LTI16" s="588"/>
      <c r="LTJ16" s="588"/>
      <c r="LTK16" s="588"/>
      <c r="LTL16" s="588"/>
      <c r="LTM16" s="588"/>
      <c r="LTN16" s="588"/>
      <c r="LTO16" s="588"/>
      <c r="LTP16" s="588"/>
      <c r="LTQ16" s="588"/>
      <c r="LTR16" s="588"/>
      <c r="LTS16" s="588"/>
      <c r="LTT16" s="588"/>
      <c r="LTU16" s="588"/>
      <c r="LTV16" s="588"/>
      <c r="LTW16" s="588"/>
      <c r="LTX16" s="588"/>
      <c r="LTY16" s="588"/>
      <c r="LTZ16" s="588"/>
      <c r="LUA16" s="588"/>
      <c r="LUB16" s="588"/>
      <c r="LUC16" s="588"/>
      <c r="LUD16" s="588"/>
      <c r="LUE16" s="588"/>
      <c r="LUF16" s="588"/>
      <c r="LUG16" s="588"/>
      <c r="LUH16" s="588"/>
      <c r="LUI16" s="588"/>
      <c r="LUJ16" s="588"/>
      <c r="LUK16" s="588"/>
      <c r="LUL16" s="588"/>
      <c r="LUM16" s="588"/>
      <c r="LUN16" s="588"/>
      <c r="LUO16" s="588"/>
      <c r="LUP16" s="588"/>
      <c r="LUQ16" s="588"/>
      <c r="LUR16" s="588"/>
      <c r="LUS16" s="588"/>
      <c r="LUT16" s="588"/>
      <c r="LUU16" s="588"/>
      <c r="LUV16" s="588"/>
      <c r="LUW16" s="588"/>
      <c r="LUX16" s="588"/>
      <c r="LUY16" s="588"/>
      <c r="LUZ16" s="588"/>
      <c r="LVA16" s="588"/>
      <c r="LVB16" s="588"/>
      <c r="LVC16" s="588"/>
      <c r="LVD16" s="588"/>
      <c r="LVE16" s="588"/>
      <c r="LVF16" s="588"/>
      <c r="LVG16" s="588"/>
      <c r="LVH16" s="588"/>
      <c r="LVI16" s="588"/>
      <c r="LVJ16" s="588"/>
      <c r="LVK16" s="588"/>
      <c r="LVL16" s="588"/>
      <c r="LVM16" s="588"/>
      <c r="LVN16" s="588"/>
      <c r="LVO16" s="588"/>
      <c r="LVP16" s="588"/>
      <c r="LVQ16" s="588"/>
      <c r="LVR16" s="588"/>
      <c r="LVS16" s="588"/>
      <c r="LVT16" s="588"/>
      <c r="LVU16" s="588"/>
      <c r="LVV16" s="588"/>
      <c r="LVW16" s="588"/>
      <c r="LVX16" s="588"/>
      <c r="LVY16" s="588"/>
      <c r="LVZ16" s="588"/>
      <c r="LWA16" s="588"/>
      <c r="LWB16" s="588"/>
      <c r="LWC16" s="588"/>
      <c r="LWD16" s="588"/>
      <c r="LWE16" s="588"/>
      <c r="LWF16" s="588"/>
      <c r="LWG16" s="588"/>
      <c r="LWH16" s="588"/>
      <c r="LWI16" s="588"/>
      <c r="LWJ16" s="588"/>
      <c r="LWK16" s="588"/>
      <c r="LWL16" s="588"/>
      <c r="LWM16" s="588"/>
      <c r="LWN16" s="588"/>
      <c r="LWO16" s="588"/>
      <c r="LWP16" s="588"/>
      <c r="LWQ16" s="588"/>
      <c r="LWR16" s="588"/>
      <c r="LWS16" s="588"/>
      <c r="LWT16" s="588"/>
      <c r="LWU16" s="588"/>
      <c r="LWV16" s="588"/>
      <c r="LWW16" s="588"/>
      <c r="LWX16" s="588"/>
      <c r="LWY16" s="588"/>
      <c r="LWZ16" s="588"/>
      <c r="LXA16" s="588"/>
      <c r="LXB16" s="588"/>
      <c r="LXC16" s="588"/>
      <c r="LXD16" s="588"/>
      <c r="LXE16" s="588"/>
      <c r="LXF16" s="588"/>
      <c r="LXG16" s="588"/>
      <c r="LXH16" s="588"/>
      <c r="LXI16" s="588"/>
      <c r="LXJ16" s="588"/>
      <c r="LXK16" s="588"/>
      <c r="LXL16" s="588"/>
      <c r="LXM16" s="588"/>
      <c r="LXN16" s="588"/>
      <c r="LXO16" s="588"/>
      <c r="LXP16" s="588"/>
      <c r="LXQ16" s="588"/>
      <c r="LXR16" s="588"/>
      <c r="LXS16" s="588"/>
      <c r="LXT16" s="588"/>
      <c r="LXU16" s="588"/>
      <c r="LXV16" s="588"/>
      <c r="LXW16" s="588"/>
      <c r="LXX16" s="588"/>
      <c r="LXY16" s="588"/>
      <c r="LXZ16" s="588"/>
      <c r="LYA16" s="588"/>
      <c r="LYB16" s="588"/>
      <c r="LYC16" s="588"/>
      <c r="LYD16" s="588"/>
      <c r="LYE16" s="588"/>
      <c r="LYF16" s="588"/>
      <c r="LYG16" s="588"/>
      <c r="LYH16" s="588"/>
      <c r="LYI16" s="588"/>
      <c r="LYJ16" s="588"/>
      <c r="LYK16" s="588"/>
      <c r="LYL16" s="588"/>
      <c r="LYM16" s="588"/>
      <c r="LYN16" s="588"/>
      <c r="LYO16" s="588"/>
      <c r="LYP16" s="588"/>
      <c r="LYQ16" s="588"/>
      <c r="LYR16" s="588"/>
      <c r="LYS16" s="588"/>
      <c r="LYT16" s="588"/>
      <c r="LYU16" s="588"/>
      <c r="LYV16" s="588"/>
      <c r="LYW16" s="588"/>
      <c r="LYX16" s="588"/>
      <c r="LYY16" s="588"/>
      <c r="LYZ16" s="588"/>
      <c r="LZA16" s="588"/>
      <c r="LZB16" s="588"/>
      <c r="LZC16" s="588"/>
      <c r="LZD16" s="588"/>
      <c r="LZE16" s="588"/>
      <c r="LZF16" s="588"/>
      <c r="LZG16" s="588"/>
      <c r="LZH16" s="588"/>
      <c r="LZI16" s="588"/>
      <c r="LZJ16" s="588"/>
      <c r="LZK16" s="588"/>
      <c r="LZL16" s="588"/>
      <c r="LZM16" s="588"/>
      <c r="LZN16" s="588"/>
      <c r="LZO16" s="588"/>
      <c r="LZP16" s="588"/>
      <c r="LZQ16" s="588"/>
      <c r="LZR16" s="588"/>
      <c r="LZS16" s="588"/>
      <c r="LZT16" s="588"/>
      <c r="LZU16" s="588"/>
      <c r="LZV16" s="588"/>
      <c r="LZW16" s="588"/>
      <c r="LZX16" s="588"/>
      <c r="LZY16" s="588"/>
      <c r="LZZ16" s="588"/>
      <c r="MAA16" s="588"/>
      <c r="MAB16" s="588"/>
      <c r="MAC16" s="588"/>
      <c r="MAD16" s="588"/>
      <c r="MAE16" s="588"/>
      <c r="MAF16" s="588"/>
      <c r="MAG16" s="588"/>
      <c r="MAH16" s="588"/>
      <c r="MAI16" s="588"/>
      <c r="MAJ16" s="588"/>
      <c r="MAK16" s="588"/>
      <c r="MAL16" s="588"/>
      <c r="MAM16" s="588"/>
      <c r="MAN16" s="588"/>
      <c r="MAO16" s="588"/>
      <c r="MAP16" s="588"/>
      <c r="MAQ16" s="588"/>
      <c r="MAR16" s="588"/>
      <c r="MAS16" s="588"/>
      <c r="MAT16" s="588"/>
      <c r="MAU16" s="588"/>
      <c r="MAV16" s="588"/>
      <c r="MAW16" s="588"/>
      <c r="MAX16" s="588"/>
      <c r="MAY16" s="588"/>
      <c r="MAZ16" s="588"/>
      <c r="MBA16" s="588"/>
      <c r="MBB16" s="588"/>
      <c r="MBC16" s="588"/>
      <c r="MBD16" s="588"/>
      <c r="MBE16" s="588"/>
      <c r="MBF16" s="588"/>
      <c r="MBG16" s="588"/>
      <c r="MBH16" s="588"/>
      <c r="MBI16" s="588"/>
      <c r="MBJ16" s="588"/>
      <c r="MBK16" s="588"/>
      <c r="MBL16" s="588"/>
      <c r="MBM16" s="588"/>
      <c r="MBN16" s="588"/>
      <c r="MBO16" s="588"/>
      <c r="MBP16" s="588"/>
      <c r="MBQ16" s="588"/>
      <c r="MBR16" s="588"/>
      <c r="MBS16" s="588"/>
      <c r="MBT16" s="588"/>
      <c r="MBU16" s="588"/>
      <c r="MBV16" s="588"/>
      <c r="MBW16" s="588"/>
      <c r="MBX16" s="588"/>
      <c r="MBY16" s="588"/>
      <c r="MBZ16" s="588"/>
      <c r="MCA16" s="588"/>
      <c r="MCB16" s="588"/>
      <c r="MCC16" s="588"/>
      <c r="MCD16" s="588"/>
      <c r="MCE16" s="588"/>
      <c r="MCF16" s="588"/>
      <c r="MCG16" s="588"/>
      <c r="MCH16" s="588"/>
      <c r="MCI16" s="588"/>
      <c r="MCJ16" s="588"/>
      <c r="MCK16" s="588"/>
      <c r="MCL16" s="588"/>
      <c r="MCM16" s="588"/>
      <c r="MCN16" s="588"/>
      <c r="MCO16" s="588"/>
      <c r="MCP16" s="588"/>
      <c r="MCQ16" s="588"/>
      <c r="MCR16" s="588"/>
      <c r="MCS16" s="588"/>
      <c r="MCT16" s="588"/>
      <c r="MCU16" s="588"/>
      <c r="MCV16" s="588"/>
      <c r="MCW16" s="588"/>
      <c r="MCX16" s="588"/>
      <c r="MCY16" s="588"/>
      <c r="MCZ16" s="588"/>
      <c r="MDA16" s="588"/>
      <c r="MDB16" s="588"/>
      <c r="MDC16" s="588"/>
      <c r="MDD16" s="588"/>
      <c r="MDE16" s="588"/>
      <c r="MDF16" s="588"/>
      <c r="MDG16" s="588"/>
      <c r="MDH16" s="588"/>
      <c r="MDI16" s="588"/>
      <c r="MDJ16" s="588"/>
      <c r="MDK16" s="588"/>
      <c r="MDL16" s="588"/>
      <c r="MDM16" s="588"/>
      <c r="MDN16" s="588"/>
      <c r="MDO16" s="588"/>
      <c r="MDP16" s="588"/>
      <c r="MDQ16" s="588"/>
      <c r="MDR16" s="588"/>
      <c r="MDS16" s="588"/>
      <c r="MDT16" s="588"/>
      <c r="MDU16" s="588"/>
      <c r="MDV16" s="588"/>
      <c r="MDW16" s="588"/>
      <c r="MDX16" s="588"/>
      <c r="MDY16" s="588"/>
      <c r="MDZ16" s="588"/>
      <c r="MEA16" s="588"/>
      <c r="MEB16" s="588"/>
      <c r="MEC16" s="588"/>
      <c r="MED16" s="588"/>
      <c r="MEE16" s="588"/>
      <c r="MEF16" s="588"/>
      <c r="MEG16" s="588"/>
      <c r="MEH16" s="588"/>
      <c r="MEI16" s="588"/>
      <c r="MEJ16" s="588"/>
      <c r="MEK16" s="588"/>
      <c r="MEL16" s="588"/>
      <c r="MEM16" s="588"/>
      <c r="MEN16" s="588"/>
      <c r="MEO16" s="588"/>
      <c r="MEP16" s="588"/>
      <c r="MEQ16" s="588"/>
      <c r="MER16" s="588"/>
      <c r="MES16" s="588"/>
      <c r="MET16" s="588"/>
      <c r="MEU16" s="588"/>
      <c r="MEV16" s="588"/>
      <c r="MEW16" s="588"/>
      <c r="MEX16" s="588"/>
      <c r="MEY16" s="588"/>
      <c r="MEZ16" s="588"/>
      <c r="MFA16" s="588"/>
      <c r="MFB16" s="588"/>
      <c r="MFC16" s="588"/>
      <c r="MFD16" s="588"/>
      <c r="MFE16" s="588"/>
      <c r="MFF16" s="588"/>
      <c r="MFG16" s="588"/>
      <c r="MFH16" s="588"/>
      <c r="MFI16" s="588"/>
      <c r="MFJ16" s="588"/>
      <c r="MFK16" s="588"/>
      <c r="MFL16" s="588"/>
      <c r="MFM16" s="588"/>
      <c r="MFN16" s="588"/>
      <c r="MFO16" s="588"/>
      <c r="MFP16" s="588"/>
      <c r="MFQ16" s="588"/>
      <c r="MFR16" s="588"/>
      <c r="MFS16" s="588"/>
      <c r="MFT16" s="588"/>
      <c r="MFU16" s="588"/>
      <c r="MFV16" s="588"/>
      <c r="MFW16" s="588"/>
      <c r="MFX16" s="588"/>
      <c r="MFY16" s="588"/>
      <c r="MFZ16" s="588"/>
      <c r="MGA16" s="588"/>
      <c r="MGB16" s="588"/>
      <c r="MGC16" s="588"/>
      <c r="MGD16" s="588"/>
      <c r="MGE16" s="588"/>
      <c r="MGF16" s="588"/>
      <c r="MGG16" s="588"/>
      <c r="MGH16" s="588"/>
      <c r="MGI16" s="588"/>
      <c r="MGJ16" s="588"/>
      <c r="MGK16" s="588"/>
      <c r="MGL16" s="588"/>
      <c r="MGM16" s="588"/>
      <c r="MGN16" s="588"/>
      <c r="MGO16" s="588"/>
      <c r="MGP16" s="588"/>
      <c r="MGQ16" s="588"/>
      <c r="MGR16" s="588"/>
      <c r="MGS16" s="588"/>
      <c r="MGT16" s="588"/>
      <c r="MGU16" s="588"/>
      <c r="MGV16" s="588"/>
      <c r="MGW16" s="588"/>
      <c r="MGX16" s="588"/>
      <c r="MGY16" s="588"/>
      <c r="MGZ16" s="588"/>
      <c r="MHA16" s="588"/>
      <c r="MHB16" s="588"/>
      <c r="MHC16" s="588"/>
      <c r="MHD16" s="588"/>
      <c r="MHE16" s="588"/>
      <c r="MHF16" s="588"/>
      <c r="MHG16" s="588"/>
      <c r="MHH16" s="588"/>
      <c r="MHI16" s="588"/>
      <c r="MHJ16" s="588"/>
      <c r="MHK16" s="588"/>
      <c r="MHL16" s="588"/>
      <c r="MHM16" s="588"/>
      <c r="MHN16" s="588"/>
      <c r="MHO16" s="588"/>
      <c r="MHP16" s="588"/>
      <c r="MHQ16" s="588"/>
      <c r="MHR16" s="588"/>
      <c r="MHS16" s="588"/>
      <c r="MHT16" s="588"/>
      <c r="MHU16" s="588"/>
      <c r="MHV16" s="588"/>
      <c r="MHW16" s="588"/>
      <c r="MHX16" s="588"/>
      <c r="MHY16" s="588"/>
      <c r="MHZ16" s="588"/>
      <c r="MIA16" s="588"/>
      <c r="MIB16" s="588"/>
      <c r="MIC16" s="588"/>
      <c r="MID16" s="588"/>
      <c r="MIE16" s="588"/>
      <c r="MIF16" s="588"/>
      <c r="MIG16" s="588"/>
      <c r="MIH16" s="588"/>
      <c r="MII16" s="588"/>
      <c r="MIJ16" s="588"/>
      <c r="MIK16" s="588"/>
      <c r="MIL16" s="588"/>
      <c r="MIM16" s="588"/>
      <c r="MIN16" s="588"/>
      <c r="MIO16" s="588"/>
      <c r="MIP16" s="588"/>
      <c r="MIQ16" s="588"/>
      <c r="MIR16" s="588"/>
      <c r="MIS16" s="588"/>
      <c r="MIT16" s="588"/>
      <c r="MIU16" s="588"/>
      <c r="MIV16" s="588"/>
      <c r="MIW16" s="588"/>
      <c r="MIX16" s="588"/>
      <c r="MIY16" s="588"/>
      <c r="MIZ16" s="588"/>
      <c r="MJA16" s="588"/>
      <c r="MJB16" s="588"/>
      <c r="MJC16" s="588"/>
      <c r="MJD16" s="588"/>
      <c r="MJE16" s="588"/>
      <c r="MJF16" s="588"/>
      <c r="MJG16" s="588"/>
      <c r="MJH16" s="588"/>
      <c r="MJI16" s="588"/>
      <c r="MJJ16" s="588"/>
      <c r="MJK16" s="588"/>
      <c r="MJL16" s="588"/>
      <c r="MJM16" s="588"/>
      <c r="MJN16" s="588"/>
      <c r="MJO16" s="588"/>
      <c r="MJP16" s="588"/>
      <c r="MJQ16" s="588"/>
      <c r="MJR16" s="588"/>
      <c r="MJS16" s="588"/>
      <c r="MJT16" s="588"/>
      <c r="MJU16" s="588"/>
      <c r="MJV16" s="588"/>
      <c r="MJW16" s="588"/>
      <c r="MJX16" s="588"/>
      <c r="MJY16" s="588"/>
      <c r="MJZ16" s="588"/>
      <c r="MKA16" s="588"/>
      <c r="MKB16" s="588"/>
      <c r="MKC16" s="588"/>
      <c r="MKD16" s="588"/>
      <c r="MKE16" s="588"/>
      <c r="MKF16" s="588"/>
      <c r="MKG16" s="588"/>
      <c r="MKH16" s="588"/>
      <c r="MKI16" s="588"/>
      <c r="MKJ16" s="588"/>
      <c r="MKK16" s="588"/>
      <c r="MKL16" s="588"/>
      <c r="MKM16" s="588"/>
      <c r="MKN16" s="588"/>
      <c r="MKO16" s="588"/>
      <c r="MKP16" s="588"/>
      <c r="MKQ16" s="588"/>
      <c r="MKR16" s="588"/>
      <c r="MKS16" s="588"/>
      <c r="MKT16" s="588"/>
      <c r="MKU16" s="588"/>
      <c r="MKV16" s="588"/>
      <c r="MKW16" s="588"/>
      <c r="MKX16" s="588"/>
      <c r="MKY16" s="588"/>
      <c r="MKZ16" s="588"/>
      <c r="MLA16" s="588"/>
      <c r="MLB16" s="588"/>
      <c r="MLC16" s="588"/>
      <c r="MLD16" s="588"/>
      <c r="MLE16" s="588"/>
      <c r="MLF16" s="588"/>
      <c r="MLG16" s="588"/>
      <c r="MLH16" s="588"/>
      <c r="MLI16" s="588"/>
      <c r="MLJ16" s="588"/>
      <c r="MLK16" s="588"/>
      <c r="MLL16" s="588"/>
      <c r="MLM16" s="588"/>
      <c r="MLN16" s="588"/>
      <c r="MLO16" s="588"/>
      <c r="MLP16" s="588"/>
      <c r="MLQ16" s="588"/>
      <c r="MLR16" s="588"/>
      <c r="MLS16" s="588"/>
      <c r="MLT16" s="588"/>
      <c r="MLU16" s="588"/>
      <c r="MLV16" s="588"/>
      <c r="MLW16" s="588"/>
      <c r="MLX16" s="588"/>
      <c r="MLY16" s="588"/>
      <c r="MLZ16" s="588"/>
      <c r="MMA16" s="588"/>
      <c r="MMB16" s="588"/>
      <c r="MMC16" s="588"/>
      <c r="MMD16" s="588"/>
      <c r="MME16" s="588"/>
      <c r="MMF16" s="588"/>
      <c r="MMG16" s="588"/>
      <c r="MMH16" s="588"/>
      <c r="MMI16" s="588"/>
      <c r="MMJ16" s="588"/>
      <c r="MMK16" s="588"/>
      <c r="MML16" s="588"/>
      <c r="MMM16" s="588"/>
      <c r="MMN16" s="588"/>
      <c r="MMO16" s="588"/>
      <c r="MMP16" s="588"/>
      <c r="MMQ16" s="588"/>
      <c r="MMR16" s="588"/>
      <c r="MMS16" s="588"/>
      <c r="MMT16" s="588"/>
      <c r="MMU16" s="588"/>
      <c r="MMV16" s="588"/>
      <c r="MMW16" s="588"/>
      <c r="MMX16" s="588"/>
      <c r="MMY16" s="588"/>
      <c r="MMZ16" s="588"/>
      <c r="MNA16" s="588"/>
      <c r="MNB16" s="588"/>
      <c r="MNC16" s="588"/>
      <c r="MND16" s="588"/>
      <c r="MNE16" s="588"/>
      <c r="MNF16" s="588"/>
      <c r="MNG16" s="588"/>
      <c r="MNH16" s="588"/>
      <c r="MNI16" s="588"/>
      <c r="MNJ16" s="588"/>
      <c r="MNK16" s="588"/>
      <c r="MNL16" s="588"/>
      <c r="MNM16" s="588"/>
      <c r="MNN16" s="588"/>
      <c r="MNO16" s="588"/>
      <c r="MNP16" s="588"/>
      <c r="MNQ16" s="588"/>
      <c r="MNR16" s="588"/>
      <c r="MNS16" s="588"/>
      <c r="MNT16" s="588"/>
      <c r="MNU16" s="588"/>
      <c r="MNV16" s="588"/>
      <c r="MNW16" s="588"/>
      <c r="MNX16" s="588"/>
      <c r="MNY16" s="588"/>
      <c r="MNZ16" s="588"/>
      <c r="MOA16" s="588"/>
      <c r="MOB16" s="588"/>
      <c r="MOC16" s="588"/>
      <c r="MOD16" s="588"/>
      <c r="MOE16" s="588"/>
      <c r="MOF16" s="588"/>
      <c r="MOG16" s="588"/>
      <c r="MOH16" s="588"/>
      <c r="MOI16" s="588"/>
      <c r="MOJ16" s="588"/>
      <c r="MOK16" s="588"/>
      <c r="MOL16" s="588"/>
      <c r="MOM16" s="588"/>
      <c r="MON16" s="588"/>
      <c r="MOO16" s="588"/>
      <c r="MOP16" s="588"/>
      <c r="MOQ16" s="588"/>
      <c r="MOR16" s="588"/>
      <c r="MOS16" s="588"/>
      <c r="MOT16" s="588"/>
      <c r="MOU16" s="588"/>
      <c r="MOV16" s="588"/>
      <c r="MOW16" s="588"/>
      <c r="MOX16" s="588"/>
      <c r="MOY16" s="588"/>
      <c r="MOZ16" s="588"/>
      <c r="MPA16" s="588"/>
      <c r="MPB16" s="588"/>
      <c r="MPC16" s="588"/>
      <c r="MPD16" s="588"/>
      <c r="MPE16" s="588"/>
      <c r="MPF16" s="588"/>
      <c r="MPG16" s="588"/>
      <c r="MPH16" s="588"/>
      <c r="MPI16" s="588"/>
      <c r="MPJ16" s="588"/>
      <c r="MPK16" s="588"/>
      <c r="MPL16" s="588"/>
      <c r="MPM16" s="588"/>
      <c r="MPN16" s="588"/>
      <c r="MPO16" s="588"/>
      <c r="MPP16" s="588"/>
      <c r="MPQ16" s="588"/>
      <c r="MPR16" s="588"/>
      <c r="MPS16" s="588"/>
      <c r="MPT16" s="588"/>
      <c r="MPU16" s="588"/>
      <c r="MPV16" s="588"/>
      <c r="MPW16" s="588"/>
      <c r="MPX16" s="588"/>
      <c r="MPY16" s="588"/>
      <c r="MPZ16" s="588"/>
      <c r="MQA16" s="588"/>
      <c r="MQB16" s="588"/>
      <c r="MQC16" s="588"/>
      <c r="MQD16" s="588"/>
      <c r="MQE16" s="588"/>
      <c r="MQF16" s="588"/>
      <c r="MQG16" s="588"/>
      <c r="MQH16" s="588"/>
      <c r="MQI16" s="588"/>
      <c r="MQJ16" s="588"/>
      <c r="MQK16" s="588"/>
      <c r="MQL16" s="588"/>
      <c r="MQM16" s="588"/>
      <c r="MQN16" s="588"/>
      <c r="MQO16" s="588"/>
      <c r="MQP16" s="588"/>
      <c r="MQQ16" s="588"/>
      <c r="MQR16" s="588"/>
      <c r="MQS16" s="588"/>
      <c r="MQT16" s="588"/>
      <c r="MQU16" s="588"/>
      <c r="MQV16" s="588"/>
      <c r="MQW16" s="588"/>
      <c r="MQX16" s="588"/>
      <c r="MQY16" s="588"/>
      <c r="MQZ16" s="588"/>
      <c r="MRA16" s="588"/>
      <c r="MRB16" s="588"/>
      <c r="MRC16" s="588"/>
      <c r="MRD16" s="588"/>
      <c r="MRE16" s="588"/>
      <c r="MRF16" s="588"/>
      <c r="MRG16" s="588"/>
      <c r="MRH16" s="588"/>
      <c r="MRI16" s="588"/>
      <c r="MRJ16" s="588"/>
      <c r="MRK16" s="588"/>
      <c r="MRL16" s="588"/>
      <c r="MRM16" s="588"/>
      <c r="MRN16" s="588"/>
      <c r="MRO16" s="588"/>
      <c r="MRP16" s="588"/>
      <c r="MRQ16" s="588"/>
      <c r="MRR16" s="588"/>
      <c r="MRS16" s="588"/>
      <c r="MRT16" s="588"/>
      <c r="MRU16" s="588"/>
      <c r="MRV16" s="588"/>
      <c r="MRW16" s="588"/>
      <c r="MRX16" s="588"/>
      <c r="MRY16" s="588"/>
      <c r="MRZ16" s="588"/>
      <c r="MSA16" s="588"/>
      <c r="MSB16" s="588"/>
      <c r="MSC16" s="588"/>
      <c r="MSD16" s="588"/>
      <c r="MSE16" s="588"/>
      <c r="MSF16" s="588"/>
      <c r="MSG16" s="588"/>
      <c r="MSH16" s="588"/>
      <c r="MSI16" s="588"/>
      <c r="MSJ16" s="588"/>
      <c r="MSK16" s="588"/>
      <c r="MSL16" s="588"/>
      <c r="MSM16" s="588"/>
      <c r="MSN16" s="588"/>
      <c r="MSO16" s="588"/>
      <c r="MSP16" s="588"/>
      <c r="MSQ16" s="588"/>
      <c r="MSR16" s="588"/>
      <c r="MSS16" s="588"/>
      <c r="MST16" s="588"/>
      <c r="MSU16" s="588"/>
      <c r="MSV16" s="588"/>
      <c r="MSW16" s="588"/>
      <c r="MSX16" s="588"/>
      <c r="MSY16" s="588"/>
      <c r="MSZ16" s="588"/>
      <c r="MTA16" s="588"/>
      <c r="MTB16" s="588"/>
      <c r="MTC16" s="588"/>
      <c r="MTD16" s="588"/>
      <c r="MTE16" s="588"/>
      <c r="MTF16" s="588"/>
      <c r="MTG16" s="588"/>
      <c r="MTH16" s="588"/>
      <c r="MTI16" s="588"/>
      <c r="MTJ16" s="588"/>
      <c r="MTK16" s="588"/>
      <c r="MTL16" s="588"/>
      <c r="MTM16" s="588"/>
      <c r="MTN16" s="588"/>
      <c r="MTO16" s="588"/>
      <c r="MTP16" s="588"/>
      <c r="MTQ16" s="588"/>
      <c r="MTR16" s="588"/>
      <c r="MTS16" s="588"/>
      <c r="MTT16" s="588"/>
      <c r="MTU16" s="588"/>
      <c r="MTV16" s="588"/>
      <c r="MTW16" s="588"/>
      <c r="MTX16" s="588"/>
      <c r="MTY16" s="588"/>
      <c r="MTZ16" s="588"/>
      <c r="MUA16" s="588"/>
      <c r="MUB16" s="588"/>
      <c r="MUC16" s="588"/>
      <c r="MUD16" s="588"/>
      <c r="MUE16" s="588"/>
      <c r="MUF16" s="588"/>
      <c r="MUG16" s="588"/>
      <c r="MUH16" s="588"/>
      <c r="MUI16" s="588"/>
      <c r="MUJ16" s="588"/>
      <c r="MUK16" s="588"/>
      <c r="MUL16" s="588"/>
      <c r="MUM16" s="588"/>
      <c r="MUN16" s="588"/>
      <c r="MUO16" s="588"/>
      <c r="MUP16" s="588"/>
      <c r="MUQ16" s="588"/>
      <c r="MUR16" s="588"/>
      <c r="MUS16" s="588"/>
      <c r="MUT16" s="588"/>
      <c r="MUU16" s="588"/>
      <c r="MUV16" s="588"/>
      <c r="MUW16" s="588"/>
      <c r="MUX16" s="588"/>
      <c r="MUY16" s="588"/>
      <c r="MUZ16" s="588"/>
      <c r="MVA16" s="588"/>
      <c r="MVB16" s="588"/>
      <c r="MVC16" s="588"/>
      <c r="MVD16" s="588"/>
      <c r="MVE16" s="588"/>
      <c r="MVF16" s="588"/>
      <c r="MVG16" s="588"/>
      <c r="MVH16" s="588"/>
      <c r="MVI16" s="588"/>
      <c r="MVJ16" s="588"/>
      <c r="MVK16" s="588"/>
      <c r="MVL16" s="588"/>
      <c r="MVM16" s="588"/>
      <c r="MVN16" s="588"/>
      <c r="MVO16" s="588"/>
      <c r="MVP16" s="588"/>
      <c r="MVQ16" s="588"/>
      <c r="MVR16" s="588"/>
      <c r="MVS16" s="588"/>
      <c r="MVT16" s="588"/>
      <c r="MVU16" s="588"/>
      <c r="MVV16" s="588"/>
      <c r="MVW16" s="588"/>
      <c r="MVX16" s="588"/>
      <c r="MVY16" s="588"/>
      <c r="MVZ16" s="588"/>
      <c r="MWA16" s="588"/>
      <c r="MWB16" s="588"/>
      <c r="MWC16" s="588"/>
      <c r="MWD16" s="588"/>
      <c r="MWE16" s="588"/>
      <c r="MWF16" s="588"/>
      <c r="MWG16" s="588"/>
      <c r="MWH16" s="588"/>
      <c r="MWI16" s="588"/>
      <c r="MWJ16" s="588"/>
      <c r="MWK16" s="588"/>
      <c r="MWL16" s="588"/>
      <c r="MWM16" s="588"/>
      <c r="MWN16" s="588"/>
      <c r="MWO16" s="588"/>
      <c r="MWP16" s="588"/>
      <c r="MWQ16" s="588"/>
      <c r="MWR16" s="588"/>
      <c r="MWS16" s="588"/>
      <c r="MWT16" s="588"/>
      <c r="MWU16" s="588"/>
      <c r="MWV16" s="588"/>
      <c r="MWW16" s="588"/>
      <c r="MWX16" s="588"/>
      <c r="MWY16" s="588"/>
      <c r="MWZ16" s="588"/>
      <c r="MXA16" s="588"/>
      <c r="MXB16" s="588"/>
      <c r="MXC16" s="588"/>
      <c r="MXD16" s="588"/>
      <c r="MXE16" s="588"/>
      <c r="MXF16" s="588"/>
      <c r="MXG16" s="588"/>
      <c r="MXH16" s="588"/>
      <c r="MXI16" s="588"/>
      <c r="MXJ16" s="588"/>
      <c r="MXK16" s="588"/>
      <c r="MXL16" s="588"/>
      <c r="MXM16" s="588"/>
      <c r="MXN16" s="588"/>
      <c r="MXO16" s="588"/>
      <c r="MXP16" s="588"/>
      <c r="MXQ16" s="588"/>
      <c r="MXR16" s="588"/>
      <c r="MXS16" s="588"/>
      <c r="MXT16" s="588"/>
      <c r="MXU16" s="588"/>
      <c r="MXV16" s="588"/>
      <c r="MXW16" s="588"/>
      <c r="MXX16" s="588"/>
      <c r="MXY16" s="588"/>
      <c r="MXZ16" s="588"/>
      <c r="MYA16" s="588"/>
      <c r="MYB16" s="588"/>
      <c r="MYC16" s="588"/>
      <c r="MYD16" s="588"/>
      <c r="MYE16" s="588"/>
      <c r="MYF16" s="588"/>
      <c r="MYG16" s="588"/>
      <c r="MYH16" s="588"/>
      <c r="MYI16" s="588"/>
      <c r="MYJ16" s="588"/>
      <c r="MYK16" s="588"/>
      <c r="MYL16" s="588"/>
      <c r="MYM16" s="588"/>
      <c r="MYN16" s="588"/>
      <c r="MYO16" s="588"/>
      <c r="MYP16" s="588"/>
      <c r="MYQ16" s="588"/>
      <c r="MYR16" s="588"/>
      <c r="MYS16" s="588"/>
      <c r="MYT16" s="588"/>
      <c r="MYU16" s="588"/>
      <c r="MYV16" s="588"/>
      <c r="MYW16" s="588"/>
      <c r="MYX16" s="588"/>
      <c r="MYY16" s="588"/>
      <c r="MYZ16" s="588"/>
      <c r="MZA16" s="588"/>
      <c r="MZB16" s="588"/>
      <c r="MZC16" s="588"/>
      <c r="MZD16" s="588"/>
      <c r="MZE16" s="588"/>
      <c r="MZF16" s="588"/>
      <c r="MZG16" s="588"/>
      <c r="MZH16" s="588"/>
      <c r="MZI16" s="588"/>
      <c r="MZJ16" s="588"/>
      <c r="MZK16" s="588"/>
      <c r="MZL16" s="588"/>
      <c r="MZM16" s="588"/>
      <c r="MZN16" s="588"/>
      <c r="MZO16" s="588"/>
      <c r="MZP16" s="588"/>
      <c r="MZQ16" s="588"/>
      <c r="MZR16" s="588"/>
      <c r="MZS16" s="588"/>
      <c r="MZT16" s="588"/>
      <c r="MZU16" s="588"/>
      <c r="MZV16" s="588"/>
      <c r="MZW16" s="588"/>
      <c r="MZX16" s="588"/>
      <c r="MZY16" s="588"/>
      <c r="MZZ16" s="588"/>
      <c r="NAA16" s="588"/>
      <c r="NAB16" s="588"/>
      <c r="NAC16" s="588"/>
      <c r="NAD16" s="588"/>
      <c r="NAE16" s="588"/>
      <c r="NAF16" s="588"/>
      <c r="NAG16" s="588"/>
      <c r="NAH16" s="588"/>
      <c r="NAI16" s="588"/>
      <c r="NAJ16" s="588"/>
      <c r="NAK16" s="588"/>
      <c r="NAL16" s="588"/>
      <c r="NAM16" s="588"/>
      <c r="NAN16" s="588"/>
      <c r="NAO16" s="588"/>
      <c r="NAP16" s="588"/>
      <c r="NAQ16" s="588"/>
      <c r="NAR16" s="588"/>
      <c r="NAS16" s="588"/>
      <c r="NAT16" s="588"/>
      <c r="NAU16" s="588"/>
      <c r="NAV16" s="588"/>
      <c r="NAW16" s="588"/>
      <c r="NAX16" s="588"/>
      <c r="NAY16" s="588"/>
      <c r="NAZ16" s="588"/>
      <c r="NBA16" s="588"/>
      <c r="NBB16" s="588"/>
      <c r="NBC16" s="588"/>
      <c r="NBD16" s="588"/>
      <c r="NBE16" s="588"/>
      <c r="NBF16" s="588"/>
      <c r="NBG16" s="588"/>
      <c r="NBH16" s="588"/>
      <c r="NBI16" s="588"/>
      <c r="NBJ16" s="588"/>
      <c r="NBK16" s="588"/>
      <c r="NBL16" s="588"/>
      <c r="NBM16" s="588"/>
      <c r="NBN16" s="588"/>
      <c r="NBO16" s="588"/>
      <c r="NBP16" s="588"/>
      <c r="NBQ16" s="588"/>
      <c r="NBR16" s="588"/>
      <c r="NBS16" s="588"/>
      <c r="NBT16" s="588"/>
      <c r="NBU16" s="588"/>
      <c r="NBV16" s="588"/>
      <c r="NBW16" s="588"/>
      <c r="NBX16" s="588"/>
      <c r="NBY16" s="588"/>
      <c r="NBZ16" s="588"/>
      <c r="NCA16" s="588"/>
      <c r="NCB16" s="588"/>
      <c r="NCC16" s="588"/>
      <c r="NCD16" s="588"/>
      <c r="NCE16" s="588"/>
      <c r="NCF16" s="588"/>
      <c r="NCG16" s="588"/>
      <c r="NCH16" s="588"/>
      <c r="NCI16" s="588"/>
      <c r="NCJ16" s="588"/>
      <c r="NCK16" s="588"/>
      <c r="NCL16" s="588"/>
      <c r="NCM16" s="588"/>
      <c r="NCN16" s="588"/>
      <c r="NCO16" s="588"/>
      <c r="NCP16" s="588"/>
      <c r="NCQ16" s="588"/>
      <c r="NCR16" s="588"/>
      <c r="NCS16" s="588"/>
      <c r="NCT16" s="588"/>
      <c r="NCU16" s="588"/>
      <c r="NCV16" s="588"/>
      <c r="NCW16" s="588"/>
      <c r="NCX16" s="588"/>
      <c r="NCY16" s="588"/>
      <c r="NCZ16" s="588"/>
      <c r="NDA16" s="588"/>
      <c r="NDB16" s="588"/>
      <c r="NDC16" s="588"/>
      <c r="NDD16" s="588"/>
      <c r="NDE16" s="588"/>
      <c r="NDF16" s="588"/>
      <c r="NDG16" s="588"/>
      <c r="NDH16" s="588"/>
      <c r="NDI16" s="588"/>
      <c r="NDJ16" s="588"/>
      <c r="NDK16" s="588"/>
      <c r="NDL16" s="588"/>
      <c r="NDM16" s="588"/>
      <c r="NDN16" s="588"/>
      <c r="NDO16" s="588"/>
      <c r="NDP16" s="588"/>
      <c r="NDQ16" s="588"/>
      <c r="NDR16" s="588"/>
      <c r="NDS16" s="588"/>
      <c r="NDT16" s="588"/>
      <c r="NDU16" s="588"/>
      <c r="NDV16" s="588"/>
      <c r="NDW16" s="588"/>
      <c r="NDX16" s="588"/>
      <c r="NDY16" s="588"/>
      <c r="NDZ16" s="588"/>
      <c r="NEA16" s="588"/>
      <c r="NEB16" s="588"/>
      <c r="NEC16" s="588"/>
      <c r="NED16" s="588"/>
      <c r="NEE16" s="588"/>
      <c r="NEF16" s="588"/>
      <c r="NEG16" s="588"/>
      <c r="NEH16" s="588"/>
      <c r="NEI16" s="588"/>
      <c r="NEJ16" s="588"/>
      <c r="NEK16" s="588"/>
      <c r="NEL16" s="588"/>
      <c r="NEM16" s="588"/>
      <c r="NEN16" s="588"/>
      <c r="NEO16" s="588"/>
      <c r="NEP16" s="588"/>
      <c r="NEQ16" s="588"/>
      <c r="NER16" s="588"/>
      <c r="NES16" s="588"/>
      <c r="NET16" s="588"/>
      <c r="NEU16" s="588"/>
      <c r="NEV16" s="588"/>
      <c r="NEW16" s="588"/>
      <c r="NEX16" s="588"/>
      <c r="NEY16" s="588"/>
      <c r="NEZ16" s="588"/>
      <c r="NFA16" s="588"/>
      <c r="NFB16" s="588"/>
      <c r="NFC16" s="588"/>
      <c r="NFD16" s="588"/>
      <c r="NFE16" s="588"/>
      <c r="NFF16" s="588"/>
      <c r="NFG16" s="588"/>
      <c r="NFH16" s="588"/>
      <c r="NFI16" s="588"/>
      <c r="NFJ16" s="588"/>
      <c r="NFK16" s="588"/>
      <c r="NFL16" s="588"/>
      <c r="NFM16" s="588"/>
      <c r="NFN16" s="588"/>
      <c r="NFO16" s="588"/>
      <c r="NFP16" s="588"/>
      <c r="NFQ16" s="588"/>
      <c r="NFR16" s="588"/>
      <c r="NFS16" s="588"/>
      <c r="NFT16" s="588"/>
      <c r="NFU16" s="588"/>
      <c r="NFV16" s="588"/>
      <c r="NFW16" s="588"/>
      <c r="NFX16" s="588"/>
      <c r="NFY16" s="588"/>
      <c r="NFZ16" s="588"/>
      <c r="NGA16" s="588"/>
      <c r="NGB16" s="588"/>
      <c r="NGC16" s="588"/>
      <c r="NGD16" s="588"/>
      <c r="NGE16" s="588"/>
      <c r="NGF16" s="588"/>
      <c r="NGG16" s="588"/>
      <c r="NGH16" s="588"/>
      <c r="NGI16" s="588"/>
      <c r="NGJ16" s="588"/>
      <c r="NGK16" s="588"/>
      <c r="NGL16" s="588"/>
      <c r="NGM16" s="588"/>
      <c r="NGN16" s="588"/>
      <c r="NGO16" s="588"/>
      <c r="NGP16" s="588"/>
      <c r="NGQ16" s="588"/>
      <c r="NGR16" s="588"/>
      <c r="NGS16" s="588"/>
      <c r="NGT16" s="588"/>
      <c r="NGU16" s="588"/>
      <c r="NGV16" s="588"/>
      <c r="NGW16" s="588"/>
      <c r="NGX16" s="588"/>
      <c r="NGY16" s="588"/>
      <c r="NGZ16" s="588"/>
      <c r="NHA16" s="588"/>
      <c r="NHB16" s="588"/>
      <c r="NHC16" s="588"/>
      <c r="NHD16" s="588"/>
      <c r="NHE16" s="588"/>
      <c r="NHF16" s="588"/>
      <c r="NHG16" s="588"/>
      <c r="NHH16" s="588"/>
      <c r="NHI16" s="588"/>
      <c r="NHJ16" s="588"/>
      <c r="NHK16" s="588"/>
      <c r="NHL16" s="588"/>
      <c r="NHM16" s="588"/>
      <c r="NHN16" s="588"/>
      <c r="NHO16" s="588"/>
      <c r="NHP16" s="588"/>
      <c r="NHQ16" s="588"/>
      <c r="NHR16" s="588"/>
      <c r="NHS16" s="588"/>
      <c r="NHT16" s="588"/>
      <c r="NHU16" s="588"/>
      <c r="NHV16" s="588"/>
      <c r="NHW16" s="588"/>
      <c r="NHX16" s="588"/>
      <c r="NHY16" s="588"/>
      <c r="NHZ16" s="588"/>
      <c r="NIA16" s="588"/>
      <c r="NIB16" s="588"/>
      <c r="NIC16" s="588"/>
      <c r="NID16" s="588"/>
      <c r="NIE16" s="588"/>
      <c r="NIF16" s="588"/>
      <c r="NIG16" s="588"/>
      <c r="NIH16" s="588"/>
      <c r="NII16" s="588"/>
      <c r="NIJ16" s="588"/>
      <c r="NIK16" s="588"/>
      <c r="NIL16" s="588"/>
      <c r="NIM16" s="588"/>
      <c r="NIN16" s="588"/>
      <c r="NIO16" s="588"/>
      <c r="NIP16" s="588"/>
      <c r="NIQ16" s="588"/>
      <c r="NIR16" s="588"/>
      <c r="NIS16" s="588"/>
      <c r="NIT16" s="588"/>
      <c r="NIU16" s="588"/>
      <c r="NIV16" s="588"/>
      <c r="NIW16" s="588"/>
      <c r="NIX16" s="588"/>
      <c r="NIY16" s="588"/>
      <c r="NIZ16" s="588"/>
      <c r="NJA16" s="588"/>
      <c r="NJB16" s="588"/>
      <c r="NJC16" s="588"/>
      <c r="NJD16" s="588"/>
      <c r="NJE16" s="588"/>
      <c r="NJF16" s="588"/>
      <c r="NJG16" s="588"/>
      <c r="NJH16" s="588"/>
      <c r="NJI16" s="588"/>
      <c r="NJJ16" s="588"/>
      <c r="NJK16" s="588"/>
      <c r="NJL16" s="588"/>
      <c r="NJM16" s="588"/>
      <c r="NJN16" s="588"/>
      <c r="NJO16" s="588"/>
      <c r="NJP16" s="588"/>
      <c r="NJQ16" s="588"/>
      <c r="NJR16" s="588"/>
      <c r="NJS16" s="588"/>
      <c r="NJT16" s="588"/>
      <c r="NJU16" s="588"/>
      <c r="NJV16" s="588"/>
      <c r="NJW16" s="588"/>
      <c r="NJX16" s="588"/>
      <c r="NJY16" s="588"/>
      <c r="NJZ16" s="588"/>
      <c r="NKA16" s="588"/>
      <c r="NKB16" s="588"/>
      <c r="NKC16" s="588"/>
      <c r="NKD16" s="588"/>
      <c r="NKE16" s="588"/>
      <c r="NKF16" s="588"/>
      <c r="NKG16" s="588"/>
      <c r="NKH16" s="588"/>
      <c r="NKI16" s="588"/>
      <c r="NKJ16" s="588"/>
      <c r="NKK16" s="588"/>
      <c r="NKL16" s="588"/>
      <c r="NKM16" s="588"/>
      <c r="NKN16" s="588"/>
      <c r="NKO16" s="588"/>
      <c r="NKP16" s="588"/>
      <c r="NKQ16" s="588"/>
      <c r="NKR16" s="588"/>
      <c r="NKS16" s="588"/>
      <c r="NKT16" s="588"/>
      <c r="NKU16" s="588"/>
      <c r="NKV16" s="588"/>
      <c r="NKW16" s="588"/>
      <c r="NKX16" s="588"/>
      <c r="NKY16" s="588"/>
      <c r="NKZ16" s="588"/>
      <c r="NLA16" s="588"/>
      <c r="NLB16" s="588"/>
      <c r="NLC16" s="588"/>
      <c r="NLD16" s="588"/>
      <c r="NLE16" s="588"/>
      <c r="NLF16" s="588"/>
      <c r="NLG16" s="588"/>
      <c r="NLH16" s="588"/>
      <c r="NLI16" s="588"/>
      <c r="NLJ16" s="588"/>
      <c r="NLK16" s="588"/>
      <c r="NLL16" s="588"/>
      <c r="NLM16" s="588"/>
      <c r="NLN16" s="588"/>
      <c r="NLO16" s="588"/>
      <c r="NLP16" s="588"/>
      <c r="NLQ16" s="588"/>
      <c r="NLR16" s="588"/>
      <c r="NLS16" s="588"/>
      <c r="NLT16" s="588"/>
      <c r="NLU16" s="588"/>
      <c r="NLV16" s="588"/>
      <c r="NLW16" s="588"/>
      <c r="NLX16" s="588"/>
      <c r="NLY16" s="588"/>
      <c r="NLZ16" s="588"/>
      <c r="NMA16" s="588"/>
      <c r="NMB16" s="588"/>
      <c r="NMC16" s="588"/>
      <c r="NMD16" s="588"/>
      <c r="NME16" s="588"/>
      <c r="NMF16" s="588"/>
      <c r="NMG16" s="588"/>
      <c r="NMH16" s="588"/>
      <c r="NMI16" s="588"/>
      <c r="NMJ16" s="588"/>
      <c r="NMK16" s="588"/>
      <c r="NML16" s="588"/>
      <c r="NMM16" s="588"/>
      <c r="NMN16" s="588"/>
      <c r="NMO16" s="588"/>
      <c r="NMP16" s="588"/>
      <c r="NMQ16" s="588"/>
      <c r="NMR16" s="588"/>
      <c r="NMS16" s="588"/>
      <c r="NMT16" s="588"/>
      <c r="NMU16" s="588"/>
      <c r="NMV16" s="588"/>
      <c r="NMW16" s="588"/>
      <c r="NMX16" s="588"/>
      <c r="NMY16" s="588"/>
      <c r="NMZ16" s="588"/>
      <c r="NNA16" s="588"/>
      <c r="NNB16" s="588"/>
      <c r="NNC16" s="588"/>
      <c r="NND16" s="588"/>
      <c r="NNE16" s="588"/>
      <c r="NNF16" s="588"/>
      <c r="NNG16" s="588"/>
      <c r="NNH16" s="588"/>
      <c r="NNI16" s="588"/>
      <c r="NNJ16" s="588"/>
      <c r="NNK16" s="588"/>
      <c r="NNL16" s="588"/>
      <c r="NNM16" s="588"/>
      <c r="NNN16" s="588"/>
      <c r="NNO16" s="588"/>
      <c r="NNP16" s="588"/>
      <c r="NNQ16" s="588"/>
      <c r="NNR16" s="588"/>
      <c r="NNS16" s="588"/>
      <c r="NNT16" s="588"/>
      <c r="NNU16" s="588"/>
      <c r="NNV16" s="588"/>
      <c r="NNW16" s="588"/>
      <c r="NNX16" s="588"/>
      <c r="NNY16" s="588"/>
      <c r="NNZ16" s="588"/>
      <c r="NOA16" s="588"/>
      <c r="NOB16" s="588"/>
      <c r="NOC16" s="588"/>
      <c r="NOD16" s="588"/>
      <c r="NOE16" s="588"/>
      <c r="NOF16" s="588"/>
      <c r="NOG16" s="588"/>
      <c r="NOH16" s="588"/>
      <c r="NOI16" s="588"/>
      <c r="NOJ16" s="588"/>
      <c r="NOK16" s="588"/>
      <c r="NOL16" s="588"/>
      <c r="NOM16" s="588"/>
      <c r="NON16" s="588"/>
      <c r="NOO16" s="588"/>
      <c r="NOP16" s="588"/>
      <c r="NOQ16" s="588"/>
      <c r="NOR16" s="588"/>
      <c r="NOS16" s="588"/>
      <c r="NOT16" s="588"/>
      <c r="NOU16" s="588"/>
      <c r="NOV16" s="588"/>
      <c r="NOW16" s="588"/>
      <c r="NOX16" s="588"/>
      <c r="NOY16" s="588"/>
      <c r="NOZ16" s="588"/>
      <c r="NPA16" s="588"/>
      <c r="NPB16" s="588"/>
      <c r="NPC16" s="588"/>
      <c r="NPD16" s="588"/>
      <c r="NPE16" s="588"/>
      <c r="NPF16" s="588"/>
      <c r="NPG16" s="588"/>
      <c r="NPH16" s="588"/>
      <c r="NPI16" s="588"/>
      <c r="NPJ16" s="588"/>
      <c r="NPK16" s="588"/>
      <c r="NPL16" s="588"/>
      <c r="NPM16" s="588"/>
      <c r="NPN16" s="588"/>
      <c r="NPO16" s="588"/>
      <c r="NPP16" s="588"/>
      <c r="NPQ16" s="588"/>
      <c r="NPR16" s="588"/>
      <c r="NPS16" s="588"/>
      <c r="NPT16" s="588"/>
      <c r="NPU16" s="588"/>
      <c r="NPV16" s="588"/>
      <c r="NPW16" s="588"/>
      <c r="NPX16" s="588"/>
      <c r="NPY16" s="588"/>
      <c r="NPZ16" s="588"/>
      <c r="NQA16" s="588"/>
      <c r="NQB16" s="588"/>
      <c r="NQC16" s="588"/>
      <c r="NQD16" s="588"/>
      <c r="NQE16" s="588"/>
      <c r="NQF16" s="588"/>
      <c r="NQG16" s="588"/>
      <c r="NQH16" s="588"/>
      <c r="NQI16" s="588"/>
      <c r="NQJ16" s="588"/>
      <c r="NQK16" s="588"/>
      <c r="NQL16" s="588"/>
      <c r="NQM16" s="588"/>
      <c r="NQN16" s="588"/>
      <c r="NQO16" s="588"/>
      <c r="NQP16" s="588"/>
      <c r="NQQ16" s="588"/>
      <c r="NQR16" s="588"/>
      <c r="NQS16" s="588"/>
      <c r="NQT16" s="588"/>
      <c r="NQU16" s="588"/>
      <c r="NQV16" s="588"/>
      <c r="NQW16" s="588"/>
      <c r="NQX16" s="588"/>
      <c r="NQY16" s="588"/>
      <c r="NQZ16" s="588"/>
      <c r="NRA16" s="588"/>
      <c r="NRB16" s="588"/>
      <c r="NRC16" s="588"/>
      <c r="NRD16" s="588"/>
      <c r="NRE16" s="588"/>
      <c r="NRF16" s="588"/>
      <c r="NRG16" s="588"/>
      <c r="NRH16" s="588"/>
      <c r="NRI16" s="588"/>
      <c r="NRJ16" s="588"/>
      <c r="NRK16" s="588"/>
      <c r="NRL16" s="588"/>
      <c r="NRM16" s="588"/>
      <c r="NRN16" s="588"/>
      <c r="NRO16" s="588"/>
      <c r="NRP16" s="588"/>
      <c r="NRQ16" s="588"/>
      <c r="NRR16" s="588"/>
      <c r="NRS16" s="588"/>
      <c r="NRT16" s="588"/>
      <c r="NRU16" s="588"/>
      <c r="NRV16" s="588"/>
      <c r="NRW16" s="588"/>
      <c r="NRX16" s="588"/>
      <c r="NRY16" s="588"/>
      <c r="NRZ16" s="588"/>
      <c r="NSA16" s="588"/>
      <c r="NSB16" s="588"/>
      <c r="NSC16" s="588"/>
      <c r="NSD16" s="588"/>
      <c r="NSE16" s="588"/>
      <c r="NSF16" s="588"/>
      <c r="NSG16" s="588"/>
      <c r="NSH16" s="588"/>
      <c r="NSI16" s="588"/>
      <c r="NSJ16" s="588"/>
      <c r="NSK16" s="588"/>
      <c r="NSL16" s="588"/>
      <c r="NSM16" s="588"/>
      <c r="NSN16" s="588"/>
      <c r="NSO16" s="588"/>
      <c r="NSP16" s="588"/>
      <c r="NSQ16" s="588"/>
      <c r="NSR16" s="588"/>
      <c r="NSS16" s="588"/>
      <c r="NST16" s="588"/>
      <c r="NSU16" s="588"/>
      <c r="NSV16" s="588"/>
      <c r="NSW16" s="588"/>
      <c r="NSX16" s="588"/>
      <c r="NSY16" s="588"/>
      <c r="NSZ16" s="588"/>
      <c r="NTA16" s="588"/>
      <c r="NTB16" s="588"/>
      <c r="NTC16" s="588"/>
      <c r="NTD16" s="588"/>
      <c r="NTE16" s="588"/>
      <c r="NTF16" s="588"/>
      <c r="NTG16" s="588"/>
      <c r="NTH16" s="588"/>
      <c r="NTI16" s="588"/>
      <c r="NTJ16" s="588"/>
      <c r="NTK16" s="588"/>
      <c r="NTL16" s="588"/>
      <c r="NTM16" s="588"/>
      <c r="NTN16" s="588"/>
      <c r="NTO16" s="588"/>
      <c r="NTP16" s="588"/>
      <c r="NTQ16" s="588"/>
      <c r="NTR16" s="588"/>
      <c r="NTS16" s="588"/>
      <c r="NTT16" s="588"/>
      <c r="NTU16" s="588"/>
      <c r="NTV16" s="588"/>
      <c r="NTW16" s="588"/>
      <c r="NTX16" s="588"/>
      <c r="NTY16" s="588"/>
      <c r="NTZ16" s="588"/>
      <c r="NUA16" s="588"/>
      <c r="NUB16" s="588"/>
      <c r="NUC16" s="588"/>
      <c r="NUD16" s="588"/>
      <c r="NUE16" s="588"/>
      <c r="NUF16" s="588"/>
      <c r="NUG16" s="588"/>
      <c r="NUH16" s="588"/>
      <c r="NUI16" s="588"/>
      <c r="NUJ16" s="588"/>
      <c r="NUK16" s="588"/>
      <c r="NUL16" s="588"/>
      <c r="NUM16" s="588"/>
      <c r="NUN16" s="588"/>
      <c r="NUO16" s="588"/>
      <c r="NUP16" s="588"/>
      <c r="NUQ16" s="588"/>
      <c r="NUR16" s="588"/>
      <c r="NUS16" s="588"/>
      <c r="NUT16" s="588"/>
      <c r="NUU16" s="588"/>
      <c r="NUV16" s="588"/>
      <c r="NUW16" s="588"/>
      <c r="NUX16" s="588"/>
      <c r="NUY16" s="588"/>
      <c r="NUZ16" s="588"/>
      <c r="NVA16" s="588"/>
      <c r="NVB16" s="588"/>
      <c r="NVC16" s="588"/>
      <c r="NVD16" s="588"/>
      <c r="NVE16" s="588"/>
      <c r="NVF16" s="588"/>
      <c r="NVG16" s="588"/>
      <c r="NVH16" s="588"/>
      <c r="NVI16" s="588"/>
      <c r="NVJ16" s="588"/>
      <c r="NVK16" s="588"/>
      <c r="NVL16" s="588"/>
      <c r="NVM16" s="588"/>
      <c r="NVN16" s="588"/>
      <c r="NVO16" s="588"/>
      <c r="NVP16" s="588"/>
      <c r="NVQ16" s="588"/>
      <c r="NVR16" s="588"/>
      <c r="NVS16" s="588"/>
      <c r="NVT16" s="588"/>
      <c r="NVU16" s="588"/>
      <c r="NVV16" s="588"/>
      <c r="NVW16" s="588"/>
      <c r="NVX16" s="588"/>
      <c r="NVY16" s="588"/>
      <c r="NVZ16" s="588"/>
      <c r="NWA16" s="588"/>
      <c r="NWB16" s="588"/>
      <c r="NWC16" s="588"/>
      <c r="NWD16" s="588"/>
      <c r="NWE16" s="588"/>
      <c r="NWF16" s="588"/>
      <c r="NWG16" s="588"/>
      <c r="NWH16" s="588"/>
      <c r="NWI16" s="588"/>
      <c r="NWJ16" s="588"/>
      <c r="NWK16" s="588"/>
      <c r="NWL16" s="588"/>
      <c r="NWM16" s="588"/>
      <c r="NWN16" s="588"/>
      <c r="NWO16" s="588"/>
      <c r="NWP16" s="588"/>
      <c r="NWQ16" s="588"/>
      <c r="NWR16" s="588"/>
      <c r="NWS16" s="588"/>
      <c r="NWT16" s="588"/>
      <c r="NWU16" s="588"/>
      <c r="NWV16" s="588"/>
      <c r="NWW16" s="588"/>
      <c r="NWX16" s="588"/>
      <c r="NWY16" s="588"/>
      <c r="NWZ16" s="588"/>
      <c r="NXA16" s="588"/>
      <c r="NXB16" s="588"/>
      <c r="NXC16" s="588"/>
      <c r="NXD16" s="588"/>
      <c r="NXE16" s="588"/>
      <c r="NXF16" s="588"/>
      <c r="NXG16" s="588"/>
      <c r="NXH16" s="588"/>
      <c r="NXI16" s="588"/>
      <c r="NXJ16" s="588"/>
      <c r="NXK16" s="588"/>
      <c r="NXL16" s="588"/>
      <c r="NXM16" s="588"/>
      <c r="NXN16" s="588"/>
      <c r="NXO16" s="588"/>
      <c r="NXP16" s="588"/>
      <c r="NXQ16" s="588"/>
      <c r="NXR16" s="588"/>
      <c r="NXS16" s="588"/>
      <c r="NXT16" s="588"/>
      <c r="NXU16" s="588"/>
      <c r="NXV16" s="588"/>
      <c r="NXW16" s="588"/>
      <c r="NXX16" s="588"/>
      <c r="NXY16" s="588"/>
      <c r="NXZ16" s="588"/>
      <c r="NYA16" s="588"/>
      <c r="NYB16" s="588"/>
      <c r="NYC16" s="588"/>
      <c r="NYD16" s="588"/>
      <c r="NYE16" s="588"/>
      <c r="NYF16" s="588"/>
      <c r="NYG16" s="588"/>
      <c r="NYH16" s="588"/>
      <c r="NYI16" s="588"/>
      <c r="NYJ16" s="588"/>
      <c r="NYK16" s="588"/>
      <c r="NYL16" s="588"/>
      <c r="NYM16" s="588"/>
      <c r="NYN16" s="588"/>
      <c r="NYO16" s="588"/>
      <c r="NYP16" s="588"/>
      <c r="NYQ16" s="588"/>
      <c r="NYR16" s="588"/>
      <c r="NYS16" s="588"/>
      <c r="NYT16" s="588"/>
      <c r="NYU16" s="588"/>
      <c r="NYV16" s="588"/>
      <c r="NYW16" s="588"/>
      <c r="NYX16" s="588"/>
      <c r="NYY16" s="588"/>
      <c r="NYZ16" s="588"/>
      <c r="NZA16" s="588"/>
      <c r="NZB16" s="588"/>
      <c r="NZC16" s="588"/>
      <c r="NZD16" s="588"/>
      <c r="NZE16" s="588"/>
      <c r="NZF16" s="588"/>
      <c r="NZG16" s="588"/>
      <c r="NZH16" s="588"/>
      <c r="NZI16" s="588"/>
      <c r="NZJ16" s="588"/>
      <c r="NZK16" s="588"/>
      <c r="NZL16" s="588"/>
      <c r="NZM16" s="588"/>
      <c r="NZN16" s="588"/>
      <c r="NZO16" s="588"/>
      <c r="NZP16" s="588"/>
      <c r="NZQ16" s="588"/>
      <c r="NZR16" s="588"/>
      <c r="NZS16" s="588"/>
      <c r="NZT16" s="588"/>
      <c r="NZU16" s="588"/>
      <c r="NZV16" s="588"/>
      <c r="NZW16" s="588"/>
      <c r="NZX16" s="588"/>
      <c r="NZY16" s="588"/>
      <c r="NZZ16" s="588"/>
      <c r="OAA16" s="588"/>
      <c r="OAB16" s="588"/>
      <c r="OAC16" s="588"/>
      <c r="OAD16" s="588"/>
      <c r="OAE16" s="588"/>
      <c r="OAF16" s="588"/>
      <c r="OAG16" s="588"/>
      <c r="OAH16" s="588"/>
      <c r="OAI16" s="588"/>
      <c r="OAJ16" s="588"/>
      <c r="OAK16" s="588"/>
      <c r="OAL16" s="588"/>
      <c r="OAM16" s="588"/>
      <c r="OAN16" s="588"/>
      <c r="OAO16" s="588"/>
      <c r="OAP16" s="588"/>
      <c r="OAQ16" s="588"/>
      <c r="OAR16" s="588"/>
      <c r="OAS16" s="588"/>
      <c r="OAT16" s="588"/>
      <c r="OAU16" s="588"/>
      <c r="OAV16" s="588"/>
      <c r="OAW16" s="588"/>
      <c r="OAX16" s="588"/>
      <c r="OAY16" s="588"/>
      <c r="OAZ16" s="588"/>
      <c r="OBA16" s="588"/>
      <c r="OBB16" s="588"/>
      <c r="OBC16" s="588"/>
      <c r="OBD16" s="588"/>
      <c r="OBE16" s="588"/>
      <c r="OBF16" s="588"/>
      <c r="OBG16" s="588"/>
      <c r="OBH16" s="588"/>
      <c r="OBI16" s="588"/>
      <c r="OBJ16" s="588"/>
      <c r="OBK16" s="588"/>
      <c r="OBL16" s="588"/>
      <c r="OBM16" s="588"/>
      <c r="OBN16" s="588"/>
      <c r="OBO16" s="588"/>
      <c r="OBP16" s="588"/>
      <c r="OBQ16" s="588"/>
      <c r="OBR16" s="588"/>
      <c r="OBS16" s="588"/>
      <c r="OBT16" s="588"/>
      <c r="OBU16" s="588"/>
      <c r="OBV16" s="588"/>
      <c r="OBW16" s="588"/>
      <c r="OBX16" s="588"/>
      <c r="OBY16" s="588"/>
      <c r="OBZ16" s="588"/>
      <c r="OCA16" s="588"/>
      <c r="OCB16" s="588"/>
      <c r="OCC16" s="588"/>
      <c r="OCD16" s="588"/>
      <c r="OCE16" s="588"/>
      <c r="OCF16" s="588"/>
      <c r="OCG16" s="588"/>
      <c r="OCH16" s="588"/>
      <c r="OCI16" s="588"/>
      <c r="OCJ16" s="588"/>
      <c r="OCK16" s="588"/>
      <c r="OCL16" s="588"/>
      <c r="OCM16" s="588"/>
      <c r="OCN16" s="588"/>
      <c r="OCO16" s="588"/>
      <c r="OCP16" s="588"/>
      <c r="OCQ16" s="588"/>
      <c r="OCR16" s="588"/>
      <c r="OCS16" s="588"/>
      <c r="OCT16" s="588"/>
      <c r="OCU16" s="588"/>
      <c r="OCV16" s="588"/>
      <c r="OCW16" s="588"/>
      <c r="OCX16" s="588"/>
      <c r="OCY16" s="588"/>
      <c r="OCZ16" s="588"/>
      <c r="ODA16" s="588"/>
      <c r="ODB16" s="588"/>
      <c r="ODC16" s="588"/>
      <c r="ODD16" s="588"/>
      <c r="ODE16" s="588"/>
      <c r="ODF16" s="588"/>
      <c r="ODG16" s="588"/>
      <c r="ODH16" s="588"/>
      <c r="ODI16" s="588"/>
      <c r="ODJ16" s="588"/>
      <c r="ODK16" s="588"/>
      <c r="ODL16" s="588"/>
      <c r="ODM16" s="588"/>
      <c r="ODN16" s="588"/>
      <c r="ODO16" s="588"/>
      <c r="ODP16" s="588"/>
      <c r="ODQ16" s="588"/>
      <c r="ODR16" s="588"/>
      <c r="ODS16" s="588"/>
      <c r="ODT16" s="588"/>
      <c r="ODU16" s="588"/>
      <c r="ODV16" s="588"/>
      <c r="ODW16" s="588"/>
      <c r="ODX16" s="588"/>
      <c r="ODY16" s="588"/>
      <c r="ODZ16" s="588"/>
      <c r="OEA16" s="588"/>
      <c r="OEB16" s="588"/>
      <c r="OEC16" s="588"/>
      <c r="OED16" s="588"/>
      <c r="OEE16" s="588"/>
      <c r="OEF16" s="588"/>
      <c r="OEG16" s="588"/>
      <c r="OEH16" s="588"/>
      <c r="OEI16" s="588"/>
      <c r="OEJ16" s="588"/>
      <c r="OEK16" s="588"/>
      <c r="OEL16" s="588"/>
      <c r="OEM16" s="588"/>
      <c r="OEN16" s="588"/>
      <c r="OEO16" s="588"/>
      <c r="OEP16" s="588"/>
      <c r="OEQ16" s="588"/>
      <c r="OER16" s="588"/>
      <c r="OES16" s="588"/>
      <c r="OET16" s="588"/>
      <c r="OEU16" s="588"/>
      <c r="OEV16" s="588"/>
      <c r="OEW16" s="588"/>
      <c r="OEX16" s="588"/>
      <c r="OEY16" s="588"/>
      <c r="OEZ16" s="588"/>
      <c r="OFA16" s="588"/>
      <c r="OFB16" s="588"/>
      <c r="OFC16" s="588"/>
      <c r="OFD16" s="588"/>
      <c r="OFE16" s="588"/>
      <c r="OFF16" s="588"/>
      <c r="OFG16" s="588"/>
      <c r="OFH16" s="588"/>
      <c r="OFI16" s="588"/>
      <c r="OFJ16" s="588"/>
      <c r="OFK16" s="588"/>
      <c r="OFL16" s="588"/>
      <c r="OFM16" s="588"/>
      <c r="OFN16" s="588"/>
      <c r="OFO16" s="588"/>
      <c r="OFP16" s="588"/>
      <c r="OFQ16" s="588"/>
      <c r="OFR16" s="588"/>
      <c r="OFS16" s="588"/>
      <c r="OFT16" s="588"/>
      <c r="OFU16" s="588"/>
      <c r="OFV16" s="588"/>
      <c r="OFW16" s="588"/>
      <c r="OFX16" s="588"/>
      <c r="OFY16" s="588"/>
      <c r="OFZ16" s="588"/>
      <c r="OGA16" s="588"/>
      <c r="OGB16" s="588"/>
      <c r="OGC16" s="588"/>
      <c r="OGD16" s="588"/>
      <c r="OGE16" s="588"/>
      <c r="OGF16" s="588"/>
      <c r="OGG16" s="588"/>
      <c r="OGH16" s="588"/>
      <c r="OGI16" s="588"/>
      <c r="OGJ16" s="588"/>
      <c r="OGK16" s="588"/>
      <c r="OGL16" s="588"/>
      <c r="OGM16" s="588"/>
      <c r="OGN16" s="588"/>
      <c r="OGO16" s="588"/>
      <c r="OGP16" s="588"/>
      <c r="OGQ16" s="588"/>
      <c r="OGR16" s="588"/>
      <c r="OGS16" s="588"/>
      <c r="OGT16" s="588"/>
      <c r="OGU16" s="588"/>
      <c r="OGV16" s="588"/>
      <c r="OGW16" s="588"/>
      <c r="OGX16" s="588"/>
      <c r="OGY16" s="588"/>
      <c r="OGZ16" s="588"/>
      <c r="OHA16" s="588"/>
      <c r="OHB16" s="588"/>
      <c r="OHC16" s="588"/>
      <c r="OHD16" s="588"/>
      <c r="OHE16" s="588"/>
      <c r="OHF16" s="588"/>
      <c r="OHG16" s="588"/>
      <c r="OHH16" s="588"/>
      <c r="OHI16" s="588"/>
      <c r="OHJ16" s="588"/>
      <c r="OHK16" s="588"/>
      <c r="OHL16" s="588"/>
      <c r="OHM16" s="588"/>
      <c r="OHN16" s="588"/>
      <c r="OHO16" s="588"/>
      <c r="OHP16" s="588"/>
      <c r="OHQ16" s="588"/>
      <c r="OHR16" s="588"/>
      <c r="OHS16" s="588"/>
      <c r="OHT16" s="588"/>
      <c r="OHU16" s="588"/>
      <c r="OHV16" s="588"/>
      <c r="OHW16" s="588"/>
      <c r="OHX16" s="588"/>
      <c r="OHY16" s="588"/>
      <c r="OHZ16" s="588"/>
      <c r="OIA16" s="588"/>
      <c r="OIB16" s="588"/>
      <c r="OIC16" s="588"/>
      <c r="OID16" s="588"/>
      <c r="OIE16" s="588"/>
      <c r="OIF16" s="588"/>
      <c r="OIG16" s="588"/>
      <c r="OIH16" s="588"/>
      <c r="OII16" s="588"/>
      <c r="OIJ16" s="588"/>
      <c r="OIK16" s="588"/>
      <c r="OIL16" s="588"/>
      <c r="OIM16" s="588"/>
      <c r="OIN16" s="588"/>
      <c r="OIO16" s="588"/>
      <c r="OIP16" s="588"/>
      <c r="OIQ16" s="588"/>
      <c r="OIR16" s="588"/>
      <c r="OIS16" s="588"/>
      <c r="OIT16" s="588"/>
      <c r="OIU16" s="588"/>
      <c r="OIV16" s="588"/>
      <c r="OIW16" s="588"/>
      <c r="OIX16" s="588"/>
      <c r="OIY16" s="588"/>
      <c r="OIZ16" s="588"/>
      <c r="OJA16" s="588"/>
      <c r="OJB16" s="588"/>
      <c r="OJC16" s="588"/>
      <c r="OJD16" s="588"/>
      <c r="OJE16" s="588"/>
      <c r="OJF16" s="588"/>
      <c r="OJG16" s="588"/>
      <c r="OJH16" s="588"/>
      <c r="OJI16" s="588"/>
      <c r="OJJ16" s="588"/>
      <c r="OJK16" s="588"/>
      <c r="OJL16" s="588"/>
      <c r="OJM16" s="588"/>
      <c r="OJN16" s="588"/>
      <c r="OJO16" s="588"/>
      <c r="OJP16" s="588"/>
      <c r="OJQ16" s="588"/>
      <c r="OJR16" s="588"/>
      <c r="OJS16" s="588"/>
      <c r="OJT16" s="588"/>
      <c r="OJU16" s="588"/>
      <c r="OJV16" s="588"/>
      <c r="OJW16" s="588"/>
      <c r="OJX16" s="588"/>
      <c r="OJY16" s="588"/>
      <c r="OJZ16" s="588"/>
      <c r="OKA16" s="588"/>
      <c r="OKB16" s="588"/>
      <c r="OKC16" s="588"/>
      <c r="OKD16" s="588"/>
      <c r="OKE16" s="588"/>
      <c r="OKF16" s="588"/>
      <c r="OKG16" s="588"/>
      <c r="OKH16" s="588"/>
      <c r="OKI16" s="588"/>
      <c r="OKJ16" s="588"/>
      <c r="OKK16" s="588"/>
      <c r="OKL16" s="588"/>
      <c r="OKM16" s="588"/>
      <c r="OKN16" s="588"/>
      <c r="OKO16" s="588"/>
      <c r="OKP16" s="588"/>
      <c r="OKQ16" s="588"/>
      <c r="OKR16" s="588"/>
      <c r="OKS16" s="588"/>
      <c r="OKT16" s="588"/>
      <c r="OKU16" s="588"/>
      <c r="OKV16" s="588"/>
      <c r="OKW16" s="588"/>
      <c r="OKX16" s="588"/>
      <c r="OKY16" s="588"/>
      <c r="OKZ16" s="588"/>
      <c r="OLA16" s="588"/>
      <c r="OLB16" s="588"/>
      <c r="OLC16" s="588"/>
      <c r="OLD16" s="588"/>
      <c r="OLE16" s="588"/>
      <c r="OLF16" s="588"/>
      <c r="OLG16" s="588"/>
      <c r="OLH16" s="588"/>
      <c r="OLI16" s="588"/>
      <c r="OLJ16" s="588"/>
      <c r="OLK16" s="588"/>
      <c r="OLL16" s="588"/>
      <c r="OLM16" s="588"/>
      <c r="OLN16" s="588"/>
      <c r="OLO16" s="588"/>
      <c r="OLP16" s="588"/>
      <c r="OLQ16" s="588"/>
      <c r="OLR16" s="588"/>
      <c r="OLS16" s="588"/>
      <c r="OLT16" s="588"/>
      <c r="OLU16" s="588"/>
      <c r="OLV16" s="588"/>
      <c r="OLW16" s="588"/>
      <c r="OLX16" s="588"/>
      <c r="OLY16" s="588"/>
      <c r="OLZ16" s="588"/>
      <c r="OMA16" s="588"/>
      <c r="OMB16" s="588"/>
      <c r="OMC16" s="588"/>
      <c r="OMD16" s="588"/>
      <c r="OME16" s="588"/>
      <c r="OMF16" s="588"/>
      <c r="OMG16" s="588"/>
      <c r="OMH16" s="588"/>
      <c r="OMI16" s="588"/>
      <c r="OMJ16" s="588"/>
      <c r="OMK16" s="588"/>
      <c r="OML16" s="588"/>
      <c r="OMM16" s="588"/>
      <c r="OMN16" s="588"/>
      <c r="OMO16" s="588"/>
      <c r="OMP16" s="588"/>
      <c r="OMQ16" s="588"/>
      <c r="OMR16" s="588"/>
      <c r="OMS16" s="588"/>
      <c r="OMT16" s="588"/>
      <c r="OMU16" s="588"/>
      <c r="OMV16" s="588"/>
      <c r="OMW16" s="588"/>
      <c r="OMX16" s="588"/>
      <c r="OMY16" s="588"/>
      <c r="OMZ16" s="588"/>
      <c r="ONA16" s="588"/>
      <c r="ONB16" s="588"/>
      <c r="ONC16" s="588"/>
      <c r="OND16" s="588"/>
      <c r="ONE16" s="588"/>
      <c r="ONF16" s="588"/>
      <c r="ONG16" s="588"/>
      <c r="ONH16" s="588"/>
      <c r="ONI16" s="588"/>
      <c r="ONJ16" s="588"/>
      <c r="ONK16" s="588"/>
      <c r="ONL16" s="588"/>
      <c r="ONM16" s="588"/>
      <c r="ONN16" s="588"/>
      <c r="ONO16" s="588"/>
      <c r="ONP16" s="588"/>
      <c r="ONQ16" s="588"/>
      <c r="ONR16" s="588"/>
      <c r="ONS16" s="588"/>
      <c r="ONT16" s="588"/>
      <c r="ONU16" s="588"/>
      <c r="ONV16" s="588"/>
      <c r="ONW16" s="588"/>
      <c r="ONX16" s="588"/>
      <c r="ONY16" s="588"/>
      <c r="ONZ16" s="588"/>
      <c r="OOA16" s="588"/>
      <c r="OOB16" s="588"/>
      <c r="OOC16" s="588"/>
      <c r="OOD16" s="588"/>
      <c r="OOE16" s="588"/>
      <c r="OOF16" s="588"/>
      <c r="OOG16" s="588"/>
      <c r="OOH16" s="588"/>
      <c r="OOI16" s="588"/>
      <c r="OOJ16" s="588"/>
      <c r="OOK16" s="588"/>
      <c r="OOL16" s="588"/>
      <c r="OOM16" s="588"/>
      <c r="OON16" s="588"/>
      <c r="OOO16" s="588"/>
      <c r="OOP16" s="588"/>
      <c r="OOQ16" s="588"/>
      <c r="OOR16" s="588"/>
      <c r="OOS16" s="588"/>
      <c r="OOT16" s="588"/>
      <c r="OOU16" s="588"/>
      <c r="OOV16" s="588"/>
      <c r="OOW16" s="588"/>
      <c r="OOX16" s="588"/>
      <c r="OOY16" s="588"/>
      <c r="OOZ16" s="588"/>
      <c r="OPA16" s="588"/>
      <c r="OPB16" s="588"/>
      <c r="OPC16" s="588"/>
      <c r="OPD16" s="588"/>
      <c r="OPE16" s="588"/>
      <c r="OPF16" s="588"/>
      <c r="OPG16" s="588"/>
      <c r="OPH16" s="588"/>
      <c r="OPI16" s="588"/>
      <c r="OPJ16" s="588"/>
      <c r="OPK16" s="588"/>
      <c r="OPL16" s="588"/>
      <c r="OPM16" s="588"/>
      <c r="OPN16" s="588"/>
      <c r="OPO16" s="588"/>
      <c r="OPP16" s="588"/>
      <c r="OPQ16" s="588"/>
      <c r="OPR16" s="588"/>
      <c r="OPS16" s="588"/>
      <c r="OPT16" s="588"/>
      <c r="OPU16" s="588"/>
      <c r="OPV16" s="588"/>
      <c r="OPW16" s="588"/>
      <c r="OPX16" s="588"/>
      <c r="OPY16" s="588"/>
      <c r="OPZ16" s="588"/>
      <c r="OQA16" s="588"/>
      <c r="OQB16" s="588"/>
      <c r="OQC16" s="588"/>
      <c r="OQD16" s="588"/>
      <c r="OQE16" s="588"/>
      <c r="OQF16" s="588"/>
      <c r="OQG16" s="588"/>
      <c r="OQH16" s="588"/>
      <c r="OQI16" s="588"/>
      <c r="OQJ16" s="588"/>
      <c r="OQK16" s="588"/>
      <c r="OQL16" s="588"/>
      <c r="OQM16" s="588"/>
      <c r="OQN16" s="588"/>
      <c r="OQO16" s="588"/>
      <c r="OQP16" s="588"/>
      <c r="OQQ16" s="588"/>
      <c r="OQR16" s="588"/>
      <c r="OQS16" s="588"/>
      <c r="OQT16" s="588"/>
      <c r="OQU16" s="588"/>
      <c r="OQV16" s="588"/>
      <c r="OQW16" s="588"/>
      <c r="OQX16" s="588"/>
      <c r="OQY16" s="588"/>
      <c r="OQZ16" s="588"/>
      <c r="ORA16" s="588"/>
      <c r="ORB16" s="588"/>
      <c r="ORC16" s="588"/>
      <c r="ORD16" s="588"/>
      <c r="ORE16" s="588"/>
      <c r="ORF16" s="588"/>
      <c r="ORG16" s="588"/>
      <c r="ORH16" s="588"/>
      <c r="ORI16" s="588"/>
      <c r="ORJ16" s="588"/>
      <c r="ORK16" s="588"/>
      <c r="ORL16" s="588"/>
      <c r="ORM16" s="588"/>
      <c r="ORN16" s="588"/>
      <c r="ORO16" s="588"/>
      <c r="ORP16" s="588"/>
      <c r="ORQ16" s="588"/>
      <c r="ORR16" s="588"/>
      <c r="ORS16" s="588"/>
      <c r="ORT16" s="588"/>
      <c r="ORU16" s="588"/>
      <c r="ORV16" s="588"/>
      <c r="ORW16" s="588"/>
      <c r="ORX16" s="588"/>
      <c r="ORY16" s="588"/>
      <c r="ORZ16" s="588"/>
      <c r="OSA16" s="588"/>
      <c r="OSB16" s="588"/>
      <c r="OSC16" s="588"/>
      <c r="OSD16" s="588"/>
      <c r="OSE16" s="588"/>
      <c r="OSF16" s="588"/>
      <c r="OSG16" s="588"/>
      <c r="OSH16" s="588"/>
      <c r="OSI16" s="588"/>
      <c r="OSJ16" s="588"/>
      <c r="OSK16" s="588"/>
      <c r="OSL16" s="588"/>
      <c r="OSM16" s="588"/>
      <c r="OSN16" s="588"/>
      <c r="OSO16" s="588"/>
      <c r="OSP16" s="588"/>
      <c r="OSQ16" s="588"/>
      <c r="OSR16" s="588"/>
      <c r="OSS16" s="588"/>
      <c r="OST16" s="588"/>
      <c r="OSU16" s="588"/>
      <c r="OSV16" s="588"/>
      <c r="OSW16" s="588"/>
      <c r="OSX16" s="588"/>
      <c r="OSY16" s="588"/>
      <c r="OSZ16" s="588"/>
      <c r="OTA16" s="588"/>
      <c r="OTB16" s="588"/>
      <c r="OTC16" s="588"/>
      <c r="OTD16" s="588"/>
      <c r="OTE16" s="588"/>
      <c r="OTF16" s="588"/>
      <c r="OTG16" s="588"/>
      <c r="OTH16" s="588"/>
      <c r="OTI16" s="588"/>
      <c r="OTJ16" s="588"/>
      <c r="OTK16" s="588"/>
      <c r="OTL16" s="588"/>
      <c r="OTM16" s="588"/>
      <c r="OTN16" s="588"/>
      <c r="OTO16" s="588"/>
      <c r="OTP16" s="588"/>
      <c r="OTQ16" s="588"/>
      <c r="OTR16" s="588"/>
      <c r="OTS16" s="588"/>
      <c r="OTT16" s="588"/>
      <c r="OTU16" s="588"/>
      <c r="OTV16" s="588"/>
      <c r="OTW16" s="588"/>
      <c r="OTX16" s="588"/>
      <c r="OTY16" s="588"/>
      <c r="OTZ16" s="588"/>
      <c r="OUA16" s="588"/>
      <c r="OUB16" s="588"/>
      <c r="OUC16" s="588"/>
      <c r="OUD16" s="588"/>
      <c r="OUE16" s="588"/>
      <c r="OUF16" s="588"/>
      <c r="OUG16" s="588"/>
      <c r="OUH16" s="588"/>
      <c r="OUI16" s="588"/>
      <c r="OUJ16" s="588"/>
      <c r="OUK16" s="588"/>
      <c r="OUL16" s="588"/>
      <c r="OUM16" s="588"/>
      <c r="OUN16" s="588"/>
      <c r="OUO16" s="588"/>
      <c r="OUP16" s="588"/>
      <c r="OUQ16" s="588"/>
      <c r="OUR16" s="588"/>
      <c r="OUS16" s="588"/>
      <c r="OUT16" s="588"/>
      <c r="OUU16" s="588"/>
      <c r="OUV16" s="588"/>
      <c r="OUW16" s="588"/>
      <c r="OUX16" s="588"/>
      <c r="OUY16" s="588"/>
      <c r="OUZ16" s="588"/>
      <c r="OVA16" s="588"/>
      <c r="OVB16" s="588"/>
      <c r="OVC16" s="588"/>
      <c r="OVD16" s="588"/>
      <c r="OVE16" s="588"/>
      <c r="OVF16" s="588"/>
      <c r="OVG16" s="588"/>
      <c r="OVH16" s="588"/>
      <c r="OVI16" s="588"/>
      <c r="OVJ16" s="588"/>
      <c r="OVK16" s="588"/>
      <c r="OVL16" s="588"/>
      <c r="OVM16" s="588"/>
      <c r="OVN16" s="588"/>
      <c r="OVO16" s="588"/>
      <c r="OVP16" s="588"/>
      <c r="OVQ16" s="588"/>
      <c r="OVR16" s="588"/>
      <c r="OVS16" s="588"/>
      <c r="OVT16" s="588"/>
      <c r="OVU16" s="588"/>
      <c r="OVV16" s="588"/>
      <c r="OVW16" s="588"/>
      <c r="OVX16" s="588"/>
      <c r="OVY16" s="588"/>
      <c r="OVZ16" s="588"/>
      <c r="OWA16" s="588"/>
      <c r="OWB16" s="588"/>
      <c r="OWC16" s="588"/>
      <c r="OWD16" s="588"/>
      <c r="OWE16" s="588"/>
      <c r="OWF16" s="588"/>
      <c r="OWG16" s="588"/>
      <c r="OWH16" s="588"/>
      <c r="OWI16" s="588"/>
      <c r="OWJ16" s="588"/>
      <c r="OWK16" s="588"/>
      <c r="OWL16" s="588"/>
      <c r="OWM16" s="588"/>
      <c r="OWN16" s="588"/>
      <c r="OWO16" s="588"/>
      <c r="OWP16" s="588"/>
      <c r="OWQ16" s="588"/>
      <c r="OWR16" s="588"/>
      <c r="OWS16" s="588"/>
      <c r="OWT16" s="588"/>
      <c r="OWU16" s="588"/>
      <c r="OWV16" s="588"/>
      <c r="OWW16" s="588"/>
      <c r="OWX16" s="588"/>
      <c r="OWY16" s="588"/>
      <c r="OWZ16" s="588"/>
      <c r="OXA16" s="588"/>
      <c r="OXB16" s="588"/>
      <c r="OXC16" s="588"/>
      <c r="OXD16" s="588"/>
      <c r="OXE16" s="588"/>
      <c r="OXF16" s="588"/>
      <c r="OXG16" s="588"/>
      <c r="OXH16" s="588"/>
      <c r="OXI16" s="588"/>
      <c r="OXJ16" s="588"/>
      <c r="OXK16" s="588"/>
      <c r="OXL16" s="588"/>
      <c r="OXM16" s="588"/>
      <c r="OXN16" s="588"/>
      <c r="OXO16" s="588"/>
      <c r="OXP16" s="588"/>
      <c r="OXQ16" s="588"/>
      <c r="OXR16" s="588"/>
      <c r="OXS16" s="588"/>
      <c r="OXT16" s="588"/>
      <c r="OXU16" s="588"/>
      <c r="OXV16" s="588"/>
      <c r="OXW16" s="588"/>
      <c r="OXX16" s="588"/>
      <c r="OXY16" s="588"/>
      <c r="OXZ16" s="588"/>
      <c r="OYA16" s="588"/>
      <c r="OYB16" s="588"/>
      <c r="OYC16" s="588"/>
      <c r="OYD16" s="588"/>
      <c r="OYE16" s="588"/>
      <c r="OYF16" s="588"/>
      <c r="OYG16" s="588"/>
      <c r="OYH16" s="588"/>
      <c r="OYI16" s="588"/>
      <c r="OYJ16" s="588"/>
      <c r="OYK16" s="588"/>
      <c r="OYL16" s="588"/>
      <c r="OYM16" s="588"/>
      <c r="OYN16" s="588"/>
      <c r="OYO16" s="588"/>
      <c r="OYP16" s="588"/>
      <c r="OYQ16" s="588"/>
      <c r="OYR16" s="588"/>
      <c r="OYS16" s="588"/>
      <c r="OYT16" s="588"/>
      <c r="OYU16" s="588"/>
      <c r="OYV16" s="588"/>
      <c r="OYW16" s="588"/>
      <c r="OYX16" s="588"/>
      <c r="OYY16" s="588"/>
      <c r="OYZ16" s="588"/>
      <c r="OZA16" s="588"/>
      <c r="OZB16" s="588"/>
      <c r="OZC16" s="588"/>
      <c r="OZD16" s="588"/>
      <c r="OZE16" s="588"/>
      <c r="OZF16" s="588"/>
      <c r="OZG16" s="588"/>
      <c r="OZH16" s="588"/>
      <c r="OZI16" s="588"/>
      <c r="OZJ16" s="588"/>
      <c r="OZK16" s="588"/>
      <c r="OZL16" s="588"/>
      <c r="OZM16" s="588"/>
      <c r="OZN16" s="588"/>
      <c r="OZO16" s="588"/>
      <c r="OZP16" s="588"/>
      <c r="OZQ16" s="588"/>
      <c r="OZR16" s="588"/>
      <c r="OZS16" s="588"/>
      <c r="OZT16" s="588"/>
      <c r="OZU16" s="588"/>
      <c r="OZV16" s="588"/>
      <c r="OZW16" s="588"/>
      <c r="OZX16" s="588"/>
      <c r="OZY16" s="588"/>
      <c r="OZZ16" s="588"/>
      <c r="PAA16" s="588"/>
      <c r="PAB16" s="588"/>
      <c r="PAC16" s="588"/>
      <c r="PAD16" s="588"/>
      <c r="PAE16" s="588"/>
      <c r="PAF16" s="588"/>
      <c r="PAG16" s="588"/>
      <c r="PAH16" s="588"/>
      <c r="PAI16" s="588"/>
      <c r="PAJ16" s="588"/>
      <c r="PAK16" s="588"/>
      <c r="PAL16" s="588"/>
      <c r="PAM16" s="588"/>
      <c r="PAN16" s="588"/>
      <c r="PAO16" s="588"/>
      <c r="PAP16" s="588"/>
      <c r="PAQ16" s="588"/>
      <c r="PAR16" s="588"/>
      <c r="PAS16" s="588"/>
      <c r="PAT16" s="588"/>
      <c r="PAU16" s="588"/>
      <c r="PAV16" s="588"/>
      <c r="PAW16" s="588"/>
      <c r="PAX16" s="588"/>
      <c r="PAY16" s="588"/>
      <c r="PAZ16" s="588"/>
      <c r="PBA16" s="588"/>
      <c r="PBB16" s="588"/>
      <c r="PBC16" s="588"/>
      <c r="PBD16" s="588"/>
      <c r="PBE16" s="588"/>
      <c r="PBF16" s="588"/>
      <c r="PBG16" s="588"/>
      <c r="PBH16" s="588"/>
      <c r="PBI16" s="588"/>
      <c r="PBJ16" s="588"/>
      <c r="PBK16" s="588"/>
      <c r="PBL16" s="588"/>
      <c r="PBM16" s="588"/>
      <c r="PBN16" s="588"/>
      <c r="PBO16" s="588"/>
      <c r="PBP16" s="588"/>
      <c r="PBQ16" s="588"/>
      <c r="PBR16" s="588"/>
      <c r="PBS16" s="588"/>
      <c r="PBT16" s="588"/>
      <c r="PBU16" s="588"/>
      <c r="PBV16" s="588"/>
      <c r="PBW16" s="588"/>
      <c r="PBX16" s="588"/>
      <c r="PBY16" s="588"/>
      <c r="PBZ16" s="588"/>
      <c r="PCA16" s="588"/>
      <c r="PCB16" s="588"/>
      <c r="PCC16" s="588"/>
      <c r="PCD16" s="588"/>
      <c r="PCE16" s="588"/>
      <c r="PCF16" s="588"/>
      <c r="PCG16" s="588"/>
      <c r="PCH16" s="588"/>
      <c r="PCI16" s="588"/>
      <c r="PCJ16" s="588"/>
      <c r="PCK16" s="588"/>
      <c r="PCL16" s="588"/>
      <c r="PCM16" s="588"/>
      <c r="PCN16" s="588"/>
      <c r="PCO16" s="588"/>
      <c r="PCP16" s="588"/>
      <c r="PCQ16" s="588"/>
      <c r="PCR16" s="588"/>
      <c r="PCS16" s="588"/>
      <c r="PCT16" s="588"/>
      <c r="PCU16" s="588"/>
      <c r="PCV16" s="588"/>
      <c r="PCW16" s="588"/>
      <c r="PCX16" s="588"/>
      <c r="PCY16" s="588"/>
      <c r="PCZ16" s="588"/>
      <c r="PDA16" s="588"/>
      <c r="PDB16" s="588"/>
      <c r="PDC16" s="588"/>
      <c r="PDD16" s="588"/>
      <c r="PDE16" s="588"/>
      <c r="PDF16" s="588"/>
      <c r="PDG16" s="588"/>
      <c r="PDH16" s="588"/>
      <c r="PDI16" s="588"/>
      <c r="PDJ16" s="588"/>
      <c r="PDK16" s="588"/>
      <c r="PDL16" s="588"/>
      <c r="PDM16" s="588"/>
      <c r="PDN16" s="588"/>
      <c r="PDO16" s="588"/>
      <c r="PDP16" s="588"/>
      <c r="PDQ16" s="588"/>
      <c r="PDR16" s="588"/>
      <c r="PDS16" s="588"/>
      <c r="PDT16" s="588"/>
      <c r="PDU16" s="588"/>
      <c r="PDV16" s="588"/>
      <c r="PDW16" s="588"/>
      <c r="PDX16" s="588"/>
      <c r="PDY16" s="588"/>
      <c r="PDZ16" s="588"/>
      <c r="PEA16" s="588"/>
      <c r="PEB16" s="588"/>
      <c r="PEC16" s="588"/>
      <c r="PED16" s="588"/>
      <c r="PEE16" s="588"/>
      <c r="PEF16" s="588"/>
      <c r="PEG16" s="588"/>
      <c r="PEH16" s="588"/>
      <c r="PEI16" s="588"/>
      <c r="PEJ16" s="588"/>
      <c r="PEK16" s="588"/>
      <c r="PEL16" s="588"/>
      <c r="PEM16" s="588"/>
      <c r="PEN16" s="588"/>
      <c r="PEO16" s="588"/>
      <c r="PEP16" s="588"/>
      <c r="PEQ16" s="588"/>
      <c r="PER16" s="588"/>
      <c r="PES16" s="588"/>
      <c r="PET16" s="588"/>
      <c r="PEU16" s="588"/>
      <c r="PEV16" s="588"/>
      <c r="PEW16" s="588"/>
      <c r="PEX16" s="588"/>
      <c r="PEY16" s="588"/>
      <c r="PEZ16" s="588"/>
      <c r="PFA16" s="588"/>
      <c r="PFB16" s="588"/>
      <c r="PFC16" s="588"/>
      <c r="PFD16" s="588"/>
      <c r="PFE16" s="588"/>
      <c r="PFF16" s="588"/>
      <c r="PFG16" s="588"/>
      <c r="PFH16" s="588"/>
      <c r="PFI16" s="588"/>
      <c r="PFJ16" s="588"/>
      <c r="PFK16" s="588"/>
      <c r="PFL16" s="588"/>
      <c r="PFM16" s="588"/>
      <c r="PFN16" s="588"/>
      <c r="PFO16" s="588"/>
      <c r="PFP16" s="588"/>
      <c r="PFQ16" s="588"/>
      <c r="PFR16" s="588"/>
      <c r="PFS16" s="588"/>
      <c r="PFT16" s="588"/>
      <c r="PFU16" s="588"/>
      <c r="PFV16" s="588"/>
      <c r="PFW16" s="588"/>
      <c r="PFX16" s="588"/>
      <c r="PFY16" s="588"/>
      <c r="PFZ16" s="588"/>
      <c r="PGA16" s="588"/>
      <c r="PGB16" s="588"/>
      <c r="PGC16" s="588"/>
      <c r="PGD16" s="588"/>
      <c r="PGE16" s="588"/>
      <c r="PGF16" s="588"/>
      <c r="PGG16" s="588"/>
      <c r="PGH16" s="588"/>
      <c r="PGI16" s="588"/>
      <c r="PGJ16" s="588"/>
      <c r="PGK16" s="588"/>
      <c r="PGL16" s="588"/>
      <c r="PGM16" s="588"/>
      <c r="PGN16" s="588"/>
      <c r="PGO16" s="588"/>
      <c r="PGP16" s="588"/>
      <c r="PGQ16" s="588"/>
      <c r="PGR16" s="588"/>
      <c r="PGS16" s="588"/>
      <c r="PGT16" s="588"/>
      <c r="PGU16" s="588"/>
      <c r="PGV16" s="588"/>
      <c r="PGW16" s="588"/>
      <c r="PGX16" s="588"/>
      <c r="PGY16" s="588"/>
      <c r="PGZ16" s="588"/>
      <c r="PHA16" s="588"/>
      <c r="PHB16" s="588"/>
      <c r="PHC16" s="588"/>
      <c r="PHD16" s="588"/>
      <c r="PHE16" s="588"/>
      <c r="PHF16" s="588"/>
      <c r="PHG16" s="588"/>
      <c r="PHH16" s="588"/>
      <c r="PHI16" s="588"/>
      <c r="PHJ16" s="588"/>
      <c r="PHK16" s="588"/>
      <c r="PHL16" s="588"/>
      <c r="PHM16" s="588"/>
      <c r="PHN16" s="588"/>
      <c r="PHO16" s="588"/>
      <c r="PHP16" s="588"/>
      <c r="PHQ16" s="588"/>
      <c r="PHR16" s="588"/>
      <c r="PHS16" s="588"/>
      <c r="PHT16" s="588"/>
      <c r="PHU16" s="588"/>
      <c r="PHV16" s="588"/>
      <c r="PHW16" s="588"/>
      <c r="PHX16" s="588"/>
      <c r="PHY16" s="588"/>
      <c r="PHZ16" s="588"/>
      <c r="PIA16" s="588"/>
      <c r="PIB16" s="588"/>
      <c r="PIC16" s="588"/>
      <c r="PID16" s="588"/>
      <c r="PIE16" s="588"/>
      <c r="PIF16" s="588"/>
      <c r="PIG16" s="588"/>
      <c r="PIH16" s="588"/>
      <c r="PII16" s="588"/>
      <c r="PIJ16" s="588"/>
      <c r="PIK16" s="588"/>
      <c r="PIL16" s="588"/>
      <c r="PIM16" s="588"/>
      <c r="PIN16" s="588"/>
      <c r="PIO16" s="588"/>
      <c r="PIP16" s="588"/>
      <c r="PIQ16" s="588"/>
      <c r="PIR16" s="588"/>
      <c r="PIS16" s="588"/>
      <c r="PIT16" s="588"/>
      <c r="PIU16" s="588"/>
      <c r="PIV16" s="588"/>
      <c r="PIW16" s="588"/>
      <c r="PIX16" s="588"/>
      <c r="PIY16" s="588"/>
      <c r="PIZ16" s="588"/>
      <c r="PJA16" s="588"/>
      <c r="PJB16" s="588"/>
      <c r="PJC16" s="588"/>
      <c r="PJD16" s="588"/>
      <c r="PJE16" s="588"/>
      <c r="PJF16" s="588"/>
      <c r="PJG16" s="588"/>
      <c r="PJH16" s="588"/>
      <c r="PJI16" s="588"/>
      <c r="PJJ16" s="588"/>
      <c r="PJK16" s="588"/>
      <c r="PJL16" s="588"/>
      <c r="PJM16" s="588"/>
      <c r="PJN16" s="588"/>
      <c r="PJO16" s="588"/>
      <c r="PJP16" s="588"/>
      <c r="PJQ16" s="588"/>
      <c r="PJR16" s="588"/>
      <c r="PJS16" s="588"/>
      <c r="PJT16" s="588"/>
      <c r="PJU16" s="588"/>
      <c r="PJV16" s="588"/>
      <c r="PJW16" s="588"/>
      <c r="PJX16" s="588"/>
      <c r="PJY16" s="588"/>
      <c r="PJZ16" s="588"/>
      <c r="PKA16" s="588"/>
      <c r="PKB16" s="588"/>
      <c r="PKC16" s="588"/>
      <c r="PKD16" s="588"/>
      <c r="PKE16" s="588"/>
      <c r="PKF16" s="588"/>
      <c r="PKG16" s="588"/>
      <c r="PKH16" s="588"/>
      <c r="PKI16" s="588"/>
      <c r="PKJ16" s="588"/>
      <c r="PKK16" s="588"/>
      <c r="PKL16" s="588"/>
      <c r="PKM16" s="588"/>
      <c r="PKN16" s="588"/>
      <c r="PKO16" s="588"/>
      <c r="PKP16" s="588"/>
      <c r="PKQ16" s="588"/>
      <c r="PKR16" s="588"/>
      <c r="PKS16" s="588"/>
      <c r="PKT16" s="588"/>
      <c r="PKU16" s="588"/>
      <c r="PKV16" s="588"/>
      <c r="PKW16" s="588"/>
      <c r="PKX16" s="588"/>
      <c r="PKY16" s="588"/>
      <c r="PKZ16" s="588"/>
      <c r="PLA16" s="588"/>
      <c r="PLB16" s="588"/>
      <c r="PLC16" s="588"/>
      <c r="PLD16" s="588"/>
      <c r="PLE16" s="588"/>
      <c r="PLF16" s="588"/>
      <c r="PLG16" s="588"/>
      <c r="PLH16" s="588"/>
      <c r="PLI16" s="588"/>
      <c r="PLJ16" s="588"/>
      <c r="PLK16" s="588"/>
      <c r="PLL16" s="588"/>
      <c r="PLM16" s="588"/>
      <c r="PLN16" s="588"/>
      <c r="PLO16" s="588"/>
      <c r="PLP16" s="588"/>
      <c r="PLQ16" s="588"/>
      <c r="PLR16" s="588"/>
      <c r="PLS16" s="588"/>
      <c r="PLT16" s="588"/>
      <c r="PLU16" s="588"/>
      <c r="PLV16" s="588"/>
      <c r="PLW16" s="588"/>
      <c r="PLX16" s="588"/>
      <c r="PLY16" s="588"/>
      <c r="PLZ16" s="588"/>
      <c r="PMA16" s="588"/>
      <c r="PMB16" s="588"/>
      <c r="PMC16" s="588"/>
      <c r="PMD16" s="588"/>
      <c r="PME16" s="588"/>
      <c r="PMF16" s="588"/>
      <c r="PMG16" s="588"/>
      <c r="PMH16" s="588"/>
      <c r="PMI16" s="588"/>
      <c r="PMJ16" s="588"/>
      <c r="PMK16" s="588"/>
      <c r="PML16" s="588"/>
      <c r="PMM16" s="588"/>
      <c r="PMN16" s="588"/>
      <c r="PMO16" s="588"/>
      <c r="PMP16" s="588"/>
      <c r="PMQ16" s="588"/>
      <c r="PMR16" s="588"/>
      <c r="PMS16" s="588"/>
      <c r="PMT16" s="588"/>
      <c r="PMU16" s="588"/>
      <c r="PMV16" s="588"/>
      <c r="PMW16" s="588"/>
      <c r="PMX16" s="588"/>
      <c r="PMY16" s="588"/>
      <c r="PMZ16" s="588"/>
      <c r="PNA16" s="588"/>
      <c r="PNB16" s="588"/>
      <c r="PNC16" s="588"/>
      <c r="PND16" s="588"/>
      <c r="PNE16" s="588"/>
      <c r="PNF16" s="588"/>
      <c r="PNG16" s="588"/>
      <c r="PNH16" s="588"/>
      <c r="PNI16" s="588"/>
      <c r="PNJ16" s="588"/>
      <c r="PNK16" s="588"/>
      <c r="PNL16" s="588"/>
      <c r="PNM16" s="588"/>
      <c r="PNN16" s="588"/>
      <c r="PNO16" s="588"/>
      <c r="PNP16" s="588"/>
      <c r="PNQ16" s="588"/>
      <c r="PNR16" s="588"/>
      <c r="PNS16" s="588"/>
      <c r="PNT16" s="588"/>
      <c r="PNU16" s="588"/>
      <c r="PNV16" s="588"/>
      <c r="PNW16" s="588"/>
      <c r="PNX16" s="588"/>
      <c r="PNY16" s="588"/>
      <c r="PNZ16" s="588"/>
      <c r="POA16" s="588"/>
      <c r="POB16" s="588"/>
      <c r="POC16" s="588"/>
      <c r="POD16" s="588"/>
      <c r="POE16" s="588"/>
      <c r="POF16" s="588"/>
      <c r="POG16" s="588"/>
      <c r="POH16" s="588"/>
      <c r="POI16" s="588"/>
      <c r="POJ16" s="588"/>
      <c r="POK16" s="588"/>
      <c r="POL16" s="588"/>
      <c r="POM16" s="588"/>
      <c r="PON16" s="588"/>
      <c r="POO16" s="588"/>
      <c r="POP16" s="588"/>
      <c r="POQ16" s="588"/>
      <c r="POR16" s="588"/>
      <c r="POS16" s="588"/>
      <c r="POT16" s="588"/>
      <c r="POU16" s="588"/>
      <c r="POV16" s="588"/>
      <c r="POW16" s="588"/>
      <c r="POX16" s="588"/>
      <c r="POY16" s="588"/>
      <c r="POZ16" s="588"/>
      <c r="PPA16" s="588"/>
      <c r="PPB16" s="588"/>
      <c r="PPC16" s="588"/>
      <c r="PPD16" s="588"/>
      <c r="PPE16" s="588"/>
      <c r="PPF16" s="588"/>
      <c r="PPG16" s="588"/>
      <c r="PPH16" s="588"/>
      <c r="PPI16" s="588"/>
      <c r="PPJ16" s="588"/>
      <c r="PPK16" s="588"/>
      <c r="PPL16" s="588"/>
      <c r="PPM16" s="588"/>
      <c r="PPN16" s="588"/>
      <c r="PPO16" s="588"/>
      <c r="PPP16" s="588"/>
      <c r="PPQ16" s="588"/>
      <c r="PPR16" s="588"/>
      <c r="PPS16" s="588"/>
      <c r="PPT16" s="588"/>
      <c r="PPU16" s="588"/>
      <c r="PPV16" s="588"/>
      <c r="PPW16" s="588"/>
      <c r="PPX16" s="588"/>
      <c r="PPY16" s="588"/>
      <c r="PPZ16" s="588"/>
      <c r="PQA16" s="588"/>
      <c r="PQB16" s="588"/>
      <c r="PQC16" s="588"/>
      <c r="PQD16" s="588"/>
      <c r="PQE16" s="588"/>
      <c r="PQF16" s="588"/>
      <c r="PQG16" s="588"/>
      <c r="PQH16" s="588"/>
      <c r="PQI16" s="588"/>
      <c r="PQJ16" s="588"/>
      <c r="PQK16" s="588"/>
      <c r="PQL16" s="588"/>
      <c r="PQM16" s="588"/>
      <c r="PQN16" s="588"/>
      <c r="PQO16" s="588"/>
      <c r="PQP16" s="588"/>
      <c r="PQQ16" s="588"/>
      <c r="PQR16" s="588"/>
      <c r="PQS16" s="588"/>
      <c r="PQT16" s="588"/>
      <c r="PQU16" s="588"/>
      <c r="PQV16" s="588"/>
      <c r="PQW16" s="588"/>
      <c r="PQX16" s="588"/>
      <c r="PQY16" s="588"/>
      <c r="PQZ16" s="588"/>
      <c r="PRA16" s="588"/>
      <c r="PRB16" s="588"/>
      <c r="PRC16" s="588"/>
      <c r="PRD16" s="588"/>
      <c r="PRE16" s="588"/>
      <c r="PRF16" s="588"/>
      <c r="PRG16" s="588"/>
      <c r="PRH16" s="588"/>
      <c r="PRI16" s="588"/>
      <c r="PRJ16" s="588"/>
      <c r="PRK16" s="588"/>
      <c r="PRL16" s="588"/>
      <c r="PRM16" s="588"/>
      <c r="PRN16" s="588"/>
      <c r="PRO16" s="588"/>
      <c r="PRP16" s="588"/>
      <c r="PRQ16" s="588"/>
      <c r="PRR16" s="588"/>
      <c r="PRS16" s="588"/>
      <c r="PRT16" s="588"/>
      <c r="PRU16" s="588"/>
      <c r="PRV16" s="588"/>
      <c r="PRW16" s="588"/>
      <c r="PRX16" s="588"/>
      <c r="PRY16" s="588"/>
      <c r="PRZ16" s="588"/>
      <c r="PSA16" s="588"/>
      <c r="PSB16" s="588"/>
      <c r="PSC16" s="588"/>
      <c r="PSD16" s="588"/>
      <c r="PSE16" s="588"/>
      <c r="PSF16" s="588"/>
      <c r="PSG16" s="588"/>
      <c r="PSH16" s="588"/>
      <c r="PSI16" s="588"/>
      <c r="PSJ16" s="588"/>
      <c r="PSK16" s="588"/>
      <c r="PSL16" s="588"/>
      <c r="PSM16" s="588"/>
      <c r="PSN16" s="588"/>
      <c r="PSO16" s="588"/>
      <c r="PSP16" s="588"/>
      <c r="PSQ16" s="588"/>
      <c r="PSR16" s="588"/>
      <c r="PSS16" s="588"/>
      <c r="PST16" s="588"/>
      <c r="PSU16" s="588"/>
      <c r="PSV16" s="588"/>
      <c r="PSW16" s="588"/>
      <c r="PSX16" s="588"/>
      <c r="PSY16" s="588"/>
      <c r="PSZ16" s="588"/>
      <c r="PTA16" s="588"/>
      <c r="PTB16" s="588"/>
      <c r="PTC16" s="588"/>
      <c r="PTD16" s="588"/>
      <c r="PTE16" s="588"/>
      <c r="PTF16" s="588"/>
      <c r="PTG16" s="588"/>
      <c r="PTH16" s="588"/>
      <c r="PTI16" s="588"/>
      <c r="PTJ16" s="588"/>
      <c r="PTK16" s="588"/>
      <c r="PTL16" s="588"/>
      <c r="PTM16" s="588"/>
      <c r="PTN16" s="588"/>
      <c r="PTO16" s="588"/>
      <c r="PTP16" s="588"/>
      <c r="PTQ16" s="588"/>
      <c r="PTR16" s="588"/>
      <c r="PTS16" s="588"/>
      <c r="PTT16" s="588"/>
      <c r="PTU16" s="588"/>
      <c r="PTV16" s="588"/>
      <c r="PTW16" s="588"/>
      <c r="PTX16" s="588"/>
      <c r="PTY16" s="588"/>
      <c r="PTZ16" s="588"/>
      <c r="PUA16" s="588"/>
      <c r="PUB16" s="588"/>
      <c r="PUC16" s="588"/>
      <c r="PUD16" s="588"/>
      <c r="PUE16" s="588"/>
      <c r="PUF16" s="588"/>
      <c r="PUG16" s="588"/>
      <c r="PUH16" s="588"/>
      <c r="PUI16" s="588"/>
      <c r="PUJ16" s="588"/>
      <c r="PUK16" s="588"/>
      <c r="PUL16" s="588"/>
      <c r="PUM16" s="588"/>
      <c r="PUN16" s="588"/>
      <c r="PUO16" s="588"/>
      <c r="PUP16" s="588"/>
      <c r="PUQ16" s="588"/>
      <c r="PUR16" s="588"/>
      <c r="PUS16" s="588"/>
      <c r="PUT16" s="588"/>
      <c r="PUU16" s="588"/>
      <c r="PUV16" s="588"/>
      <c r="PUW16" s="588"/>
      <c r="PUX16" s="588"/>
      <c r="PUY16" s="588"/>
      <c r="PUZ16" s="588"/>
      <c r="PVA16" s="588"/>
      <c r="PVB16" s="588"/>
      <c r="PVC16" s="588"/>
      <c r="PVD16" s="588"/>
      <c r="PVE16" s="588"/>
      <c r="PVF16" s="588"/>
      <c r="PVG16" s="588"/>
      <c r="PVH16" s="588"/>
      <c r="PVI16" s="588"/>
      <c r="PVJ16" s="588"/>
      <c r="PVK16" s="588"/>
      <c r="PVL16" s="588"/>
      <c r="PVM16" s="588"/>
      <c r="PVN16" s="588"/>
      <c r="PVO16" s="588"/>
      <c r="PVP16" s="588"/>
      <c r="PVQ16" s="588"/>
      <c r="PVR16" s="588"/>
      <c r="PVS16" s="588"/>
      <c r="PVT16" s="588"/>
      <c r="PVU16" s="588"/>
      <c r="PVV16" s="588"/>
      <c r="PVW16" s="588"/>
      <c r="PVX16" s="588"/>
      <c r="PVY16" s="588"/>
      <c r="PVZ16" s="588"/>
      <c r="PWA16" s="588"/>
      <c r="PWB16" s="588"/>
      <c r="PWC16" s="588"/>
      <c r="PWD16" s="588"/>
      <c r="PWE16" s="588"/>
      <c r="PWF16" s="588"/>
      <c r="PWG16" s="588"/>
      <c r="PWH16" s="588"/>
      <c r="PWI16" s="588"/>
      <c r="PWJ16" s="588"/>
      <c r="PWK16" s="588"/>
      <c r="PWL16" s="588"/>
      <c r="PWM16" s="588"/>
      <c r="PWN16" s="588"/>
      <c r="PWO16" s="588"/>
      <c r="PWP16" s="588"/>
      <c r="PWQ16" s="588"/>
      <c r="PWR16" s="588"/>
      <c r="PWS16" s="588"/>
      <c r="PWT16" s="588"/>
      <c r="PWU16" s="588"/>
      <c r="PWV16" s="588"/>
      <c r="PWW16" s="588"/>
      <c r="PWX16" s="588"/>
      <c r="PWY16" s="588"/>
      <c r="PWZ16" s="588"/>
      <c r="PXA16" s="588"/>
      <c r="PXB16" s="588"/>
      <c r="PXC16" s="588"/>
      <c r="PXD16" s="588"/>
      <c r="PXE16" s="588"/>
      <c r="PXF16" s="588"/>
      <c r="PXG16" s="588"/>
      <c r="PXH16" s="588"/>
      <c r="PXI16" s="588"/>
      <c r="PXJ16" s="588"/>
      <c r="PXK16" s="588"/>
      <c r="PXL16" s="588"/>
      <c r="PXM16" s="588"/>
      <c r="PXN16" s="588"/>
      <c r="PXO16" s="588"/>
      <c r="PXP16" s="588"/>
      <c r="PXQ16" s="588"/>
      <c r="PXR16" s="588"/>
      <c r="PXS16" s="588"/>
      <c r="PXT16" s="588"/>
      <c r="PXU16" s="588"/>
      <c r="PXV16" s="588"/>
      <c r="PXW16" s="588"/>
      <c r="PXX16" s="588"/>
      <c r="PXY16" s="588"/>
      <c r="PXZ16" s="588"/>
      <c r="PYA16" s="588"/>
      <c r="PYB16" s="588"/>
      <c r="PYC16" s="588"/>
      <c r="PYD16" s="588"/>
      <c r="PYE16" s="588"/>
      <c r="PYF16" s="588"/>
      <c r="PYG16" s="588"/>
      <c r="PYH16" s="588"/>
      <c r="PYI16" s="588"/>
      <c r="PYJ16" s="588"/>
      <c r="PYK16" s="588"/>
      <c r="PYL16" s="588"/>
      <c r="PYM16" s="588"/>
      <c r="PYN16" s="588"/>
      <c r="PYO16" s="588"/>
      <c r="PYP16" s="588"/>
      <c r="PYQ16" s="588"/>
      <c r="PYR16" s="588"/>
      <c r="PYS16" s="588"/>
      <c r="PYT16" s="588"/>
      <c r="PYU16" s="588"/>
      <c r="PYV16" s="588"/>
      <c r="PYW16" s="588"/>
      <c r="PYX16" s="588"/>
      <c r="PYY16" s="588"/>
      <c r="PYZ16" s="588"/>
      <c r="PZA16" s="588"/>
      <c r="PZB16" s="588"/>
      <c r="PZC16" s="588"/>
      <c r="PZD16" s="588"/>
      <c r="PZE16" s="588"/>
      <c r="PZF16" s="588"/>
      <c r="PZG16" s="588"/>
      <c r="PZH16" s="588"/>
      <c r="PZI16" s="588"/>
      <c r="PZJ16" s="588"/>
      <c r="PZK16" s="588"/>
      <c r="PZL16" s="588"/>
      <c r="PZM16" s="588"/>
      <c r="PZN16" s="588"/>
      <c r="PZO16" s="588"/>
      <c r="PZP16" s="588"/>
      <c r="PZQ16" s="588"/>
      <c r="PZR16" s="588"/>
      <c r="PZS16" s="588"/>
      <c r="PZT16" s="588"/>
      <c r="PZU16" s="588"/>
      <c r="PZV16" s="588"/>
      <c r="PZW16" s="588"/>
      <c r="PZX16" s="588"/>
      <c r="PZY16" s="588"/>
      <c r="PZZ16" s="588"/>
      <c r="QAA16" s="588"/>
      <c r="QAB16" s="588"/>
      <c r="QAC16" s="588"/>
      <c r="QAD16" s="588"/>
      <c r="QAE16" s="588"/>
      <c r="QAF16" s="588"/>
      <c r="QAG16" s="588"/>
      <c r="QAH16" s="588"/>
      <c r="QAI16" s="588"/>
      <c r="QAJ16" s="588"/>
      <c r="QAK16" s="588"/>
      <c r="QAL16" s="588"/>
      <c r="QAM16" s="588"/>
      <c r="QAN16" s="588"/>
      <c r="QAO16" s="588"/>
      <c r="QAP16" s="588"/>
      <c r="QAQ16" s="588"/>
      <c r="QAR16" s="588"/>
      <c r="QAS16" s="588"/>
      <c r="QAT16" s="588"/>
      <c r="QAU16" s="588"/>
      <c r="QAV16" s="588"/>
      <c r="QAW16" s="588"/>
      <c r="QAX16" s="588"/>
      <c r="QAY16" s="588"/>
      <c r="QAZ16" s="588"/>
      <c r="QBA16" s="588"/>
      <c r="QBB16" s="588"/>
      <c r="QBC16" s="588"/>
      <c r="QBD16" s="588"/>
      <c r="QBE16" s="588"/>
      <c r="QBF16" s="588"/>
      <c r="QBG16" s="588"/>
      <c r="QBH16" s="588"/>
      <c r="QBI16" s="588"/>
      <c r="QBJ16" s="588"/>
      <c r="QBK16" s="588"/>
      <c r="QBL16" s="588"/>
      <c r="QBM16" s="588"/>
      <c r="QBN16" s="588"/>
      <c r="QBO16" s="588"/>
      <c r="QBP16" s="588"/>
      <c r="QBQ16" s="588"/>
      <c r="QBR16" s="588"/>
      <c r="QBS16" s="588"/>
      <c r="QBT16" s="588"/>
      <c r="QBU16" s="588"/>
      <c r="QBV16" s="588"/>
      <c r="QBW16" s="588"/>
      <c r="QBX16" s="588"/>
      <c r="QBY16" s="588"/>
      <c r="QBZ16" s="588"/>
      <c r="QCA16" s="588"/>
      <c r="QCB16" s="588"/>
      <c r="QCC16" s="588"/>
      <c r="QCD16" s="588"/>
      <c r="QCE16" s="588"/>
      <c r="QCF16" s="588"/>
      <c r="QCG16" s="588"/>
      <c r="QCH16" s="588"/>
      <c r="QCI16" s="588"/>
      <c r="QCJ16" s="588"/>
      <c r="QCK16" s="588"/>
      <c r="QCL16" s="588"/>
      <c r="QCM16" s="588"/>
      <c r="QCN16" s="588"/>
      <c r="QCO16" s="588"/>
      <c r="QCP16" s="588"/>
      <c r="QCQ16" s="588"/>
      <c r="QCR16" s="588"/>
      <c r="QCS16" s="588"/>
      <c r="QCT16" s="588"/>
      <c r="QCU16" s="588"/>
      <c r="QCV16" s="588"/>
      <c r="QCW16" s="588"/>
      <c r="QCX16" s="588"/>
      <c r="QCY16" s="588"/>
      <c r="QCZ16" s="588"/>
      <c r="QDA16" s="588"/>
      <c r="QDB16" s="588"/>
      <c r="QDC16" s="588"/>
      <c r="QDD16" s="588"/>
      <c r="QDE16" s="588"/>
      <c r="QDF16" s="588"/>
      <c r="QDG16" s="588"/>
      <c r="QDH16" s="588"/>
      <c r="QDI16" s="588"/>
      <c r="QDJ16" s="588"/>
      <c r="QDK16" s="588"/>
      <c r="QDL16" s="588"/>
      <c r="QDM16" s="588"/>
      <c r="QDN16" s="588"/>
      <c r="QDO16" s="588"/>
      <c r="QDP16" s="588"/>
      <c r="QDQ16" s="588"/>
      <c r="QDR16" s="588"/>
      <c r="QDS16" s="588"/>
      <c r="QDT16" s="588"/>
      <c r="QDU16" s="588"/>
      <c r="QDV16" s="588"/>
      <c r="QDW16" s="588"/>
      <c r="QDX16" s="588"/>
      <c r="QDY16" s="588"/>
      <c r="QDZ16" s="588"/>
      <c r="QEA16" s="588"/>
      <c r="QEB16" s="588"/>
      <c r="QEC16" s="588"/>
      <c r="QED16" s="588"/>
      <c r="QEE16" s="588"/>
      <c r="QEF16" s="588"/>
      <c r="QEG16" s="588"/>
      <c r="QEH16" s="588"/>
      <c r="QEI16" s="588"/>
      <c r="QEJ16" s="588"/>
      <c r="QEK16" s="588"/>
      <c r="QEL16" s="588"/>
      <c r="QEM16" s="588"/>
      <c r="QEN16" s="588"/>
      <c r="QEO16" s="588"/>
      <c r="QEP16" s="588"/>
      <c r="QEQ16" s="588"/>
      <c r="QER16" s="588"/>
      <c r="QES16" s="588"/>
      <c r="QET16" s="588"/>
      <c r="QEU16" s="588"/>
      <c r="QEV16" s="588"/>
      <c r="QEW16" s="588"/>
      <c r="QEX16" s="588"/>
      <c r="QEY16" s="588"/>
      <c r="QEZ16" s="588"/>
      <c r="QFA16" s="588"/>
      <c r="QFB16" s="588"/>
      <c r="QFC16" s="588"/>
      <c r="QFD16" s="588"/>
      <c r="QFE16" s="588"/>
      <c r="QFF16" s="588"/>
      <c r="QFG16" s="588"/>
      <c r="QFH16" s="588"/>
      <c r="QFI16" s="588"/>
      <c r="QFJ16" s="588"/>
      <c r="QFK16" s="588"/>
      <c r="QFL16" s="588"/>
      <c r="QFM16" s="588"/>
      <c r="QFN16" s="588"/>
      <c r="QFO16" s="588"/>
      <c r="QFP16" s="588"/>
      <c r="QFQ16" s="588"/>
      <c r="QFR16" s="588"/>
      <c r="QFS16" s="588"/>
      <c r="QFT16" s="588"/>
      <c r="QFU16" s="588"/>
      <c r="QFV16" s="588"/>
      <c r="QFW16" s="588"/>
      <c r="QFX16" s="588"/>
      <c r="QFY16" s="588"/>
      <c r="QFZ16" s="588"/>
      <c r="QGA16" s="588"/>
      <c r="QGB16" s="588"/>
      <c r="QGC16" s="588"/>
      <c r="QGD16" s="588"/>
      <c r="QGE16" s="588"/>
      <c r="QGF16" s="588"/>
      <c r="QGG16" s="588"/>
      <c r="QGH16" s="588"/>
      <c r="QGI16" s="588"/>
      <c r="QGJ16" s="588"/>
      <c r="QGK16" s="588"/>
      <c r="QGL16" s="588"/>
      <c r="QGM16" s="588"/>
      <c r="QGN16" s="588"/>
      <c r="QGO16" s="588"/>
      <c r="QGP16" s="588"/>
      <c r="QGQ16" s="588"/>
      <c r="QGR16" s="588"/>
      <c r="QGS16" s="588"/>
      <c r="QGT16" s="588"/>
      <c r="QGU16" s="588"/>
      <c r="QGV16" s="588"/>
      <c r="QGW16" s="588"/>
      <c r="QGX16" s="588"/>
      <c r="QGY16" s="588"/>
      <c r="QGZ16" s="588"/>
      <c r="QHA16" s="588"/>
      <c r="QHB16" s="588"/>
      <c r="QHC16" s="588"/>
      <c r="QHD16" s="588"/>
      <c r="QHE16" s="588"/>
      <c r="QHF16" s="588"/>
      <c r="QHG16" s="588"/>
      <c r="QHH16" s="588"/>
      <c r="QHI16" s="588"/>
      <c r="QHJ16" s="588"/>
      <c r="QHK16" s="588"/>
      <c r="QHL16" s="588"/>
      <c r="QHM16" s="588"/>
      <c r="QHN16" s="588"/>
      <c r="QHO16" s="588"/>
      <c r="QHP16" s="588"/>
      <c r="QHQ16" s="588"/>
      <c r="QHR16" s="588"/>
      <c r="QHS16" s="588"/>
      <c r="QHT16" s="588"/>
      <c r="QHU16" s="588"/>
      <c r="QHV16" s="588"/>
      <c r="QHW16" s="588"/>
      <c r="QHX16" s="588"/>
      <c r="QHY16" s="588"/>
      <c r="QHZ16" s="588"/>
      <c r="QIA16" s="588"/>
      <c r="QIB16" s="588"/>
      <c r="QIC16" s="588"/>
      <c r="QID16" s="588"/>
      <c r="QIE16" s="588"/>
      <c r="QIF16" s="588"/>
      <c r="QIG16" s="588"/>
      <c r="QIH16" s="588"/>
      <c r="QII16" s="588"/>
      <c r="QIJ16" s="588"/>
      <c r="QIK16" s="588"/>
      <c r="QIL16" s="588"/>
      <c r="QIM16" s="588"/>
      <c r="QIN16" s="588"/>
      <c r="QIO16" s="588"/>
      <c r="QIP16" s="588"/>
      <c r="QIQ16" s="588"/>
      <c r="QIR16" s="588"/>
      <c r="QIS16" s="588"/>
      <c r="QIT16" s="588"/>
      <c r="QIU16" s="588"/>
      <c r="QIV16" s="588"/>
      <c r="QIW16" s="588"/>
      <c r="QIX16" s="588"/>
      <c r="QIY16" s="588"/>
      <c r="QIZ16" s="588"/>
      <c r="QJA16" s="588"/>
      <c r="QJB16" s="588"/>
      <c r="QJC16" s="588"/>
      <c r="QJD16" s="588"/>
      <c r="QJE16" s="588"/>
      <c r="QJF16" s="588"/>
      <c r="QJG16" s="588"/>
      <c r="QJH16" s="588"/>
      <c r="QJI16" s="588"/>
      <c r="QJJ16" s="588"/>
      <c r="QJK16" s="588"/>
      <c r="QJL16" s="588"/>
      <c r="QJM16" s="588"/>
      <c r="QJN16" s="588"/>
      <c r="QJO16" s="588"/>
      <c r="QJP16" s="588"/>
      <c r="QJQ16" s="588"/>
      <c r="QJR16" s="588"/>
      <c r="QJS16" s="588"/>
      <c r="QJT16" s="588"/>
      <c r="QJU16" s="588"/>
      <c r="QJV16" s="588"/>
      <c r="QJW16" s="588"/>
      <c r="QJX16" s="588"/>
      <c r="QJY16" s="588"/>
      <c r="QJZ16" s="588"/>
      <c r="QKA16" s="588"/>
      <c r="QKB16" s="588"/>
      <c r="QKC16" s="588"/>
      <c r="QKD16" s="588"/>
      <c r="QKE16" s="588"/>
      <c r="QKF16" s="588"/>
      <c r="QKG16" s="588"/>
      <c r="QKH16" s="588"/>
      <c r="QKI16" s="588"/>
      <c r="QKJ16" s="588"/>
      <c r="QKK16" s="588"/>
      <c r="QKL16" s="588"/>
      <c r="QKM16" s="588"/>
      <c r="QKN16" s="588"/>
      <c r="QKO16" s="588"/>
      <c r="QKP16" s="588"/>
      <c r="QKQ16" s="588"/>
      <c r="QKR16" s="588"/>
      <c r="QKS16" s="588"/>
      <c r="QKT16" s="588"/>
      <c r="QKU16" s="588"/>
      <c r="QKV16" s="588"/>
      <c r="QKW16" s="588"/>
      <c r="QKX16" s="588"/>
      <c r="QKY16" s="588"/>
      <c r="QKZ16" s="588"/>
      <c r="QLA16" s="588"/>
      <c r="QLB16" s="588"/>
      <c r="QLC16" s="588"/>
      <c r="QLD16" s="588"/>
      <c r="QLE16" s="588"/>
      <c r="QLF16" s="588"/>
      <c r="QLG16" s="588"/>
      <c r="QLH16" s="588"/>
      <c r="QLI16" s="588"/>
      <c r="QLJ16" s="588"/>
      <c r="QLK16" s="588"/>
      <c r="QLL16" s="588"/>
      <c r="QLM16" s="588"/>
      <c r="QLN16" s="588"/>
      <c r="QLO16" s="588"/>
      <c r="QLP16" s="588"/>
      <c r="QLQ16" s="588"/>
      <c r="QLR16" s="588"/>
      <c r="QLS16" s="588"/>
      <c r="QLT16" s="588"/>
      <c r="QLU16" s="588"/>
      <c r="QLV16" s="588"/>
      <c r="QLW16" s="588"/>
      <c r="QLX16" s="588"/>
      <c r="QLY16" s="588"/>
      <c r="QLZ16" s="588"/>
      <c r="QMA16" s="588"/>
      <c r="QMB16" s="588"/>
      <c r="QMC16" s="588"/>
      <c r="QMD16" s="588"/>
      <c r="QME16" s="588"/>
      <c r="QMF16" s="588"/>
      <c r="QMG16" s="588"/>
      <c r="QMH16" s="588"/>
      <c r="QMI16" s="588"/>
      <c r="QMJ16" s="588"/>
      <c r="QMK16" s="588"/>
      <c r="QML16" s="588"/>
      <c r="QMM16" s="588"/>
      <c r="QMN16" s="588"/>
      <c r="QMO16" s="588"/>
      <c r="QMP16" s="588"/>
      <c r="QMQ16" s="588"/>
      <c r="QMR16" s="588"/>
      <c r="QMS16" s="588"/>
      <c r="QMT16" s="588"/>
      <c r="QMU16" s="588"/>
      <c r="QMV16" s="588"/>
      <c r="QMW16" s="588"/>
      <c r="QMX16" s="588"/>
      <c r="QMY16" s="588"/>
      <c r="QMZ16" s="588"/>
      <c r="QNA16" s="588"/>
      <c r="QNB16" s="588"/>
      <c r="QNC16" s="588"/>
      <c r="QND16" s="588"/>
      <c r="QNE16" s="588"/>
      <c r="QNF16" s="588"/>
      <c r="QNG16" s="588"/>
      <c r="QNH16" s="588"/>
      <c r="QNI16" s="588"/>
      <c r="QNJ16" s="588"/>
      <c r="QNK16" s="588"/>
      <c r="QNL16" s="588"/>
      <c r="QNM16" s="588"/>
      <c r="QNN16" s="588"/>
      <c r="QNO16" s="588"/>
      <c r="QNP16" s="588"/>
      <c r="QNQ16" s="588"/>
      <c r="QNR16" s="588"/>
      <c r="QNS16" s="588"/>
      <c r="QNT16" s="588"/>
      <c r="QNU16" s="588"/>
      <c r="QNV16" s="588"/>
      <c r="QNW16" s="588"/>
      <c r="QNX16" s="588"/>
      <c r="QNY16" s="588"/>
      <c r="QNZ16" s="588"/>
      <c r="QOA16" s="588"/>
      <c r="QOB16" s="588"/>
      <c r="QOC16" s="588"/>
      <c r="QOD16" s="588"/>
      <c r="QOE16" s="588"/>
      <c r="QOF16" s="588"/>
      <c r="QOG16" s="588"/>
      <c r="QOH16" s="588"/>
      <c r="QOI16" s="588"/>
      <c r="QOJ16" s="588"/>
      <c r="QOK16" s="588"/>
      <c r="QOL16" s="588"/>
      <c r="QOM16" s="588"/>
      <c r="QON16" s="588"/>
      <c r="QOO16" s="588"/>
      <c r="QOP16" s="588"/>
      <c r="QOQ16" s="588"/>
      <c r="QOR16" s="588"/>
      <c r="QOS16" s="588"/>
      <c r="QOT16" s="588"/>
      <c r="QOU16" s="588"/>
      <c r="QOV16" s="588"/>
      <c r="QOW16" s="588"/>
      <c r="QOX16" s="588"/>
      <c r="QOY16" s="588"/>
      <c r="QOZ16" s="588"/>
      <c r="QPA16" s="588"/>
      <c r="QPB16" s="588"/>
      <c r="QPC16" s="588"/>
      <c r="QPD16" s="588"/>
      <c r="QPE16" s="588"/>
      <c r="QPF16" s="588"/>
      <c r="QPG16" s="588"/>
      <c r="QPH16" s="588"/>
      <c r="QPI16" s="588"/>
      <c r="QPJ16" s="588"/>
      <c r="QPK16" s="588"/>
      <c r="QPL16" s="588"/>
      <c r="QPM16" s="588"/>
      <c r="QPN16" s="588"/>
      <c r="QPO16" s="588"/>
      <c r="QPP16" s="588"/>
      <c r="QPQ16" s="588"/>
      <c r="QPR16" s="588"/>
      <c r="QPS16" s="588"/>
      <c r="QPT16" s="588"/>
      <c r="QPU16" s="588"/>
      <c r="QPV16" s="588"/>
      <c r="QPW16" s="588"/>
      <c r="QPX16" s="588"/>
      <c r="QPY16" s="588"/>
      <c r="QPZ16" s="588"/>
      <c r="QQA16" s="588"/>
      <c r="QQB16" s="588"/>
      <c r="QQC16" s="588"/>
      <c r="QQD16" s="588"/>
      <c r="QQE16" s="588"/>
      <c r="QQF16" s="588"/>
      <c r="QQG16" s="588"/>
      <c r="QQH16" s="588"/>
      <c r="QQI16" s="588"/>
      <c r="QQJ16" s="588"/>
      <c r="QQK16" s="588"/>
      <c r="QQL16" s="588"/>
      <c r="QQM16" s="588"/>
      <c r="QQN16" s="588"/>
      <c r="QQO16" s="588"/>
      <c r="QQP16" s="588"/>
      <c r="QQQ16" s="588"/>
      <c r="QQR16" s="588"/>
      <c r="QQS16" s="588"/>
      <c r="QQT16" s="588"/>
      <c r="QQU16" s="588"/>
      <c r="QQV16" s="588"/>
      <c r="QQW16" s="588"/>
      <c r="QQX16" s="588"/>
      <c r="QQY16" s="588"/>
      <c r="QQZ16" s="588"/>
      <c r="QRA16" s="588"/>
      <c r="QRB16" s="588"/>
      <c r="QRC16" s="588"/>
      <c r="QRD16" s="588"/>
      <c r="QRE16" s="588"/>
      <c r="QRF16" s="588"/>
      <c r="QRG16" s="588"/>
      <c r="QRH16" s="588"/>
      <c r="QRI16" s="588"/>
      <c r="QRJ16" s="588"/>
      <c r="QRK16" s="588"/>
      <c r="QRL16" s="588"/>
      <c r="QRM16" s="588"/>
      <c r="QRN16" s="588"/>
      <c r="QRO16" s="588"/>
      <c r="QRP16" s="588"/>
      <c r="QRQ16" s="588"/>
      <c r="QRR16" s="588"/>
      <c r="QRS16" s="588"/>
      <c r="QRT16" s="588"/>
      <c r="QRU16" s="588"/>
      <c r="QRV16" s="588"/>
      <c r="QRW16" s="588"/>
      <c r="QRX16" s="588"/>
      <c r="QRY16" s="588"/>
      <c r="QRZ16" s="588"/>
      <c r="QSA16" s="588"/>
      <c r="QSB16" s="588"/>
      <c r="QSC16" s="588"/>
      <c r="QSD16" s="588"/>
      <c r="QSE16" s="588"/>
      <c r="QSF16" s="588"/>
      <c r="QSG16" s="588"/>
      <c r="QSH16" s="588"/>
      <c r="QSI16" s="588"/>
      <c r="QSJ16" s="588"/>
      <c r="QSK16" s="588"/>
      <c r="QSL16" s="588"/>
      <c r="QSM16" s="588"/>
      <c r="QSN16" s="588"/>
      <c r="QSO16" s="588"/>
      <c r="QSP16" s="588"/>
      <c r="QSQ16" s="588"/>
      <c r="QSR16" s="588"/>
      <c r="QSS16" s="588"/>
      <c r="QST16" s="588"/>
      <c r="QSU16" s="588"/>
      <c r="QSV16" s="588"/>
      <c r="QSW16" s="588"/>
      <c r="QSX16" s="588"/>
      <c r="QSY16" s="588"/>
      <c r="QSZ16" s="588"/>
      <c r="QTA16" s="588"/>
      <c r="QTB16" s="588"/>
      <c r="QTC16" s="588"/>
      <c r="QTD16" s="588"/>
      <c r="QTE16" s="588"/>
      <c r="QTF16" s="588"/>
      <c r="QTG16" s="588"/>
      <c r="QTH16" s="588"/>
      <c r="QTI16" s="588"/>
      <c r="QTJ16" s="588"/>
      <c r="QTK16" s="588"/>
      <c r="QTL16" s="588"/>
      <c r="QTM16" s="588"/>
      <c r="QTN16" s="588"/>
      <c r="QTO16" s="588"/>
      <c r="QTP16" s="588"/>
      <c r="QTQ16" s="588"/>
      <c r="QTR16" s="588"/>
      <c r="QTS16" s="588"/>
      <c r="QTT16" s="588"/>
      <c r="QTU16" s="588"/>
      <c r="QTV16" s="588"/>
      <c r="QTW16" s="588"/>
      <c r="QTX16" s="588"/>
      <c r="QTY16" s="588"/>
      <c r="QTZ16" s="588"/>
      <c r="QUA16" s="588"/>
      <c r="QUB16" s="588"/>
      <c r="QUC16" s="588"/>
      <c r="QUD16" s="588"/>
      <c r="QUE16" s="588"/>
      <c r="QUF16" s="588"/>
      <c r="QUG16" s="588"/>
      <c r="QUH16" s="588"/>
      <c r="QUI16" s="588"/>
      <c r="QUJ16" s="588"/>
      <c r="QUK16" s="588"/>
      <c r="QUL16" s="588"/>
      <c r="QUM16" s="588"/>
      <c r="QUN16" s="588"/>
      <c r="QUO16" s="588"/>
      <c r="QUP16" s="588"/>
      <c r="QUQ16" s="588"/>
      <c r="QUR16" s="588"/>
      <c r="QUS16" s="588"/>
      <c r="QUT16" s="588"/>
      <c r="QUU16" s="588"/>
      <c r="QUV16" s="588"/>
      <c r="QUW16" s="588"/>
      <c r="QUX16" s="588"/>
      <c r="QUY16" s="588"/>
      <c r="QUZ16" s="588"/>
      <c r="QVA16" s="588"/>
      <c r="QVB16" s="588"/>
      <c r="QVC16" s="588"/>
      <c r="QVD16" s="588"/>
      <c r="QVE16" s="588"/>
      <c r="QVF16" s="588"/>
      <c r="QVG16" s="588"/>
      <c r="QVH16" s="588"/>
      <c r="QVI16" s="588"/>
      <c r="QVJ16" s="588"/>
      <c r="QVK16" s="588"/>
      <c r="QVL16" s="588"/>
      <c r="QVM16" s="588"/>
      <c r="QVN16" s="588"/>
      <c r="QVO16" s="588"/>
      <c r="QVP16" s="588"/>
      <c r="QVQ16" s="588"/>
      <c r="QVR16" s="588"/>
      <c r="QVS16" s="588"/>
      <c r="QVT16" s="588"/>
      <c r="QVU16" s="588"/>
      <c r="QVV16" s="588"/>
      <c r="QVW16" s="588"/>
      <c r="QVX16" s="588"/>
      <c r="QVY16" s="588"/>
      <c r="QVZ16" s="588"/>
      <c r="QWA16" s="588"/>
      <c r="QWB16" s="588"/>
      <c r="QWC16" s="588"/>
      <c r="QWD16" s="588"/>
      <c r="QWE16" s="588"/>
      <c r="QWF16" s="588"/>
      <c r="QWG16" s="588"/>
      <c r="QWH16" s="588"/>
      <c r="QWI16" s="588"/>
      <c r="QWJ16" s="588"/>
      <c r="QWK16" s="588"/>
      <c r="QWL16" s="588"/>
      <c r="QWM16" s="588"/>
      <c r="QWN16" s="588"/>
      <c r="QWO16" s="588"/>
      <c r="QWP16" s="588"/>
      <c r="QWQ16" s="588"/>
      <c r="QWR16" s="588"/>
      <c r="QWS16" s="588"/>
      <c r="QWT16" s="588"/>
      <c r="QWU16" s="588"/>
      <c r="QWV16" s="588"/>
      <c r="QWW16" s="588"/>
      <c r="QWX16" s="588"/>
      <c r="QWY16" s="588"/>
      <c r="QWZ16" s="588"/>
      <c r="QXA16" s="588"/>
      <c r="QXB16" s="588"/>
      <c r="QXC16" s="588"/>
      <c r="QXD16" s="588"/>
      <c r="QXE16" s="588"/>
      <c r="QXF16" s="588"/>
      <c r="QXG16" s="588"/>
      <c r="QXH16" s="588"/>
      <c r="QXI16" s="588"/>
      <c r="QXJ16" s="588"/>
      <c r="QXK16" s="588"/>
      <c r="QXL16" s="588"/>
      <c r="QXM16" s="588"/>
      <c r="QXN16" s="588"/>
      <c r="QXO16" s="588"/>
      <c r="QXP16" s="588"/>
      <c r="QXQ16" s="588"/>
      <c r="QXR16" s="588"/>
      <c r="QXS16" s="588"/>
      <c r="QXT16" s="588"/>
      <c r="QXU16" s="588"/>
      <c r="QXV16" s="588"/>
      <c r="QXW16" s="588"/>
      <c r="QXX16" s="588"/>
      <c r="QXY16" s="588"/>
      <c r="QXZ16" s="588"/>
      <c r="QYA16" s="588"/>
      <c r="QYB16" s="588"/>
      <c r="QYC16" s="588"/>
      <c r="QYD16" s="588"/>
      <c r="QYE16" s="588"/>
      <c r="QYF16" s="588"/>
      <c r="QYG16" s="588"/>
      <c r="QYH16" s="588"/>
      <c r="QYI16" s="588"/>
      <c r="QYJ16" s="588"/>
      <c r="QYK16" s="588"/>
      <c r="QYL16" s="588"/>
      <c r="QYM16" s="588"/>
      <c r="QYN16" s="588"/>
      <c r="QYO16" s="588"/>
      <c r="QYP16" s="588"/>
      <c r="QYQ16" s="588"/>
      <c r="QYR16" s="588"/>
      <c r="QYS16" s="588"/>
      <c r="QYT16" s="588"/>
      <c r="QYU16" s="588"/>
      <c r="QYV16" s="588"/>
      <c r="QYW16" s="588"/>
      <c r="QYX16" s="588"/>
      <c r="QYY16" s="588"/>
      <c r="QYZ16" s="588"/>
      <c r="QZA16" s="588"/>
      <c r="QZB16" s="588"/>
      <c r="QZC16" s="588"/>
      <c r="QZD16" s="588"/>
      <c r="QZE16" s="588"/>
      <c r="QZF16" s="588"/>
      <c r="QZG16" s="588"/>
      <c r="QZH16" s="588"/>
      <c r="QZI16" s="588"/>
      <c r="QZJ16" s="588"/>
      <c r="QZK16" s="588"/>
      <c r="QZL16" s="588"/>
      <c r="QZM16" s="588"/>
      <c r="QZN16" s="588"/>
      <c r="QZO16" s="588"/>
      <c r="QZP16" s="588"/>
      <c r="QZQ16" s="588"/>
      <c r="QZR16" s="588"/>
      <c r="QZS16" s="588"/>
      <c r="QZT16" s="588"/>
      <c r="QZU16" s="588"/>
      <c r="QZV16" s="588"/>
      <c r="QZW16" s="588"/>
      <c r="QZX16" s="588"/>
      <c r="QZY16" s="588"/>
      <c r="QZZ16" s="588"/>
      <c r="RAA16" s="588"/>
      <c r="RAB16" s="588"/>
      <c r="RAC16" s="588"/>
      <c r="RAD16" s="588"/>
      <c r="RAE16" s="588"/>
      <c r="RAF16" s="588"/>
      <c r="RAG16" s="588"/>
      <c r="RAH16" s="588"/>
      <c r="RAI16" s="588"/>
      <c r="RAJ16" s="588"/>
      <c r="RAK16" s="588"/>
      <c r="RAL16" s="588"/>
      <c r="RAM16" s="588"/>
      <c r="RAN16" s="588"/>
      <c r="RAO16" s="588"/>
      <c r="RAP16" s="588"/>
      <c r="RAQ16" s="588"/>
      <c r="RAR16" s="588"/>
      <c r="RAS16" s="588"/>
      <c r="RAT16" s="588"/>
      <c r="RAU16" s="588"/>
      <c r="RAV16" s="588"/>
      <c r="RAW16" s="588"/>
      <c r="RAX16" s="588"/>
      <c r="RAY16" s="588"/>
      <c r="RAZ16" s="588"/>
      <c r="RBA16" s="588"/>
      <c r="RBB16" s="588"/>
      <c r="RBC16" s="588"/>
      <c r="RBD16" s="588"/>
      <c r="RBE16" s="588"/>
      <c r="RBF16" s="588"/>
      <c r="RBG16" s="588"/>
      <c r="RBH16" s="588"/>
      <c r="RBI16" s="588"/>
      <c r="RBJ16" s="588"/>
      <c r="RBK16" s="588"/>
      <c r="RBL16" s="588"/>
      <c r="RBM16" s="588"/>
      <c r="RBN16" s="588"/>
      <c r="RBO16" s="588"/>
      <c r="RBP16" s="588"/>
      <c r="RBQ16" s="588"/>
      <c r="RBR16" s="588"/>
      <c r="RBS16" s="588"/>
      <c r="RBT16" s="588"/>
      <c r="RBU16" s="588"/>
      <c r="RBV16" s="588"/>
      <c r="RBW16" s="588"/>
      <c r="RBX16" s="588"/>
      <c r="RBY16" s="588"/>
      <c r="RBZ16" s="588"/>
      <c r="RCA16" s="588"/>
      <c r="RCB16" s="588"/>
      <c r="RCC16" s="588"/>
      <c r="RCD16" s="588"/>
      <c r="RCE16" s="588"/>
      <c r="RCF16" s="588"/>
      <c r="RCG16" s="588"/>
      <c r="RCH16" s="588"/>
      <c r="RCI16" s="588"/>
      <c r="RCJ16" s="588"/>
      <c r="RCK16" s="588"/>
      <c r="RCL16" s="588"/>
      <c r="RCM16" s="588"/>
      <c r="RCN16" s="588"/>
      <c r="RCO16" s="588"/>
      <c r="RCP16" s="588"/>
      <c r="RCQ16" s="588"/>
      <c r="RCR16" s="588"/>
      <c r="RCS16" s="588"/>
      <c r="RCT16" s="588"/>
      <c r="RCU16" s="588"/>
      <c r="RCV16" s="588"/>
      <c r="RCW16" s="588"/>
      <c r="RCX16" s="588"/>
      <c r="RCY16" s="588"/>
      <c r="RCZ16" s="588"/>
      <c r="RDA16" s="588"/>
      <c r="RDB16" s="588"/>
      <c r="RDC16" s="588"/>
      <c r="RDD16" s="588"/>
      <c r="RDE16" s="588"/>
      <c r="RDF16" s="588"/>
      <c r="RDG16" s="588"/>
      <c r="RDH16" s="588"/>
      <c r="RDI16" s="588"/>
      <c r="RDJ16" s="588"/>
      <c r="RDK16" s="588"/>
      <c r="RDL16" s="588"/>
      <c r="RDM16" s="588"/>
      <c r="RDN16" s="588"/>
      <c r="RDO16" s="588"/>
      <c r="RDP16" s="588"/>
      <c r="RDQ16" s="588"/>
      <c r="RDR16" s="588"/>
      <c r="RDS16" s="588"/>
      <c r="RDT16" s="588"/>
      <c r="RDU16" s="588"/>
      <c r="RDV16" s="588"/>
      <c r="RDW16" s="588"/>
      <c r="RDX16" s="588"/>
      <c r="RDY16" s="588"/>
      <c r="RDZ16" s="588"/>
      <c r="REA16" s="588"/>
      <c r="REB16" s="588"/>
      <c r="REC16" s="588"/>
      <c r="RED16" s="588"/>
      <c r="REE16" s="588"/>
      <c r="REF16" s="588"/>
      <c r="REG16" s="588"/>
      <c r="REH16" s="588"/>
      <c r="REI16" s="588"/>
      <c r="REJ16" s="588"/>
      <c r="REK16" s="588"/>
      <c r="REL16" s="588"/>
      <c r="REM16" s="588"/>
      <c r="REN16" s="588"/>
      <c r="REO16" s="588"/>
      <c r="REP16" s="588"/>
      <c r="REQ16" s="588"/>
      <c r="RER16" s="588"/>
      <c r="RES16" s="588"/>
      <c r="RET16" s="588"/>
      <c r="REU16" s="588"/>
      <c r="REV16" s="588"/>
      <c r="REW16" s="588"/>
      <c r="REX16" s="588"/>
      <c r="REY16" s="588"/>
      <c r="REZ16" s="588"/>
      <c r="RFA16" s="588"/>
      <c r="RFB16" s="588"/>
      <c r="RFC16" s="588"/>
      <c r="RFD16" s="588"/>
      <c r="RFE16" s="588"/>
      <c r="RFF16" s="588"/>
      <c r="RFG16" s="588"/>
      <c r="RFH16" s="588"/>
      <c r="RFI16" s="588"/>
      <c r="RFJ16" s="588"/>
      <c r="RFK16" s="588"/>
      <c r="RFL16" s="588"/>
      <c r="RFM16" s="588"/>
      <c r="RFN16" s="588"/>
      <c r="RFO16" s="588"/>
      <c r="RFP16" s="588"/>
      <c r="RFQ16" s="588"/>
      <c r="RFR16" s="588"/>
      <c r="RFS16" s="588"/>
      <c r="RFT16" s="588"/>
      <c r="RFU16" s="588"/>
      <c r="RFV16" s="588"/>
      <c r="RFW16" s="588"/>
      <c r="RFX16" s="588"/>
      <c r="RFY16" s="588"/>
      <c r="RFZ16" s="588"/>
      <c r="RGA16" s="588"/>
      <c r="RGB16" s="588"/>
      <c r="RGC16" s="588"/>
      <c r="RGD16" s="588"/>
      <c r="RGE16" s="588"/>
      <c r="RGF16" s="588"/>
      <c r="RGG16" s="588"/>
      <c r="RGH16" s="588"/>
      <c r="RGI16" s="588"/>
      <c r="RGJ16" s="588"/>
      <c r="RGK16" s="588"/>
      <c r="RGL16" s="588"/>
      <c r="RGM16" s="588"/>
      <c r="RGN16" s="588"/>
      <c r="RGO16" s="588"/>
      <c r="RGP16" s="588"/>
      <c r="RGQ16" s="588"/>
      <c r="RGR16" s="588"/>
      <c r="RGS16" s="588"/>
      <c r="RGT16" s="588"/>
      <c r="RGU16" s="588"/>
      <c r="RGV16" s="588"/>
      <c r="RGW16" s="588"/>
      <c r="RGX16" s="588"/>
      <c r="RGY16" s="588"/>
      <c r="RGZ16" s="588"/>
      <c r="RHA16" s="588"/>
      <c r="RHB16" s="588"/>
      <c r="RHC16" s="588"/>
      <c r="RHD16" s="588"/>
      <c r="RHE16" s="588"/>
      <c r="RHF16" s="588"/>
      <c r="RHG16" s="588"/>
      <c r="RHH16" s="588"/>
      <c r="RHI16" s="588"/>
      <c r="RHJ16" s="588"/>
      <c r="RHK16" s="588"/>
      <c r="RHL16" s="588"/>
      <c r="RHM16" s="588"/>
      <c r="RHN16" s="588"/>
      <c r="RHO16" s="588"/>
      <c r="RHP16" s="588"/>
      <c r="RHQ16" s="588"/>
      <c r="RHR16" s="588"/>
      <c r="RHS16" s="588"/>
      <c r="RHT16" s="588"/>
      <c r="RHU16" s="588"/>
      <c r="RHV16" s="588"/>
      <c r="RHW16" s="588"/>
      <c r="RHX16" s="588"/>
      <c r="RHY16" s="588"/>
      <c r="RHZ16" s="588"/>
      <c r="RIA16" s="588"/>
      <c r="RIB16" s="588"/>
      <c r="RIC16" s="588"/>
      <c r="RID16" s="588"/>
      <c r="RIE16" s="588"/>
      <c r="RIF16" s="588"/>
      <c r="RIG16" s="588"/>
      <c r="RIH16" s="588"/>
      <c r="RII16" s="588"/>
      <c r="RIJ16" s="588"/>
      <c r="RIK16" s="588"/>
      <c r="RIL16" s="588"/>
      <c r="RIM16" s="588"/>
      <c r="RIN16" s="588"/>
      <c r="RIO16" s="588"/>
      <c r="RIP16" s="588"/>
      <c r="RIQ16" s="588"/>
      <c r="RIR16" s="588"/>
      <c r="RIS16" s="588"/>
      <c r="RIT16" s="588"/>
      <c r="RIU16" s="588"/>
      <c r="RIV16" s="588"/>
      <c r="RIW16" s="588"/>
      <c r="RIX16" s="588"/>
      <c r="RIY16" s="588"/>
      <c r="RIZ16" s="588"/>
      <c r="RJA16" s="588"/>
      <c r="RJB16" s="588"/>
      <c r="RJC16" s="588"/>
      <c r="RJD16" s="588"/>
      <c r="RJE16" s="588"/>
      <c r="RJF16" s="588"/>
      <c r="RJG16" s="588"/>
      <c r="RJH16" s="588"/>
      <c r="RJI16" s="588"/>
      <c r="RJJ16" s="588"/>
      <c r="RJK16" s="588"/>
      <c r="RJL16" s="588"/>
      <c r="RJM16" s="588"/>
      <c r="RJN16" s="588"/>
      <c r="RJO16" s="588"/>
      <c r="RJP16" s="588"/>
      <c r="RJQ16" s="588"/>
      <c r="RJR16" s="588"/>
      <c r="RJS16" s="588"/>
      <c r="RJT16" s="588"/>
      <c r="RJU16" s="588"/>
      <c r="RJV16" s="588"/>
      <c r="RJW16" s="588"/>
      <c r="RJX16" s="588"/>
      <c r="RJY16" s="588"/>
      <c r="RJZ16" s="588"/>
      <c r="RKA16" s="588"/>
      <c r="RKB16" s="588"/>
      <c r="RKC16" s="588"/>
      <c r="RKD16" s="588"/>
      <c r="RKE16" s="588"/>
      <c r="RKF16" s="588"/>
      <c r="RKG16" s="588"/>
      <c r="RKH16" s="588"/>
      <c r="RKI16" s="588"/>
      <c r="RKJ16" s="588"/>
      <c r="RKK16" s="588"/>
      <c r="RKL16" s="588"/>
      <c r="RKM16" s="588"/>
      <c r="RKN16" s="588"/>
      <c r="RKO16" s="588"/>
      <c r="RKP16" s="588"/>
      <c r="RKQ16" s="588"/>
      <c r="RKR16" s="588"/>
      <c r="RKS16" s="588"/>
      <c r="RKT16" s="588"/>
      <c r="RKU16" s="588"/>
      <c r="RKV16" s="588"/>
      <c r="RKW16" s="588"/>
      <c r="RKX16" s="588"/>
      <c r="RKY16" s="588"/>
      <c r="RKZ16" s="588"/>
      <c r="RLA16" s="588"/>
      <c r="RLB16" s="588"/>
      <c r="RLC16" s="588"/>
      <c r="RLD16" s="588"/>
      <c r="RLE16" s="588"/>
      <c r="RLF16" s="588"/>
      <c r="RLG16" s="588"/>
      <c r="RLH16" s="588"/>
      <c r="RLI16" s="588"/>
      <c r="RLJ16" s="588"/>
      <c r="RLK16" s="588"/>
      <c r="RLL16" s="588"/>
      <c r="RLM16" s="588"/>
      <c r="RLN16" s="588"/>
      <c r="RLO16" s="588"/>
      <c r="RLP16" s="588"/>
      <c r="RLQ16" s="588"/>
      <c r="RLR16" s="588"/>
      <c r="RLS16" s="588"/>
      <c r="RLT16" s="588"/>
      <c r="RLU16" s="588"/>
      <c r="RLV16" s="588"/>
      <c r="RLW16" s="588"/>
      <c r="RLX16" s="588"/>
      <c r="RLY16" s="588"/>
      <c r="RLZ16" s="588"/>
      <c r="RMA16" s="588"/>
      <c r="RMB16" s="588"/>
      <c r="RMC16" s="588"/>
      <c r="RMD16" s="588"/>
      <c r="RME16" s="588"/>
      <c r="RMF16" s="588"/>
      <c r="RMG16" s="588"/>
      <c r="RMH16" s="588"/>
      <c r="RMI16" s="588"/>
      <c r="RMJ16" s="588"/>
      <c r="RMK16" s="588"/>
      <c r="RML16" s="588"/>
      <c r="RMM16" s="588"/>
      <c r="RMN16" s="588"/>
      <c r="RMO16" s="588"/>
      <c r="RMP16" s="588"/>
      <c r="RMQ16" s="588"/>
      <c r="RMR16" s="588"/>
      <c r="RMS16" s="588"/>
      <c r="RMT16" s="588"/>
      <c r="RMU16" s="588"/>
      <c r="RMV16" s="588"/>
      <c r="RMW16" s="588"/>
      <c r="RMX16" s="588"/>
      <c r="RMY16" s="588"/>
      <c r="RMZ16" s="588"/>
      <c r="RNA16" s="588"/>
      <c r="RNB16" s="588"/>
      <c r="RNC16" s="588"/>
      <c r="RND16" s="588"/>
      <c r="RNE16" s="588"/>
      <c r="RNF16" s="588"/>
      <c r="RNG16" s="588"/>
      <c r="RNH16" s="588"/>
      <c r="RNI16" s="588"/>
      <c r="RNJ16" s="588"/>
      <c r="RNK16" s="588"/>
      <c r="RNL16" s="588"/>
      <c r="RNM16" s="588"/>
      <c r="RNN16" s="588"/>
      <c r="RNO16" s="588"/>
      <c r="RNP16" s="588"/>
      <c r="RNQ16" s="588"/>
      <c r="RNR16" s="588"/>
      <c r="RNS16" s="588"/>
      <c r="RNT16" s="588"/>
      <c r="RNU16" s="588"/>
      <c r="RNV16" s="588"/>
      <c r="RNW16" s="588"/>
      <c r="RNX16" s="588"/>
      <c r="RNY16" s="588"/>
      <c r="RNZ16" s="588"/>
      <c r="ROA16" s="588"/>
      <c r="ROB16" s="588"/>
      <c r="ROC16" s="588"/>
      <c r="ROD16" s="588"/>
      <c r="ROE16" s="588"/>
      <c r="ROF16" s="588"/>
      <c r="ROG16" s="588"/>
      <c r="ROH16" s="588"/>
      <c r="ROI16" s="588"/>
      <c r="ROJ16" s="588"/>
      <c r="ROK16" s="588"/>
      <c r="ROL16" s="588"/>
      <c r="ROM16" s="588"/>
      <c r="RON16" s="588"/>
      <c r="ROO16" s="588"/>
      <c r="ROP16" s="588"/>
      <c r="ROQ16" s="588"/>
      <c r="ROR16" s="588"/>
      <c r="ROS16" s="588"/>
      <c r="ROT16" s="588"/>
      <c r="ROU16" s="588"/>
      <c r="ROV16" s="588"/>
      <c r="ROW16" s="588"/>
      <c r="ROX16" s="588"/>
      <c r="ROY16" s="588"/>
      <c r="ROZ16" s="588"/>
      <c r="RPA16" s="588"/>
      <c r="RPB16" s="588"/>
      <c r="RPC16" s="588"/>
      <c r="RPD16" s="588"/>
      <c r="RPE16" s="588"/>
      <c r="RPF16" s="588"/>
      <c r="RPG16" s="588"/>
      <c r="RPH16" s="588"/>
      <c r="RPI16" s="588"/>
      <c r="RPJ16" s="588"/>
      <c r="RPK16" s="588"/>
      <c r="RPL16" s="588"/>
      <c r="RPM16" s="588"/>
      <c r="RPN16" s="588"/>
      <c r="RPO16" s="588"/>
      <c r="RPP16" s="588"/>
      <c r="RPQ16" s="588"/>
      <c r="RPR16" s="588"/>
      <c r="RPS16" s="588"/>
      <c r="RPT16" s="588"/>
      <c r="RPU16" s="588"/>
      <c r="RPV16" s="588"/>
      <c r="RPW16" s="588"/>
      <c r="RPX16" s="588"/>
      <c r="RPY16" s="588"/>
      <c r="RPZ16" s="588"/>
      <c r="RQA16" s="588"/>
      <c r="RQB16" s="588"/>
      <c r="RQC16" s="588"/>
      <c r="RQD16" s="588"/>
      <c r="RQE16" s="588"/>
      <c r="RQF16" s="588"/>
      <c r="RQG16" s="588"/>
      <c r="RQH16" s="588"/>
      <c r="RQI16" s="588"/>
      <c r="RQJ16" s="588"/>
      <c r="RQK16" s="588"/>
      <c r="RQL16" s="588"/>
      <c r="RQM16" s="588"/>
      <c r="RQN16" s="588"/>
      <c r="RQO16" s="588"/>
      <c r="RQP16" s="588"/>
      <c r="RQQ16" s="588"/>
      <c r="RQR16" s="588"/>
      <c r="RQS16" s="588"/>
      <c r="RQT16" s="588"/>
      <c r="RQU16" s="588"/>
      <c r="RQV16" s="588"/>
      <c r="RQW16" s="588"/>
      <c r="RQX16" s="588"/>
      <c r="RQY16" s="588"/>
      <c r="RQZ16" s="588"/>
      <c r="RRA16" s="588"/>
      <c r="RRB16" s="588"/>
      <c r="RRC16" s="588"/>
      <c r="RRD16" s="588"/>
      <c r="RRE16" s="588"/>
      <c r="RRF16" s="588"/>
      <c r="RRG16" s="588"/>
      <c r="RRH16" s="588"/>
      <c r="RRI16" s="588"/>
      <c r="RRJ16" s="588"/>
      <c r="RRK16" s="588"/>
      <c r="RRL16" s="588"/>
      <c r="RRM16" s="588"/>
      <c r="RRN16" s="588"/>
      <c r="RRO16" s="588"/>
      <c r="RRP16" s="588"/>
      <c r="RRQ16" s="588"/>
      <c r="RRR16" s="588"/>
      <c r="RRS16" s="588"/>
      <c r="RRT16" s="588"/>
      <c r="RRU16" s="588"/>
      <c r="RRV16" s="588"/>
      <c r="RRW16" s="588"/>
      <c r="RRX16" s="588"/>
      <c r="RRY16" s="588"/>
      <c r="RRZ16" s="588"/>
      <c r="RSA16" s="588"/>
      <c r="RSB16" s="588"/>
      <c r="RSC16" s="588"/>
      <c r="RSD16" s="588"/>
      <c r="RSE16" s="588"/>
      <c r="RSF16" s="588"/>
      <c r="RSG16" s="588"/>
      <c r="RSH16" s="588"/>
      <c r="RSI16" s="588"/>
      <c r="RSJ16" s="588"/>
      <c r="RSK16" s="588"/>
      <c r="RSL16" s="588"/>
      <c r="RSM16" s="588"/>
      <c r="RSN16" s="588"/>
      <c r="RSO16" s="588"/>
      <c r="RSP16" s="588"/>
      <c r="RSQ16" s="588"/>
      <c r="RSR16" s="588"/>
      <c r="RSS16" s="588"/>
      <c r="RST16" s="588"/>
      <c r="RSU16" s="588"/>
      <c r="RSV16" s="588"/>
      <c r="RSW16" s="588"/>
      <c r="RSX16" s="588"/>
      <c r="RSY16" s="588"/>
      <c r="RSZ16" s="588"/>
      <c r="RTA16" s="588"/>
      <c r="RTB16" s="588"/>
      <c r="RTC16" s="588"/>
      <c r="RTD16" s="588"/>
      <c r="RTE16" s="588"/>
      <c r="RTF16" s="588"/>
      <c r="RTG16" s="588"/>
      <c r="RTH16" s="588"/>
      <c r="RTI16" s="588"/>
      <c r="RTJ16" s="588"/>
      <c r="RTK16" s="588"/>
      <c r="RTL16" s="588"/>
      <c r="RTM16" s="588"/>
      <c r="RTN16" s="588"/>
      <c r="RTO16" s="588"/>
      <c r="RTP16" s="588"/>
      <c r="RTQ16" s="588"/>
      <c r="RTR16" s="588"/>
      <c r="RTS16" s="588"/>
      <c r="RTT16" s="588"/>
      <c r="RTU16" s="588"/>
      <c r="RTV16" s="588"/>
      <c r="RTW16" s="588"/>
      <c r="RTX16" s="588"/>
      <c r="RTY16" s="588"/>
      <c r="RTZ16" s="588"/>
      <c r="RUA16" s="588"/>
      <c r="RUB16" s="588"/>
      <c r="RUC16" s="588"/>
      <c r="RUD16" s="588"/>
      <c r="RUE16" s="588"/>
      <c r="RUF16" s="588"/>
      <c r="RUG16" s="588"/>
      <c r="RUH16" s="588"/>
      <c r="RUI16" s="588"/>
      <c r="RUJ16" s="588"/>
      <c r="RUK16" s="588"/>
      <c r="RUL16" s="588"/>
      <c r="RUM16" s="588"/>
      <c r="RUN16" s="588"/>
      <c r="RUO16" s="588"/>
      <c r="RUP16" s="588"/>
      <c r="RUQ16" s="588"/>
      <c r="RUR16" s="588"/>
      <c r="RUS16" s="588"/>
      <c r="RUT16" s="588"/>
      <c r="RUU16" s="588"/>
      <c r="RUV16" s="588"/>
      <c r="RUW16" s="588"/>
      <c r="RUX16" s="588"/>
      <c r="RUY16" s="588"/>
      <c r="RUZ16" s="588"/>
      <c r="RVA16" s="588"/>
      <c r="RVB16" s="588"/>
      <c r="RVC16" s="588"/>
      <c r="RVD16" s="588"/>
      <c r="RVE16" s="588"/>
      <c r="RVF16" s="588"/>
      <c r="RVG16" s="588"/>
      <c r="RVH16" s="588"/>
      <c r="RVI16" s="588"/>
      <c r="RVJ16" s="588"/>
      <c r="RVK16" s="588"/>
      <c r="RVL16" s="588"/>
      <c r="RVM16" s="588"/>
      <c r="RVN16" s="588"/>
      <c r="RVO16" s="588"/>
      <c r="RVP16" s="588"/>
      <c r="RVQ16" s="588"/>
      <c r="RVR16" s="588"/>
      <c r="RVS16" s="588"/>
      <c r="RVT16" s="588"/>
      <c r="RVU16" s="588"/>
      <c r="RVV16" s="588"/>
      <c r="RVW16" s="588"/>
      <c r="RVX16" s="588"/>
      <c r="RVY16" s="588"/>
      <c r="RVZ16" s="588"/>
      <c r="RWA16" s="588"/>
      <c r="RWB16" s="588"/>
      <c r="RWC16" s="588"/>
      <c r="RWD16" s="588"/>
      <c r="RWE16" s="588"/>
      <c r="RWF16" s="588"/>
      <c r="RWG16" s="588"/>
      <c r="RWH16" s="588"/>
      <c r="RWI16" s="588"/>
      <c r="RWJ16" s="588"/>
      <c r="RWK16" s="588"/>
      <c r="RWL16" s="588"/>
      <c r="RWM16" s="588"/>
      <c r="RWN16" s="588"/>
      <c r="RWO16" s="588"/>
      <c r="RWP16" s="588"/>
      <c r="RWQ16" s="588"/>
      <c r="RWR16" s="588"/>
      <c r="RWS16" s="588"/>
      <c r="RWT16" s="588"/>
      <c r="RWU16" s="588"/>
      <c r="RWV16" s="588"/>
      <c r="RWW16" s="588"/>
      <c r="RWX16" s="588"/>
      <c r="RWY16" s="588"/>
      <c r="RWZ16" s="588"/>
      <c r="RXA16" s="588"/>
      <c r="RXB16" s="588"/>
      <c r="RXC16" s="588"/>
      <c r="RXD16" s="588"/>
      <c r="RXE16" s="588"/>
      <c r="RXF16" s="588"/>
      <c r="RXG16" s="588"/>
      <c r="RXH16" s="588"/>
      <c r="RXI16" s="588"/>
      <c r="RXJ16" s="588"/>
      <c r="RXK16" s="588"/>
      <c r="RXL16" s="588"/>
      <c r="RXM16" s="588"/>
      <c r="RXN16" s="588"/>
      <c r="RXO16" s="588"/>
      <c r="RXP16" s="588"/>
      <c r="RXQ16" s="588"/>
      <c r="RXR16" s="588"/>
      <c r="RXS16" s="588"/>
      <c r="RXT16" s="588"/>
      <c r="RXU16" s="588"/>
      <c r="RXV16" s="588"/>
      <c r="RXW16" s="588"/>
      <c r="RXX16" s="588"/>
      <c r="RXY16" s="588"/>
      <c r="RXZ16" s="588"/>
      <c r="RYA16" s="588"/>
      <c r="RYB16" s="588"/>
      <c r="RYC16" s="588"/>
      <c r="RYD16" s="588"/>
      <c r="RYE16" s="588"/>
      <c r="RYF16" s="588"/>
      <c r="RYG16" s="588"/>
      <c r="RYH16" s="588"/>
      <c r="RYI16" s="588"/>
      <c r="RYJ16" s="588"/>
      <c r="RYK16" s="588"/>
      <c r="RYL16" s="588"/>
      <c r="RYM16" s="588"/>
      <c r="RYN16" s="588"/>
      <c r="RYO16" s="588"/>
      <c r="RYP16" s="588"/>
      <c r="RYQ16" s="588"/>
      <c r="RYR16" s="588"/>
      <c r="RYS16" s="588"/>
      <c r="RYT16" s="588"/>
      <c r="RYU16" s="588"/>
      <c r="RYV16" s="588"/>
      <c r="RYW16" s="588"/>
      <c r="RYX16" s="588"/>
      <c r="RYY16" s="588"/>
      <c r="RYZ16" s="588"/>
      <c r="RZA16" s="588"/>
      <c r="RZB16" s="588"/>
      <c r="RZC16" s="588"/>
      <c r="RZD16" s="588"/>
      <c r="RZE16" s="588"/>
      <c r="RZF16" s="588"/>
      <c r="RZG16" s="588"/>
      <c r="RZH16" s="588"/>
      <c r="RZI16" s="588"/>
      <c r="RZJ16" s="588"/>
      <c r="RZK16" s="588"/>
      <c r="RZL16" s="588"/>
      <c r="RZM16" s="588"/>
      <c r="RZN16" s="588"/>
      <c r="RZO16" s="588"/>
      <c r="RZP16" s="588"/>
      <c r="RZQ16" s="588"/>
      <c r="RZR16" s="588"/>
      <c r="RZS16" s="588"/>
      <c r="RZT16" s="588"/>
      <c r="RZU16" s="588"/>
      <c r="RZV16" s="588"/>
      <c r="RZW16" s="588"/>
      <c r="RZX16" s="588"/>
      <c r="RZY16" s="588"/>
      <c r="RZZ16" s="588"/>
      <c r="SAA16" s="588"/>
      <c r="SAB16" s="588"/>
      <c r="SAC16" s="588"/>
      <c r="SAD16" s="588"/>
      <c r="SAE16" s="588"/>
      <c r="SAF16" s="588"/>
      <c r="SAG16" s="588"/>
      <c r="SAH16" s="588"/>
      <c r="SAI16" s="588"/>
      <c r="SAJ16" s="588"/>
      <c r="SAK16" s="588"/>
      <c r="SAL16" s="588"/>
      <c r="SAM16" s="588"/>
      <c r="SAN16" s="588"/>
      <c r="SAO16" s="588"/>
      <c r="SAP16" s="588"/>
      <c r="SAQ16" s="588"/>
      <c r="SAR16" s="588"/>
      <c r="SAS16" s="588"/>
      <c r="SAT16" s="588"/>
      <c r="SAU16" s="588"/>
      <c r="SAV16" s="588"/>
      <c r="SAW16" s="588"/>
      <c r="SAX16" s="588"/>
      <c r="SAY16" s="588"/>
      <c r="SAZ16" s="588"/>
      <c r="SBA16" s="588"/>
      <c r="SBB16" s="588"/>
      <c r="SBC16" s="588"/>
      <c r="SBD16" s="588"/>
      <c r="SBE16" s="588"/>
      <c r="SBF16" s="588"/>
      <c r="SBG16" s="588"/>
      <c r="SBH16" s="588"/>
      <c r="SBI16" s="588"/>
      <c r="SBJ16" s="588"/>
      <c r="SBK16" s="588"/>
      <c r="SBL16" s="588"/>
      <c r="SBM16" s="588"/>
      <c r="SBN16" s="588"/>
      <c r="SBO16" s="588"/>
      <c r="SBP16" s="588"/>
      <c r="SBQ16" s="588"/>
      <c r="SBR16" s="588"/>
      <c r="SBS16" s="588"/>
      <c r="SBT16" s="588"/>
      <c r="SBU16" s="588"/>
      <c r="SBV16" s="588"/>
      <c r="SBW16" s="588"/>
      <c r="SBX16" s="588"/>
      <c r="SBY16" s="588"/>
      <c r="SBZ16" s="588"/>
      <c r="SCA16" s="588"/>
      <c r="SCB16" s="588"/>
      <c r="SCC16" s="588"/>
      <c r="SCD16" s="588"/>
      <c r="SCE16" s="588"/>
      <c r="SCF16" s="588"/>
      <c r="SCG16" s="588"/>
      <c r="SCH16" s="588"/>
      <c r="SCI16" s="588"/>
      <c r="SCJ16" s="588"/>
      <c r="SCK16" s="588"/>
      <c r="SCL16" s="588"/>
      <c r="SCM16" s="588"/>
      <c r="SCN16" s="588"/>
      <c r="SCO16" s="588"/>
      <c r="SCP16" s="588"/>
      <c r="SCQ16" s="588"/>
      <c r="SCR16" s="588"/>
      <c r="SCS16" s="588"/>
      <c r="SCT16" s="588"/>
      <c r="SCU16" s="588"/>
      <c r="SCV16" s="588"/>
      <c r="SCW16" s="588"/>
      <c r="SCX16" s="588"/>
      <c r="SCY16" s="588"/>
      <c r="SCZ16" s="588"/>
      <c r="SDA16" s="588"/>
      <c r="SDB16" s="588"/>
      <c r="SDC16" s="588"/>
      <c r="SDD16" s="588"/>
      <c r="SDE16" s="588"/>
      <c r="SDF16" s="588"/>
      <c r="SDG16" s="588"/>
      <c r="SDH16" s="588"/>
      <c r="SDI16" s="588"/>
      <c r="SDJ16" s="588"/>
      <c r="SDK16" s="588"/>
      <c r="SDL16" s="588"/>
      <c r="SDM16" s="588"/>
      <c r="SDN16" s="588"/>
      <c r="SDO16" s="588"/>
      <c r="SDP16" s="588"/>
      <c r="SDQ16" s="588"/>
      <c r="SDR16" s="588"/>
      <c r="SDS16" s="588"/>
      <c r="SDT16" s="588"/>
      <c r="SDU16" s="588"/>
      <c r="SDV16" s="588"/>
      <c r="SDW16" s="588"/>
      <c r="SDX16" s="588"/>
      <c r="SDY16" s="588"/>
      <c r="SDZ16" s="588"/>
      <c r="SEA16" s="588"/>
      <c r="SEB16" s="588"/>
      <c r="SEC16" s="588"/>
      <c r="SED16" s="588"/>
      <c r="SEE16" s="588"/>
      <c r="SEF16" s="588"/>
      <c r="SEG16" s="588"/>
      <c r="SEH16" s="588"/>
      <c r="SEI16" s="588"/>
      <c r="SEJ16" s="588"/>
      <c r="SEK16" s="588"/>
      <c r="SEL16" s="588"/>
      <c r="SEM16" s="588"/>
      <c r="SEN16" s="588"/>
      <c r="SEO16" s="588"/>
      <c r="SEP16" s="588"/>
      <c r="SEQ16" s="588"/>
      <c r="SER16" s="588"/>
      <c r="SES16" s="588"/>
      <c r="SET16" s="588"/>
      <c r="SEU16" s="588"/>
      <c r="SEV16" s="588"/>
      <c r="SEW16" s="588"/>
      <c r="SEX16" s="588"/>
      <c r="SEY16" s="588"/>
      <c r="SEZ16" s="588"/>
      <c r="SFA16" s="588"/>
      <c r="SFB16" s="588"/>
      <c r="SFC16" s="588"/>
      <c r="SFD16" s="588"/>
      <c r="SFE16" s="588"/>
      <c r="SFF16" s="588"/>
      <c r="SFG16" s="588"/>
      <c r="SFH16" s="588"/>
      <c r="SFI16" s="588"/>
      <c r="SFJ16" s="588"/>
      <c r="SFK16" s="588"/>
      <c r="SFL16" s="588"/>
      <c r="SFM16" s="588"/>
      <c r="SFN16" s="588"/>
      <c r="SFO16" s="588"/>
      <c r="SFP16" s="588"/>
      <c r="SFQ16" s="588"/>
      <c r="SFR16" s="588"/>
      <c r="SFS16" s="588"/>
      <c r="SFT16" s="588"/>
      <c r="SFU16" s="588"/>
      <c r="SFV16" s="588"/>
      <c r="SFW16" s="588"/>
      <c r="SFX16" s="588"/>
      <c r="SFY16" s="588"/>
      <c r="SFZ16" s="588"/>
      <c r="SGA16" s="588"/>
      <c r="SGB16" s="588"/>
      <c r="SGC16" s="588"/>
      <c r="SGD16" s="588"/>
      <c r="SGE16" s="588"/>
      <c r="SGF16" s="588"/>
      <c r="SGG16" s="588"/>
      <c r="SGH16" s="588"/>
      <c r="SGI16" s="588"/>
      <c r="SGJ16" s="588"/>
      <c r="SGK16" s="588"/>
      <c r="SGL16" s="588"/>
      <c r="SGM16" s="588"/>
      <c r="SGN16" s="588"/>
      <c r="SGO16" s="588"/>
      <c r="SGP16" s="588"/>
      <c r="SGQ16" s="588"/>
      <c r="SGR16" s="588"/>
      <c r="SGS16" s="588"/>
      <c r="SGT16" s="588"/>
      <c r="SGU16" s="588"/>
      <c r="SGV16" s="588"/>
      <c r="SGW16" s="588"/>
      <c r="SGX16" s="588"/>
      <c r="SGY16" s="588"/>
      <c r="SGZ16" s="588"/>
      <c r="SHA16" s="588"/>
      <c r="SHB16" s="588"/>
      <c r="SHC16" s="588"/>
      <c r="SHD16" s="588"/>
      <c r="SHE16" s="588"/>
      <c r="SHF16" s="588"/>
      <c r="SHG16" s="588"/>
      <c r="SHH16" s="588"/>
      <c r="SHI16" s="588"/>
      <c r="SHJ16" s="588"/>
      <c r="SHK16" s="588"/>
      <c r="SHL16" s="588"/>
      <c r="SHM16" s="588"/>
      <c r="SHN16" s="588"/>
      <c r="SHO16" s="588"/>
      <c r="SHP16" s="588"/>
      <c r="SHQ16" s="588"/>
      <c r="SHR16" s="588"/>
      <c r="SHS16" s="588"/>
      <c r="SHT16" s="588"/>
      <c r="SHU16" s="588"/>
      <c r="SHV16" s="588"/>
      <c r="SHW16" s="588"/>
      <c r="SHX16" s="588"/>
      <c r="SHY16" s="588"/>
      <c r="SHZ16" s="588"/>
      <c r="SIA16" s="588"/>
      <c r="SIB16" s="588"/>
      <c r="SIC16" s="588"/>
      <c r="SID16" s="588"/>
      <c r="SIE16" s="588"/>
      <c r="SIF16" s="588"/>
      <c r="SIG16" s="588"/>
      <c r="SIH16" s="588"/>
      <c r="SII16" s="588"/>
      <c r="SIJ16" s="588"/>
      <c r="SIK16" s="588"/>
      <c r="SIL16" s="588"/>
      <c r="SIM16" s="588"/>
      <c r="SIN16" s="588"/>
      <c r="SIO16" s="588"/>
      <c r="SIP16" s="588"/>
      <c r="SIQ16" s="588"/>
      <c r="SIR16" s="588"/>
      <c r="SIS16" s="588"/>
      <c r="SIT16" s="588"/>
      <c r="SIU16" s="588"/>
      <c r="SIV16" s="588"/>
      <c r="SIW16" s="588"/>
      <c r="SIX16" s="588"/>
      <c r="SIY16" s="588"/>
      <c r="SIZ16" s="588"/>
      <c r="SJA16" s="588"/>
      <c r="SJB16" s="588"/>
      <c r="SJC16" s="588"/>
      <c r="SJD16" s="588"/>
      <c r="SJE16" s="588"/>
      <c r="SJF16" s="588"/>
      <c r="SJG16" s="588"/>
      <c r="SJH16" s="588"/>
      <c r="SJI16" s="588"/>
      <c r="SJJ16" s="588"/>
      <c r="SJK16" s="588"/>
      <c r="SJL16" s="588"/>
      <c r="SJM16" s="588"/>
      <c r="SJN16" s="588"/>
      <c r="SJO16" s="588"/>
      <c r="SJP16" s="588"/>
      <c r="SJQ16" s="588"/>
      <c r="SJR16" s="588"/>
      <c r="SJS16" s="588"/>
      <c r="SJT16" s="588"/>
      <c r="SJU16" s="588"/>
      <c r="SJV16" s="588"/>
      <c r="SJW16" s="588"/>
      <c r="SJX16" s="588"/>
      <c r="SJY16" s="588"/>
      <c r="SJZ16" s="588"/>
      <c r="SKA16" s="588"/>
      <c r="SKB16" s="588"/>
      <c r="SKC16" s="588"/>
      <c r="SKD16" s="588"/>
      <c r="SKE16" s="588"/>
      <c r="SKF16" s="588"/>
      <c r="SKG16" s="588"/>
      <c r="SKH16" s="588"/>
      <c r="SKI16" s="588"/>
      <c r="SKJ16" s="588"/>
      <c r="SKK16" s="588"/>
      <c r="SKL16" s="588"/>
      <c r="SKM16" s="588"/>
      <c r="SKN16" s="588"/>
      <c r="SKO16" s="588"/>
      <c r="SKP16" s="588"/>
      <c r="SKQ16" s="588"/>
      <c r="SKR16" s="588"/>
      <c r="SKS16" s="588"/>
      <c r="SKT16" s="588"/>
      <c r="SKU16" s="588"/>
      <c r="SKV16" s="588"/>
      <c r="SKW16" s="588"/>
      <c r="SKX16" s="588"/>
      <c r="SKY16" s="588"/>
      <c r="SKZ16" s="588"/>
      <c r="SLA16" s="588"/>
      <c r="SLB16" s="588"/>
      <c r="SLC16" s="588"/>
      <c r="SLD16" s="588"/>
      <c r="SLE16" s="588"/>
      <c r="SLF16" s="588"/>
      <c r="SLG16" s="588"/>
      <c r="SLH16" s="588"/>
      <c r="SLI16" s="588"/>
      <c r="SLJ16" s="588"/>
      <c r="SLK16" s="588"/>
      <c r="SLL16" s="588"/>
      <c r="SLM16" s="588"/>
      <c r="SLN16" s="588"/>
      <c r="SLO16" s="588"/>
      <c r="SLP16" s="588"/>
      <c r="SLQ16" s="588"/>
      <c r="SLR16" s="588"/>
      <c r="SLS16" s="588"/>
      <c r="SLT16" s="588"/>
      <c r="SLU16" s="588"/>
      <c r="SLV16" s="588"/>
      <c r="SLW16" s="588"/>
      <c r="SLX16" s="588"/>
      <c r="SLY16" s="588"/>
      <c r="SLZ16" s="588"/>
      <c r="SMA16" s="588"/>
      <c r="SMB16" s="588"/>
      <c r="SMC16" s="588"/>
      <c r="SMD16" s="588"/>
      <c r="SME16" s="588"/>
      <c r="SMF16" s="588"/>
      <c r="SMG16" s="588"/>
      <c r="SMH16" s="588"/>
      <c r="SMI16" s="588"/>
      <c r="SMJ16" s="588"/>
      <c r="SMK16" s="588"/>
      <c r="SML16" s="588"/>
      <c r="SMM16" s="588"/>
      <c r="SMN16" s="588"/>
      <c r="SMO16" s="588"/>
      <c r="SMP16" s="588"/>
      <c r="SMQ16" s="588"/>
      <c r="SMR16" s="588"/>
      <c r="SMS16" s="588"/>
      <c r="SMT16" s="588"/>
      <c r="SMU16" s="588"/>
      <c r="SMV16" s="588"/>
      <c r="SMW16" s="588"/>
      <c r="SMX16" s="588"/>
      <c r="SMY16" s="588"/>
      <c r="SMZ16" s="588"/>
      <c r="SNA16" s="588"/>
      <c r="SNB16" s="588"/>
      <c r="SNC16" s="588"/>
      <c r="SND16" s="588"/>
      <c r="SNE16" s="588"/>
      <c r="SNF16" s="588"/>
      <c r="SNG16" s="588"/>
      <c r="SNH16" s="588"/>
      <c r="SNI16" s="588"/>
      <c r="SNJ16" s="588"/>
      <c r="SNK16" s="588"/>
      <c r="SNL16" s="588"/>
      <c r="SNM16" s="588"/>
      <c r="SNN16" s="588"/>
      <c r="SNO16" s="588"/>
      <c r="SNP16" s="588"/>
      <c r="SNQ16" s="588"/>
      <c r="SNR16" s="588"/>
      <c r="SNS16" s="588"/>
      <c r="SNT16" s="588"/>
      <c r="SNU16" s="588"/>
      <c r="SNV16" s="588"/>
      <c r="SNW16" s="588"/>
      <c r="SNX16" s="588"/>
      <c r="SNY16" s="588"/>
      <c r="SNZ16" s="588"/>
      <c r="SOA16" s="588"/>
      <c r="SOB16" s="588"/>
      <c r="SOC16" s="588"/>
      <c r="SOD16" s="588"/>
      <c r="SOE16" s="588"/>
      <c r="SOF16" s="588"/>
      <c r="SOG16" s="588"/>
      <c r="SOH16" s="588"/>
      <c r="SOI16" s="588"/>
      <c r="SOJ16" s="588"/>
      <c r="SOK16" s="588"/>
      <c r="SOL16" s="588"/>
      <c r="SOM16" s="588"/>
      <c r="SON16" s="588"/>
      <c r="SOO16" s="588"/>
      <c r="SOP16" s="588"/>
      <c r="SOQ16" s="588"/>
      <c r="SOR16" s="588"/>
      <c r="SOS16" s="588"/>
      <c r="SOT16" s="588"/>
      <c r="SOU16" s="588"/>
      <c r="SOV16" s="588"/>
      <c r="SOW16" s="588"/>
      <c r="SOX16" s="588"/>
      <c r="SOY16" s="588"/>
      <c r="SOZ16" s="588"/>
      <c r="SPA16" s="588"/>
      <c r="SPB16" s="588"/>
      <c r="SPC16" s="588"/>
      <c r="SPD16" s="588"/>
      <c r="SPE16" s="588"/>
      <c r="SPF16" s="588"/>
      <c r="SPG16" s="588"/>
      <c r="SPH16" s="588"/>
      <c r="SPI16" s="588"/>
      <c r="SPJ16" s="588"/>
      <c r="SPK16" s="588"/>
      <c r="SPL16" s="588"/>
      <c r="SPM16" s="588"/>
      <c r="SPN16" s="588"/>
      <c r="SPO16" s="588"/>
      <c r="SPP16" s="588"/>
      <c r="SPQ16" s="588"/>
      <c r="SPR16" s="588"/>
      <c r="SPS16" s="588"/>
      <c r="SPT16" s="588"/>
      <c r="SPU16" s="588"/>
      <c r="SPV16" s="588"/>
      <c r="SPW16" s="588"/>
      <c r="SPX16" s="588"/>
      <c r="SPY16" s="588"/>
      <c r="SPZ16" s="588"/>
      <c r="SQA16" s="588"/>
      <c r="SQB16" s="588"/>
      <c r="SQC16" s="588"/>
      <c r="SQD16" s="588"/>
      <c r="SQE16" s="588"/>
      <c r="SQF16" s="588"/>
      <c r="SQG16" s="588"/>
      <c r="SQH16" s="588"/>
      <c r="SQI16" s="588"/>
      <c r="SQJ16" s="588"/>
      <c r="SQK16" s="588"/>
      <c r="SQL16" s="588"/>
      <c r="SQM16" s="588"/>
      <c r="SQN16" s="588"/>
      <c r="SQO16" s="588"/>
      <c r="SQP16" s="588"/>
      <c r="SQQ16" s="588"/>
      <c r="SQR16" s="588"/>
      <c r="SQS16" s="588"/>
      <c r="SQT16" s="588"/>
      <c r="SQU16" s="588"/>
      <c r="SQV16" s="588"/>
      <c r="SQW16" s="588"/>
      <c r="SQX16" s="588"/>
      <c r="SQY16" s="588"/>
      <c r="SQZ16" s="588"/>
      <c r="SRA16" s="588"/>
      <c r="SRB16" s="588"/>
      <c r="SRC16" s="588"/>
      <c r="SRD16" s="588"/>
      <c r="SRE16" s="588"/>
      <c r="SRF16" s="588"/>
      <c r="SRG16" s="588"/>
      <c r="SRH16" s="588"/>
      <c r="SRI16" s="588"/>
      <c r="SRJ16" s="588"/>
      <c r="SRK16" s="588"/>
      <c r="SRL16" s="588"/>
      <c r="SRM16" s="588"/>
      <c r="SRN16" s="588"/>
      <c r="SRO16" s="588"/>
      <c r="SRP16" s="588"/>
      <c r="SRQ16" s="588"/>
      <c r="SRR16" s="588"/>
      <c r="SRS16" s="588"/>
      <c r="SRT16" s="588"/>
      <c r="SRU16" s="588"/>
      <c r="SRV16" s="588"/>
      <c r="SRW16" s="588"/>
      <c r="SRX16" s="588"/>
      <c r="SRY16" s="588"/>
      <c r="SRZ16" s="588"/>
      <c r="SSA16" s="588"/>
      <c r="SSB16" s="588"/>
      <c r="SSC16" s="588"/>
      <c r="SSD16" s="588"/>
      <c r="SSE16" s="588"/>
      <c r="SSF16" s="588"/>
      <c r="SSG16" s="588"/>
      <c r="SSH16" s="588"/>
      <c r="SSI16" s="588"/>
      <c r="SSJ16" s="588"/>
      <c r="SSK16" s="588"/>
      <c r="SSL16" s="588"/>
      <c r="SSM16" s="588"/>
      <c r="SSN16" s="588"/>
      <c r="SSO16" s="588"/>
      <c r="SSP16" s="588"/>
      <c r="SSQ16" s="588"/>
      <c r="SSR16" s="588"/>
      <c r="SSS16" s="588"/>
      <c r="SST16" s="588"/>
      <c r="SSU16" s="588"/>
      <c r="SSV16" s="588"/>
      <c r="SSW16" s="588"/>
      <c r="SSX16" s="588"/>
      <c r="SSY16" s="588"/>
      <c r="SSZ16" s="588"/>
      <c r="STA16" s="588"/>
      <c r="STB16" s="588"/>
      <c r="STC16" s="588"/>
      <c r="STD16" s="588"/>
      <c r="STE16" s="588"/>
      <c r="STF16" s="588"/>
      <c r="STG16" s="588"/>
      <c r="STH16" s="588"/>
      <c r="STI16" s="588"/>
      <c r="STJ16" s="588"/>
      <c r="STK16" s="588"/>
      <c r="STL16" s="588"/>
      <c r="STM16" s="588"/>
      <c r="STN16" s="588"/>
      <c r="STO16" s="588"/>
      <c r="STP16" s="588"/>
      <c r="STQ16" s="588"/>
      <c r="STR16" s="588"/>
      <c r="STS16" s="588"/>
      <c r="STT16" s="588"/>
      <c r="STU16" s="588"/>
      <c r="STV16" s="588"/>
      <c r="STW16" s="588"/>
      <c r="STX16" s="588"/>
      <c r="STY16" s="588"/>
      <c r="STZ16" s="588"/>
      <c r="SUA16" s="588"/>
      <c r="SUB16" s="588"/>
      <c r="SUC16" s="588"/>
      <c r="SUD16" s="588"/>
      <c r="SUE16" s="588"/>
      <c r="SUF16" s="588"/>
      <c r="SUG16" s="588"/>
      <c r="SUH16" s="588"/>
      <c r="SUI16" s="588"/>
      <c r="SUJ16" s="588"/>
      <c r="SUK16" s="588"/>
      <c r="SUL16" s="588"/>
      <c r="SUM16" s="588"/>
      <c r="SUN16" s="588"/>
      <c r="SUO16" s="588"/>
      <c r="SUP16" s="588"/>
      <c r="SUQ16" s="588"/>
      <c r="SUR16" s="588"/>
      <c r="SUS16" s="588"/>
      <c r="SUT16" s="588"/>
      <c r="SUU16" s="588"/>
      <c r="SUV16" s="588"/>
      <c r="SUW16" s="588"/>
      <c r="SUX16" s="588"/>
      <c r="SUY16" s="588"/>
      <c r="SUZ16" s="588"/>
      <c r="SVA16" s="588"/>
      <c r="SVB16" s="588"/>
      <c r="SVC16" s="588"/>
      <c r="SVD16" s="588"/>
      <c r="SVE16" s="588"/>
      <c r="SVF16" s="588"/>
      <c r="SVG16" s="588"/>
      <c r="SVH16" s="588"/>
      <c r="SVI16" s="588"/>
      <c r="SVJ16" s="588"/>
      <c r="SVK16" s="588"/>
      <c r="SVL16" s="588"/>
      <c r="SVM16" s="588"/>
      <c r="SVN16" s="588"/>
      <c r="SVO16" s="588"/>
      <c r="SVP16" s="588"/>
      <c r="SVQ16" s="588"/>
      <c r="SVR16" s="588"/>
      <c r="SVS16" s="588"/>
      <c r="SVT16" s="588"/>
      <c r="SVU16" s="588"/>
      <c r="SVV16" s="588"/>
      <c r="SVW16" s="588"/>
      <c r="SVX16" s="588"/>
      <c r="SVY16" s="588"/>
      <c r="SVZ16" s="588"/>
      <c r="SWA16" s="588"/>
      <c r="SWB16" s="588"/>
      <c r="SWC16" s="588"/>
      <c r="SWD16" s="588"/>
      <c r="SWE16" s="588"/>
      <c r="SWF16" s="588"/>
      <c r="SWG16" s="588"/>
      <c r="SWH16" s="588"/>
      <c r="SWI16" s="588"/>
      <c r="SWJ16" s="588"/>
      <c r="SWK16" s="588"/>
      <c r="SWL16" s="588"/>
      <c r="SWM16" s="588"/>
      <c r="SWN16" s="588"/>
      <c r="SWO16" s="588"/>
      <c r="SWP16" s="588"/>
      <c r="SWQ16" s="588"/>
      <c r="SWR16" s="588"/>
      <c r="SWS16" s="588"/>
      <c r="SWT16" s="588"/>
      <c r="SWU16" s="588"/>
      <c r="SWV16" s="588"/>
      <c r="SWW16" s="588"/>
      <c r="SWX16" s="588"/>
      <c r="SWY16" s="588"/>
      <c r="SWZ16" s="588"/>
      <c r="SXA16" s="588"/>
      <c r="SXB16" s="588"/>
      <c r="SXC16" s="588"/>
      <c r="SXD16" s="588"/>
      <c r="SXE16" s="588"/>
      <c r="SXF16" s="588"/>
      <c r="SXG16" s="588"/>
      <c r="SXH16" s="588"/>
      <c r="SXI16" s="588"/>
      <c r="SXJ16" s="588"/>
      <c r="SXK16" s="588"/>
      <c r="SXL16" s="588"/>
      <c r="SXM16" s="588"/>
      <c r="SXN16" s="588"/>
      <c r="SXO16" s="588"/>
      <c r="SXP16" s="588"/>
      <c r="SXQ16" s="588"/>
      <c r="SXR16" s="588"/>
      <c r="SXS16" s="588"/>
      <c r="SXT16" s="588"/>
      <c r="SXU16" s="588"/>
      <c r="SXV16" s="588"/>
      <c r="SXW16" s="588"/>
      <c r="SXX16" s="588"/>
      <c r="SXY16" s="588"/>
      <c r="SXZ16" s="588"/>
      <c r="SYA16" s="588"/>
      <c r="SYB16" s="588"/>
      <c r="SYC16" s="588"/>
      <c r="SYD16" s="588"/>
      <c r="SYE16" s="588"/>
      <c r="SYF16" s="588"/>
      <c r="SYG16" s="588"/>
      <c r="SYH16" s="588"/>
      <c r="SYI16" s="588"/>
      <c r="SYJ16" s="588"/>
      <c r="SYK16" s="588"/>
      <c r="SYL16" s="588"/>
      <c r="SYM16" s="588"/>
      <c r="SYN16" s="588"/>
      <c r="SYO16" s="588"/>
      <c r="SYP16" s="588"/>
      <c r="SYQ16" s="588"/>
      <c r="SYR16" s="588"/>
      <c r="SYS16" s="588"/>
      <c r="SYT16" s="588"/>
      <c r="SYU16" s="588"/>
      <c r="SYV16" s="588"/>
      <c r="SYW16" s="588"/>
      <c r="SYX16" s="588"/>
      <c r="SYY16" s="588"/>
      <c r="SYZ16" s="588"/>
      <c r="SZA16" s="588"/>
      <c r="SZB16" s="588"/>
      <c r="SZC16" s="588"/>
      <c r="SZD16" s="588"/>
      <c r="SZE16" s="588"/>
      <c r="SZF16" s="588"/>
      <c r="SZG16" s="588"/>
      <c r="SZH16" s="588"/>
      <c r="SZI16" s="588"/>
      <c r="SZJ16" s="588"/>
      <c r="SZK16" s="588"/>
      <c r="SZL16" s="588"/>
      <c r="SZM16" s="588"/>
      <c r="SZN16" s="588"/>
      <c r="SZO16" s="588"/>
      <c r="SZP16" s="588"/>
      <c r="SZQ16" s="588"/>
      <c r="SZR16" s="588"/>
      <c r="SZS16" s="588"/>
      <c r="SZT16" s="588"/>
      <c r="SZU16" s="588"/>
      <c r="SZV16" s="588"/>
      <c r="SZW16" s="588"/>
      <c r="SZX16" s="588"/>
      <c r="SZY16" s="588"/>
      <c r="SZZ16" s="588"/>
      <c r="TAA16" s="588"/>
      <c r="TAB16" s="588"/>
      <c r="TAC16" s="588"/>
      <c r="TAD16" s="588"/>
      <c r="TAE16" s="588"/>
      <c r="TAF16" s="588"/>
      <c r="TAG16" s="588"/>
      <c r="TAH16" s="588"/>
      <c r="TAI16" s="588"/>
      <c r="TAJ16" s="588"/>
      <c r="TAK16" s="588"/>
      <c r="TAL16" s="588"/>
      <c r="TAM16" s="588"/>
      <c r="TAN16" s="588"/>
      <c r="TAO16" s="588"/>
      <c r="TAP16" s="588"/>
      <c r="TAQ16" s="588"/>
      <c r="TAR16" s="588"/>
      <c r="TAS16" s="588"/>
      <c r="TAT16" s="588"/>
      <c r="TAU16" s="588"/>
      <c r="TAV16" s="588"/>
      <c r="TAW16" s="588"/>
      <c r="TAX16" s="588"/>
      <c r="TAY16" s="588"/>
      <c r="TAZ16" s="588"/>
      <c r="TBA16" s="588"/>
      <c r="TBB16" s="588"/>
      <c r="TBC16" s="588"/>
      <c r="TBD16" s="588"/>
      <c r="TBE16" s="588"/>
      <c r="TBF16" s="588"/>
      <c r="TBG16" s="588"/>
      <c r="TBH16" s="588"/>
      <c r="TBI16" s="588"/>
      <c r="TBJ16" s="588"/>
      <c r="TBK16" s="588"/>
      <c r="TBL16" s="588"/>
      <c r="TBM16" s="588"/>
      <c r="TBN16" s="588"/>
      <c r="TBO16" s="588"/>
      <c r="TBP16" s="588"/>
      <c r="TBQ16" s="588"/>
      <c r="TBR16" s="588"/>
      <c r="TBS16" s="588"/>
      <c r="TBT16" s="588"/>
      <c r="TBU16" s="588"/>
      <c r="TBV16" s="588"/>
      <c r="TBW16" s="588"/>
      <c r="TBX16" s="588"/>
      <c r="TBY16" s="588"/>
      <c r="TBZ16" s="588"/>
      <c r="TCA16" s="588"/>
      <c r="TCB16" s="588"/>
      <c r="TCC16" s="588"/>
      <c r="TCD16" s="588"/>
      <c r="TCE16" s="588"/>
      <c r="TCF16" s="588"/>
      <c r="TCG16" s="588"/>
      <c r="TCH16" s="588"/>
      <c r="TCI16" s="588"/>
      <c r="TCJ16" s="588"/>
      <c r="TCK16" s="588"/>
      <c r="TCL16" s="588"/>
      <c r="TCM16" s="588"/>
      <c r="TCN16" s="588"/>
      <c r="TCO16" s="588"/>
      <c r="TCP16" s="588"/>
      <c r="TCQ16" s="588"/>
      <c r="TCR16" s="588"/>
      <c r="TCS16" s="588"/>
      <c r="TCT16" s="588"/>
      <c r="TCU16" s="588"/>
      <c r="TCV16" s="588"/>
      <c r="TCW16" s="588"/>
      <c r="TCX16" s="588"/>
      <c r="TCY16" s="588"/>
      <c r="TCZ16" s="588"/>
      <c r="TDA16" s="588"/>
      <c r="TDB16" s="588"/>
      <c r="TDC16" s="588"/>
      <c r="TDD16" s="588"/>
      <c r="TDE16" s="588"/>
      <c r="TDF16" s="588"/>
      <c r="TDG16" s="588"/>
      <c r="TDH16" s="588"/>
      <c r="TDI16" s="588"/>
      <c r="TDJ16" s="588"/>
      <c r="TDK16" s="588"/>
      <c r="TDL16" s="588"/>
      <c r="TDM16" s="588"/>
      <c r="TDN16" s="588"/>
      <c r="TDO16" s="588"/>
      <c r="TDP16" s="588"/>
      <c r="TDQ16" s="588"/>
      <c r="TDR16" s="588"/>
      <c r="TDS16" s="588"/>
      <c r="TDT16" s="588"/>
      <c r="TDU16" s="588"/>
      <c r="TDV16" s="588"/>
      <c r="TDW16" s="588"/>
      <c r="TDX16" s="588"/>
      <c r="TDY16" s="588"/>
      <c r="TDZ16" s="588"/>
      <c r="TEA16" s="588"/>
      <c r="TEB16" s="588"/>
      <c r="TEC16" s="588"/>
      <c r="TED16" s="588"/>
      <c r="TEE16" s="588"/>
      <c r="TEF16" s="588"/>
      <c r="TEG16" s="588"/>
      <c r="TEH16" s="588"/>
      <c r="TEI16" s="588"/>
      <c r="TEJ16" s="588"/>
      <c r="TEK16" s="588"/>
      <c r="TEL16" s="588"/>
      <c r="TEM16" s="588"/>
      <c r="TEN16" s="588"/>
      <c r="TEO16" s="588"/>
      <c r="TEP16" s="588"/>
      <c r="TEQ16" s="588"/>
      <c r="TER16" s="588"/>
      <c r="TES16" s="588"/>
      <c r="TET16" s="588"/>
      <c r="TEU16" s="588"/>
      <c r="TEV16" s="588"/>
      <c r="TEW16" s="588"/>
      <c r="TEX16" s="588"/>
      <c r="TEY16" s="588"/>
      <c r="TEZ16" s="588"/>
      <c r="TFA16" s="588"/>
      <c r="TFB16" s="588"/>
      <c r="TFC16" s="588"/>
      <c r="TFD16" s="588"/>
      <c r="TFE16" s="588"/>
      <c r="TFF16" s="588"/>
      <c r="TFG16" s="588"/>
      <c r="TFH16" s="588"/>
      <c r="TFI16" s="588"/>
      <c r="TFJ16" s="588"/>
      <c r="TFK16" s="588"/>
      <c r="TFL16" s="588"/>
      <c r="TFM16" s="588"/>
      <c r="TFN16" s="588"/>
      <c r="TFO16" s="588"/>
      <c r="TFP16" s="588"/>
      <c r="TFQ16" s="588"/>
      <c r="TFR16" s="588"/>
      <c r="TFS16" s="588"/>
      <c r="TFT16" s="588"/>
      <c r="TFU16" s="588"/>
      <c r="TFV16" s="588"/>
      <c r="TFW16" s="588"/>
      <c r="TFX16" s="588"/>
      <c r="TFY16" s="588"/>
      <c r="TFZ16" s="588"/>
      <c r="TGA16" s="588"/>
      <c r="TGB16" s="588"/>
      <c r="TGC16" s="588"/>
      <c r="TGD16" s="588"/>
      <c r="TGE16" s="588"/>
      <c r="TGF16" s="588"/>
      <c r="TGG16" s="588"/>
      <c r="TGH16" s="588"/>
      <c r="TGI16" s="588"/>
      <c r="TGJ16" s="588"/>
      <c r="TGK16" s="588"/>
      <c r="TGL16" s="588"/>
      <c r="TGM16" s="588"/>
      <c r="TGN16" s="588"/>
      <c r="TGO16" s="588"/>
      <c r="TGP16" s="588"/>
      <c r="TGQ16" s="588"/>
      <c r="TGR16" s="588"/>
      <c r="TGS16" s="588"/>
      <c r="TGT16" s="588"/>
      <c r="TGU16" s="588"/>
      <c r="TGV16" s="588"/>
      <c r="TGW16" s="588"/>
      <c r="TGX16" s="588"/>
      <c r="TGY16" s="588"/>
      <c r="TGZ16" s="588"/>
      <c r="THA16" s="588"/>
      <c r="THB16" s="588"/>
      <c r="THC16" s="588"/>
      <c r="THD16" s="588"/>
      <c r="THE16" s="588"/>
      <c r="THF16" s="588"/>
      <c r="THG16" s="588"/>
      <c r="THH16" s="588"/>
      <c r="THI16" s="588"/>
      <c r="THJ16" s="588"/>
      <c r="THK16" s="588"/>
      <c r="THL16" s="588"/>
      <c r="THM16" s="588"/>
      <c r="THN16" s="588"/>
      <c r="THO16" s="588"/>
      <c r="THP16" s="588"/>
      <c r="THQ16" s="588"/>
      <c r="THR16" s="588"/>
      <c r="THS16" s="588"/>
      <c r="THT16" s="588"/>
      <c r="THU16" s="588"/>
      <c r="THV16" s="588"/>
      <c r="THW16" s="588"/>
      <c r="THX16" s="588"/>
      <c r="THY16" s="588"/>
      <c r="THZ16" s="588"/>
      <c r="TIA16" s="588"/>
      <c r="TIB16" s="588"/>
      <c r="TIC16" s="588"/>
      <c r="TID16" s="588"/>
      <c r="TIE16" s="588"/>
      <c r="TIF16" s="588"/>
      <c r="TIG16" s="588"/>
      <c r="TIH16" s="588"/>
      <c r="TII16" s="588"/>
      <c r="TIJ16" s="588"/>
      <c r="TIK16" s="588"/>
      <c r="TIL16" s="588"/>
      <c r="TIM16" s="588"/>
      <c r="TIN16" s="588"/>
      <c r="TIO16" s="588"/>
      <c r="TIP16" s="588"/>
      <c r="TIQ16" s="588"/>
      <c r="TIR16" s="588"/>
      <c r="TIS16" s="588"/>
      <c r="TIT16" s="588"/>
      <c r="TIU16" s="588"/>
      <c r="TIV16" s="588"/>
      <c r="TIW16" s="588"/>
      <c r="TIX16" s="588"/>
      <c r="TIY16" s="588"/>
      <c r="TIZ16" s="588"/>
      <c r="TJA16" s="588"/>
      <c r="TJB16" s="588"/>
      <c r="TJC16" s="588"/>
      <c r="TJD16" s="588"/>
      <c r="TJE16" s="588"/>
      <c r="TJF16" s="588"/>
      <c r="TJG16" s="588"/>
      <c r="TJH16" s="588"/>
      <c r="TJI16" s="588"/>
      <c r="TJJ16" s="588"/>
      <c r="TJK16" s="588"/>
      <c r="TJL16" s="588"/>
      <c r="TJM16" s="588"/>
      <c r="TJN16" s="588"/>
      <c r="TJO16" s="588"/>
      <c r="TJP16" s="588"/>
      <c r="TJQ16" s="588"/>
      <c r="TJR16" s="588"/>
      <c r="TJS16" s="588"/>
      <c r="TJT16" s="588"/>
      <c r="TJU16" s="588"/>
      <c r="TJV16" s="588"/>
      <c r="TJW16" s="588"/>
      <c r="TJX16" s="588"/>
      <c r="TJY16" s="588"/>
      <c r="TJZ16" s="588"/>
      <c r="TKA16" s="588"/>
      <c r="TKB16" s="588"/>
      <c r="TKC16" s="588"/>
      <c r="TKD16" s="588"/>
      <c r="TKE16" s="588"/>
      <c r="TKF16" s="588"/>
      <c r="TKG16" s="588"/>
      <c r="TKH16" s="588"/>
      <c r="TKI16" s="588"/>
      <c r="TKJ16" s="588"/>
      <c r="TKK16" s="588"/>
      <c r="TKL16" s="588"/>
      <c r="TKM16" s="588"/>
      <c r="TKN16" s="588"/>
      <c r="TKO16" s="588"/>
      <c r="TKP16" s="588"/>
      <c r="TKQ16" s="588"/>
      <c r="TKR16" s="588"/>
      <c r="TKS16" s="588"/>
      <c r="TKT16" s="588"/>
      <c r="TKU16" s="588"/>
      <c r="TKV16" s="588"/>
      <c r="TKW16" s="588"/>
      <c r="TKX16" s="588"/>
      <c r="TKY16" s="588"/>
      <c r="TKZ16" s="588"/>
      <c r="TLA16" s="588"/>
      <c r="TLB16" s="588"/>
      <c r="TLC16" s="588"/>
      <c r="TLD16" s="588"/>
      <c r="TLE16" s="588"/>
      <c r="TLF16" s="588"/>
      <c r="TLG16" s="588"/>
      <c r="TLH16" s="588"/>
      <c r="TLI16" s="588"/>
      <c r="TLJ16" s="588"/>
      <c r="TLK16" s="588"/>
      <c r="TLL16" s="588"/>
      <c r="TLM16" s="588"/>
      <c r="TLN16" s="588"/>
      <c r="TLO16" s="588"/>
      <c r="TLP16" s="588"/>
      <c r="TLQ16" s="588"/>
      <c r="TLR16" s="588"/>
      <c r="TLS16" s="588"/>
      <c r="TLT16" s="588"/>
      <c r="TLU16" s="588"/>
      <c r="TLV16" s="588"/>
      <c r="TLW16" s="588"/>
      <c r="TLX16" s="588"/>
      <c r="TLY16" s="588"/>
      <c r="TLZ16" s="588"/>
      <c r="TMA16" s="588"/>
      <c r="TMB16" s="588"/>
      <c r="TMC16" s="588"/>
      <c r="TMD16" s="588"/>
      <c r="TME16" s="588"/>
      <c r="TMF16" s="588"/>
      <c r="TMG16" s="588"/>
      <c r="TMH16" s="588"/>
      <c r="TMI16" s="588"/>
      <c r="TMJ16" s="588"/>
      <c r="TMK16" s="588"/>
      <c r="TML16" s="588"/>
      <c r="TMM16" s="588"/>
      <c r="TMN16" s="588"/>
      <c r="TMO16" s="588"/>
      <c r="TMP16" s="588"/>
      <c r="TMQ16" s="588"/>
      <c r="TMR16" s="588"/>
      <c r="TMS16" s="588"/>
      <c r="TMT16" s="588"/>
      <c r="TMU16" s="588"/>
      <c r="TMV16" s="588"/>
      <c r="TMW16" s="588"/>
      <c r="TMX16" s="588"/>
      <c r="TMY16" s="588"/>
      <c r="TMZ16" s="588"/>
      <c r="TNA16" s="588"/>
      <c r="TNB16" s="588"/>
      <c r="TNC16" s="588"/>
      <c r="TND16" s="588"/>
      <c r="TNE16" s="588"/>
      <c r="TNF16" s="588"/>
      <c r="TNG16" s="588"/>
      <c r="TNH16" s="588"/>
      <c r="TNI16" s="588"/>
      <c r="TNJ16" s="588"/>
      <c r="TNK16" s="588"/>
      <c r="TNL16" s="588"/>
      <c r="TNM16" s="588"/>
      <c r="TNN16" s="588"/>
      <c r="TNO16" s="588"/>
      <c r="TNP16" s="588"/>
      <c r="TNQ16" s="588"/>
      <c r="TNR16" s="588"/>
      <c r="TNS16" s="588"/>
      <c r="TNT16" s="588"/>
      <c r="TNU16" s="588"/>
      <c r="TNV16" s="588"/>
      <c r="TNW16" s="588"/>
      <c r="TNX16" s="588"/>
      <c r="TNY16" s="588"/>
      <c r="TNZ16" s="588"/>
      <c r="TOA16" s="588"/>
      <c r="TOB16" s="588"/>
      <c r="TOC16" s="588"/>
      <c r="TOD16" s="588"/>
      <c r="TOE16" s="588"/>
      <c r="TOF16" s="588"/>
      <c r="TOG16" s="588"/>
      <c r="TOH16" s="588"/>
      <c r="TOI16" s="588"/>
      <c r="TOJ16" s="588"/>
      <c r="TOK16" s="588"/>
      <c r="TOL16" s="588"/>
      <c r="TOM16" s="588"/>
      <c r="TON16" s="588"/>
      <c r="TOO16" s="588"/>
      <c r="TOP16" s="588"/>
      <c r="TOQ16" s="588"/>
      <c r="TOR16" s="588"/>
      <c r="TOS16" s="588"/>
      <c r="TOT16" s="588"/>
      <c r="TOU16" s="588"/>
      <c r="TOV16" s="588"/>
      <c r="TOW16" s="588"/>
      <c r="TOX16" s="588"/>
      <c r="TOY16" s="588"/>
      <c r="TOZ16" s="588"/>
      <c r="TPA16" s="588"/>
      <c r="TPB16" s="588"/>
      <c r="TPC16" s="588"/>
      <c r="TPD16" s="588"/>
      <c r="TPE16" s="588"/>
      <c r="TPF16" s="588"/>
      <c r="TPG16" s="588"/>
      <c r="TPH16" s="588"/>
      <c r="TPI16" s="588"/>
      <c r="TPJ16" s="588"/>
      <c r="TPK16" s="588"/>
      <c r="TPL16" s="588"/>
      <c r="TPM16" s="588"/>
      <c r="TPN16" s="588"/>
      <c r="TPO16" s="588"/>
      <c r="TPP16" s="588"/>
      <c r="TPQ16" s="588"/>
      <c r="TPR16" s="588"/>
      <c r="TPS16" s="588"/>
      <c r="TPT16" s="588"/>
      <c r="TPU16" s="588"/>
      <c r="TPV16" s="588"/>
      <c r="TPW16" s="588"/>
      <c r="TPX16" s="588"/>
      <c r="TPY16" s="588"/>
      <c r="TPZ16" s="588"/>
      <c r="TQA16" s="588"/>
      <c r="TQB16" s="588"/>
      <c r="TQC16" s="588"/>
      <c r="TQD16" s="588"/>
      <c r="TQE16" s="588"/>
      <c r="TQF16" s="588"/>
      <c r="TQG16" s="588"/>
      <c r="TQH16" s="588"/>
      <c r="TQI16" s="588"/>
      <c r="TQJ16" s="588"/>
      <c r="TQK16" s="588"/>
      <c r="TQL16" s="588"/>
      <c r="TQM16" s="588"/>
      <c r="TQN16" s="588"/>
      <c r="TQO16" s="588"/>
      <c r="TQP16" s="588"/>
      <c r="TQQ16" s="588"/>
      <c r="TQR16" s="588"/>
      <c r="TQS16" s="588"/>
      <c r="TQT16" s="588"/>
      <c r="TQU16" s="588"/>
      <c r="TQV16" s="588"/>
      <c r="TQW16" s="588"/>
      <c r="TQX16" s="588"/>
      <c r="TQY16" s="588"/>
      <c r="TQZ16" s="588"/>
      <c r="TRA16" s="588"/>
      <c r="TRB16" s="588"/>
      <c r="TRC16" s="588"/>
      <c r="TRD16" s="588"/>
      <c r="TRE16" s="588"/>
      <c r="TRF16" s="588"/>
      <c r="TRG16" s="588"/>
      <c r="TRH16" s="588"/>
      <c r="TRI16" s="588"/>
      <c r="TRJ16" s="588"/>
      <c r="TRK16" s="588"/>
      <c r="TRL16" s="588"/>
      <c r="TRM16" s="588"/>
      <c r="TRN16" s="588"/>
      <c r="TRO16" s="588"/>
      <c r="TRP16" s="588"/>
      <c r="TRQ16" s="588"/>
      <c r="TRR16" s="588"/>
      <c r="TRS16" s="588"/>
      <c r="TRT16" s="588"/>
      <c r="TRU16" s="588"/>
      <c r="TRV16" s="588"/>
      <c r="TRW16" s="588"/>
      <c r="TRX16" s="588"/>
      <c r="TRY16" s="588"/>
      <c r="TRZ16" s="588"/>
      <c r="TSA16" s="588"/>
      <c r="TSB16" s="588"/>
      <c r="TSC16" s="588"/>
      <c r="TSD16" s="588"/>
      <c r="TSE16" s="588"/>
      <c r="TSF16" s="588"/>
      <c r="TSG16" s="588"/>
      <c r="TSH16" s="588"/>
      <c r="TSI16" s="588"/>
      <c r="TSJ16" s="588"/>
      <c r="TSK16" s="588"/>
      <c r="TSL16" s="588"/>
      <c r="TSM16" s="588"/>
      <c r="TSN16" s="588"/>
      <c r="TSO16" s="588"/>
      <c r="TSP16" s="588"/>
      <c r="TSQ16" s="588"/>
      <c r="TSR16" s="588"/>
      <c r="TSS16" s="588"/>
      <c r="TST16" s="588"/>
      <c r="TSU16" s="588"/>
      <c r="TSV16" s="588"/>
      <c r="TSW16" s="588"/>
      <c r="TSX16" s="588"/>
      <c r="TSY16" s="588"/>
      <c r="TSZ16" s="588"/>
      <c r="TTA16" s="588"/>
      <c r="TTB16" s="588"/>
      <c r="TTC16" s="588"/>
      <c r="TTD16" s="588"/>
      <c r="TTE16" s="588"/>
      <c r="TTF16" s="588"/>
      <c r="TTG16" s="588"/>
      <c r="TTH16" s="588"/>
      <c r="TTI16" s="588"/>
      <c r="TTJ16" s="588"/>
      <c r="TTK16" s="588"/>
      <c r="TTL16" s="588"/>
      <c r="TTM16" s="588"/>
      <c r="TTN16" s="588"/>
      <c r="TTO16" s="588"/>
      <c r="TTP16" s="588"/>
      <c r="TTQ16" s="588"/>
      <c r="TTR16" s="588"/>
      <c r="TTS16" s="588"/>
      <c r="TTT16" s="588"/>
      <c r="TTU16" s="588"/>
      <c r="TTV16" s="588"/>
      <c r="TTW16" s="588"/>
      <c r="TTX16" s="588"/>
      <c r="TTY16" s="588"/>
      <c r="TTZ16" s="588"/>
      <c r="TUA16" s="588"/>
      <c r="TUB16" s="588"/>
      <c r="TUC16" s="588"/>
      <c r="TUD16" s="588"/>
      <c r="TUE16" s="588"/>
      <c r="TUF16" s="588"/>
      <c r="TUG16" s="588"/>
      <c r="TUH16" s="588"/>
      <c r="TUI16" s="588"/>
      <c r="TUJ16" s="588"/>
      <c r="TUK16" s="588"/>
      <c r="TUL16" s="588"/>
      <c r="TUM16" s="588"/>
      <c r="TUN16" s="588"/>
      <c r="TUO16" s="588"/>
      <c r="TUP16" s="588"/>
      <c r="TUQ16" s="588"/>
      <c r="TUR16" s="588"/>
      <c r="TUS16" s="588"/>
      <c r="TUT16" s="588"/>
      <c r="TUU16" s="588"/>
      <c r="TUV16" s="588"/>
      <c r="TUW16" s="588"/>
      <c r="TUX16" s="588"/>
      <c r="TUY16" s="588"/>
      <c r="TUZ16" s="588"/>
      <c r="TVA16" s="588"/>
      <c r="TVB16" s="588"/>
      <c r="TVC16" s="588"/>
      <c r="TVD16" s="588"/>
      <c r="TVE16" s="588"/>
      <c r="TVF16" s="588"/>
      <c r="TVG16" s="588"/>
      <c r="TVH16" s="588"/>
      <c r="TVI16" s="588"/>
      <c r="TVJ16" s="588"/>
      <c r="TVK16" s="588"/>
      <c r="TVL16" s="588"/>
      <c r="TVM16" s="588"/>
      <c r="TVN16" s="588"/>
      <c r="TVO16" s="588"/>
      <c r="TVP16" s="588"/>
      <c r="TVQ16" s="588"/>
      <c r="TVR16" s="588"/>
      <c r="TVS16" s="588"/>
      <c r="TVT16" s="588"/>
      <c r="TVU16" s="588"/>
      <c r="TVV16" s="588"/>
      <c r="TVW16" s="588"/>
      <c r="TVX16" s="588"/>
      <c r="TVY16" s="588"/>
      <c r="TVZ16" s="588"/>
      <c r="TWA16" s="588"/>
      <c r="TWB16" s="588"/>
      <c r="TWC16" s="588"/>
      <c r="TWD16" s="588"/>
      <c r="TWE16" s="588"/>
      <c r="TWF16" s="588"/>
      <c r="TWG16" s="588"/>
      <c r="TWH16" s="588"/>
      <c r="TWI16" s="588"/>
      <c r="TWJ16" s="588"/>
      <c r="TWK16" s="588"/>
      <c r="TWL16" s="588"/>
      <c r="TWM16" s="588"/>
      <c r="TWN16" s="588"/>
      <c r="TWO16" s="588"/>
      <c r="TWP16" s="588"/>
      <c r="TWQ16" s="588"/>
      <c r="TWR16" s="588"/>
      <c r="TWS16" s="588"/>
      <c r="TWT16" s="588"/>
      <c r="TWU16" s="588"/>
      <c r="TWV16" s="588"/>
      <c r="TWW16" s="588"/>
      <c r="TWX16" s="588"/>
      <c r="TWY16" s="588"/>
      <c r="TWZ16" s="588"/>
      <c r="TXA16" s="588"/>
      <c r="TXB16" s="588"/>
      <c r="TXC16" s="588"/>
      <c r="TXD16" s="588"/>
      <c r="TXE16" s="588"/>
      <c r="TXF16" s="588"/>
      <c r="TXG16" s="588"/>
      <c r="TXH16" s="588"/>
      <c r="TXI16" s="588"/>
      <c r="TXJ16" s="588"/>
      <c r="TXK16" s="588"/>
      <c r="TXL16" s="588"/>
      <c r="TXM16" s="588"/>
      <c r="TXN16" s="588"/>
      <c r="TXO16" s="588"/>
      <c r="TXP16" s="588"/>
      <c r="TXQ16" s="588"/>
      <c r="TXR16" s="588"/>
      <c r="TXS16" s="588"/>
      <c r="TXT16" s="588"/>
      <c r="TXU16" s="588"/>
      <c r="TXV16" s="588"/>
      <c r="TXW16" s="588"/>
      <c r="TXX16" s="588"/>
      <c r="TXY16" s="588"/>
      <c r="TXZ16" s="588"/>
      <c r="TYA16" s="588"/>
      <c r="TYB16" s="588"/>
      <c r="TYC16" s="588"/>
      <c r="TYD16" s="588"/>
      <c r="TYE16" s="588"/>
      <c r="TYF16" s="588"/>
      <c r="TYG16" s="588"/>
      <c r="TYH16" s="588"/>
      <c r="TYI16" s="588"/>
      <c r="TYJ16" s="588"/>
      <c r="TYK16" s="588"/>
      <c r="TYL16" s="588"/>
      <c r="TYM16" s="588"/>
      <c r="TYN16" s="588"/>
      <c r="TYO16" s="588"/>
      <c r="TYP16" s="588"/>
      <c r="TYQ16" s="588"/>
      <c r="TYR16" s="588"/>
      <c r="TYS16" s="588"/>
      <c r="TYT16" s="588"/>
      <c r="TYU16" s="588"/>
      <c r="TYV16" s="588"/>
      <c r="TYW16" s="588"/>
      <c r="TYX16" s="588"/>
      <c r="TYY16" s="588"/>
      <c r="TYZ16" s="588"/>
      <c r="TZA16" s="588"/>
      <c r="TZB16" s="588"/>
      <c r="TZC16" s="588"/>
      <c r="TZD16" s="588"/>
      <c r="TZE16" s="588"/>
      <c r="TZF16" s="588"/>
      <c r="TZG16" s="588"/>
      <c r="TZH16" s="588"/>
      <c r="TZI16" s="588"/>
      <c r="TZJ16" s="588"/>
      <c r="TZK16" s="588"/>
      <c r="TZL16" s="588"/>
      <c r="TZM16" s="588"/>
      <c r="TZN16" s="588"/>
      <c r="TZO16" s="588"/>
      <c r="TZP16" s="588"/>
      <c r="TZQ16" s="588"/>
      <c r="TZR16" s="588"/>
      <c r="TZS16" s="588"/>
      <c r="TZT16" s="588"/>
      <c r="TZU16" s="588"/>
      <c r="TZV16" s="588"/>
      <c r="TZW16" s="588"/>
      <c r="TZX16" s="588"/>
      <c r="TZY16" s="588"/>
      <c r="TZZ16" s="588"/>
      <c r="UAA16" s="588"/>
      <c r="UAB16" s="588"/>
      <c r="UAC16" s="588"/>
      <c r="UAD16" s="588"/>
      <c r="UAE16" s="588"/>
      <c r="UAF16" s="588"/>
      <c r="UAG16" s="588"/>
      <c r="UAH16" s="588"/>
      <c r="UAI16" s="588"/>
      <c r="UAJ16" s="588"/>
      <c r="UAK16" s="588"/>
      <c r="UAL16" s="588"/>
      <c r="UAM16" s="588"/>
      <c r="UAN16" s="588"/>
      <c r="UAO16" s="588"/>
      <c r="UAP16" s="588"/>
      <c r="UAQ16" s="588"/>
      <c r="UAR16" s="588"/>
      <c r="UAS16" s="588"/>
      <c r="UAT16" s="588"/>
      <c r="UAU16" s="588"/>
      <c r="UAV16" s="588"/>
      <c r="UAW16" s="588"/>
      <c r="UAX16" s="588"/>
      <c r="UAY16" s="588"/>
      <c r="UAZ16" s="588"/>
      <c r="UBA16" s="588"/>
      <c r="UBB16" s="588"/>
      <c r="UBC16" s="588"/>
      <c r="UBD16" s="588"/>
      <c r="UBE16" s="588"/>
      <c r="UBF16" s="588"/>
      <c r="UBG16" s="588"/>
      <c r="UBH16" s="588"/>
      <c r="UBI16" s="588"/>
      <c r="UBJ16" s="588"/>
      <c r="UBK16" s="588"/>
      <c r="UBL16" s="588"/>
      <c r="UBM16" s="588"/>
      <c r="UBN16" s="588"/>
      <c r="UBO16" s="588"/>
      <c r="UBP16" s="588"/>
      <c r="UBQ16" s="588"/>
      <c r="UBR16" s="588"/>
      <c r="UBS16" s="588"/>
      <c r="UBT16" s="588"/>
      <c r="UBU16" s="588"/>
      <c r="UBV16" s="588"/>
      <c r="UBW16" s="588"/>
      <c r="UBX16" s="588"/>
      <c r="UBY16" s="588"/>
      <c r="UBZ16" s="588"/>
      <c r="UCA16" s="588"/>
      <c r="UCB16" s="588"/>
      <c r="UCC16" s="588"/>
      <c r="UCD16" s="588"/>
      <c r="UCE16" s="588"/>
      <c r="UCF16" s="588"/>
      <c r="UCG16" s="588"/>
      <c r="UCH16" s="588"/>
      <c r="UCI16" s="588"/>
      <c r="UCJ16" s="588"/>
      <c r="UCK16" s="588"/>
      <c r="UCL16" s="588"/>
      <c r="UCM16" s="588"/>
      <c r="UCN16" s="588"/>
      <c r="UCO16" s="588"/>
      <c r="UCP16" s="588"/>
      <c r="UCQ16" s="588"/>
      <c r="UCR16" s="588"/>
      <c r="UCS16" s="588"/>
      <c r="UCT16" s="588"/>
      <c r="UCU16" s="588"/>
      <c r="UCV16" s="588"/>
      <c r="UCW16" s="588"/>
      <c r="UCX16" s="588"/>
      <c r="UCY16" s="588"/>
      <c r="UCZ16" s="588"/>
      <c r="UDA16" s="588"/>
      <c r="UDB16" s="588"/>
      <c r="UDC16" s="588"/>
      <c r="UDD16" s="588"/>
      <c r="UDE16" s="588"/>
      <c r="UDF16" s="588"/>
      <c r="UDG16" s="588"/>
      <c r="UDH16" s="588"/>
      <c r="UDI16" s="588"/>
      <c r="UDJ16" s="588"/>
      <c r="UDK16" s="588"/>
      <c r="UDL16" s="588"/>
      <c r="UDM16" s="588"/>
      <c r="UDN16" s="588"/>
      <c r="UDO16" s="588"/>
      <c r="UDP16" s="588"/>
      <c r="UDQ16" s="588"/>
      <c r="UDR16" s="588"/>
      <c r="UDS16" s="588"/>
      <c r="UDT16" s="588"/>
      <c r="UDU16" s="588"/>
      <c r="UDV16" s="588"/>
      <c r="UDW16" s="588"/>
      <c r="UDX16" s="588"/>
      <c r="UDY16" s="588"/>
      <c r="UDZ16" s="588"/>
      <c r="UEA16" s="588"/>
      <c r="UEB16" s="588"/>
      <c r="UEC16" s="588"/>
      <c r="UED16" s="588"/>
      <c r="UEE16" s="588"/>
      <c r="UEF16" s="588"/>
      <c r="UEG16" s="588"/>
      <c r="UEH16" s="588"/>
      <c r="UEI16" s="588"/>
      <c r="UEJ16" s="588"/>
      <c r="UEK16" s="588"/>
      <c r="UEL16" s="588"/>
      <c r="UEM16" s="588"/>
      <c r="UEN16" s="588"/>
      <c r="UEO16" s="588"/>
      <c r="UEP16" s="588"/>
      <c r="UEQ16" s="588"/>
      <c r="UER16" s="588"/>
      <c r="UES16" s="588"/>
      <c r="UET16" s="588"/>
      <c r="UEU16" s="588"/>
      <c r="UEV16" s="588"/>
      <c r="UEW16" s="588"/>
      <c r="UEX16" s="588"/>
      <c r="UEY16" s="588"/>
      <c r="UEZ16" s="588"/>
      <c r="UFA16" s="588"/>
      <c r="UFB16" s="588"/>
      <c r="UFC16" s="588"/>
      <c r="UFD16" s="588"/>
      <c r="UFE16" s="588"/>
      <c r="UFF16" s="588"/>
      <c r="UFG16" s="588"/>
      <c r="UFH16" s="588"/>
      <c r="UFI16" s="588"/>
      <c r="UFJ16" s="588"/>
      <c r="UFK16" s="588"/>
      <c r="UFL16" s="588"/>
      <c r="UFM16" s="588"/>
      <c r="UFN16" s="588"/>
      <c r="UFO16" s="588"/>
      <c r="UFP16" s="588"/>
      <c r="UFQ16" s="588"/>
      <c r="UFR16" s="588"/>
      <c r="UFS16" s="588"/>
      <c r="UFT16" s="588"/>
      <c r="UFU16" s="588"/>
      <c r="UFV16" s="588"/>
      <c r="UFW16" s="588"/>
      <c r="UFX16" s="588"/>
      <c r="UFY16" s="588"/>
      <c r="UFZ16" s="588"/>
      <c r="UGA16" s="588"/>
      <c r="UGB16" s="588"/>
      <c r="UGC16" s="588"/>
      <c r="UGD16" s="588"/>
      <c r="UGE16" s="588"/>
      <c r="UGF16" s="588"/>
      <c r="UGG16" s="588"/>
      <c r="UGH16" s="588"/>
      <c r="UGI16" s="588"/>
      <c r="UGJ16" s="588"/>
      <c r="UGK16" s="588"/>
      <c r="UGL16" s="588"/>
      <c r="UGM16" s="588"/>
      <c r="UGN16" s="588"/>
      <c r="UGO16" s="588"/>
      <c r="UGP16" s="588"/>
      <c r="UGQ16" s="588"/>
      <c r="UGR16" s="588"/>
      <c r="UGS16" s="588"/>
      <c r="UGT16" s="588"/>
      <c r="UGU16" s="588"/>
      <c r="UGV16" s="588"/>
      <c r="UGW16" s="588"/>
      <c r="UGX16" s="588"/>
      <c r="UGY16" s="588"/>
      <c r="UGZ16" s="588"/>
      <c r="UHA16" s="588"/>
      <c r="UHB16" s="588"/>
      <c r="UHC16" s="588"/>
      <c r="UHD16" s="588"/>
      <c r="UHE16" s="588"/>
      <c r="UHF16" s="588"/>
      <c r="UHG16" s="588"/>
      <c r="UHH16" s="588"/>
      <c r="UHI16" s="588"/>
      <c r="UHJ16" s="588"/>
      <c r="UHK16" s="588"/>
      <c r="UHL16" s="588"/>
      <c r="UHM16" s="588"/>
      <c r="UHN16" s="588"/>
      <c r="UHO16" s="588"/>
      <c r="UHP16" s="588"/>
      <c r="UHQ16" s="588"/>
      <c r="UHR16" s="588"/>
      <c r="UHS16" s="588"/>
      <c r="UHT16" s="588"/>
      <c r="UHU16" s="588"/>
      <c r="UHV16" s="588"/>
      <c r="UHW16" s="588"/>
      <c r="UHX16" s="588"/>
      <c r="UHY16" s="588"/>
      <c r="UHZ16" s="588"/>
      <c r="UIA16" s="588"/>
      <c r="UIB16" s="588"/>
      <c r="UIC16" s="588"/>
      <c r="UID16" s="588"/>
      <c r="UIE16" s="588"/>
      <c r="UIF16" s="588"/>
      <c r="UIG16" s="588"/>
      <c r="UIH16" s="588"/>
      <c r="UII16" s="588"/>
      <c r="UIJ16" s="588"/>
      <c r="UIK16" s="588"/>
      <c r="UIL16" s="588"/>
      <c r="UIM16" s="588"/>
      <c r="UIN16" s="588"/>
      <c r="UIO16" s="588"/>
      <c r="UIP16" s="588"/>
      <c r="UIQ16" s="588"/>
      <c r="UIR16" s="588"/>
      <c r="UIS16" s="588"/>
      <c r="UIT16" s="588"/>
      <c r="UIU16" s="588"/>
      <c r="UIV16" s="588"/>
      <c r="UIW16" s="588"/>
      <c r="UIX16" s="588"/>
      <c r="UIY16" s="588"/>
      <c r="UIZ16" s="588"/>
      <c r="UJA16" s="588"/>
      <c r="UJB16" s="588"/>
      <c r="UJC16" s="588"/>
      <c r="UJD16" s="588"/>
      <c r="UJE16" s="588"/>
      <c r="UJF16" s="588"/>
      <c r="UJG16" s="588"/>
      <c r="UJH16" s="588"/>
      <c r="UJI16" s="588"/>
      <c r="UJJ16" s="588"/>
      <c r="UJK16" s="588"/>
      <c r="UJL16" s="588"/>
      <c r="UJM16" s="588"/>
      <c r="UJN16" s="588"/>
      <c r="UJO16" s="588"/>
      <c r="UJP16" s="588"/>
      <c r="UJQ16" s="588"/>
      <c r="UJR16" s="588"/>
      <c r="UJS16" s="588"/>
      <c r="UJT16" s="588"/>
      <c r="UJU16" s="588"/>
      <c r="UJV16" s="588"/>
      <c r="UJW16" s="588"/>
      <c r="UJX16" s="588"/>
      <c r="UJY16" s="588"/>
      <c r="UJZ16" s="588"/>
      <c r="UKA16" s="588"/>
      <c r="UKB16" s="588"/>
      <c r="UKC16" s="588"/>
      <c r="UKD16" s="588"/>
      <c r="UKE16" s="588"/>
      <c r="UKF16" s="588"/>
      <c r="UKG16" s="588"/>
      <c r="UKH16" s="588"/>
      <c r="UKI16" s="588"/>
      <c r="UKJ16" s="588"/>
      <c r="UKK16" s="588"/>
      <c r="UKL16" s="588"/>
      <c r="UKM16" s="588"/>
      <c r="UKN16" s="588"/>
      <c r="UKO16" s="588"/>
      <c r="UKP16" s="588"/>
      <c r="UKQ16" s="588"/>
      <c r="UKR16" s="588"/>
      <c r="UKS16" s="588"/>
      <c r="UKT16" s="588"/>
      <c r="UKU16" s="588"/>
      <c r="UKV16" s="588"/>
      <c r="UKW16" s="588"/>
      <c r="UKX16" s="588"/>
      <c r="UKY16" s="588"/>
      <c r="UKZ16" s="588"/>
      <c r="ULA16" s="588"/>
      <c r="ULB16" s="588"/>
      <c r="ULC16" s="588"/>
      <c r="ULD16" s="588"/>
      <c r="ULE16" s="588"/>
      <c r="ULF16" s="588"/>
      <c r="ULG16" s="588"/>
      <c r="ULH16" s="588"/>
      <c r="ULI16" s="588"/>
      <c r="ULJ16" s="588"/>
      <c r="ULK16" s="588"/>
      <c r="ULL16" s="588"/>
      <c r="ULM16" s="588"/>
      <c r="ULN16" s="588"/>
      <c r="ULO16" s="588"/>
      <c r="ULP16" s="588"/>
      <c r="ULQ16" s="588"/>
      <c r="ULR16" s="588"/>
      <c r="ULS16" s="588"/>
      <c r="ULT16" s="588"/>
      <c r="ULU16" s="588"/>
      <c r="ULV16" s="588"/>
      <c r="ULW16" s="588"/>
      <c r="ULX16" s="588"/>
      <c r="ULY16" s="588"/>
      <c r="ULZ16" s="588"/>
      <c r="UMA16" s="588"/>
      <c r="UMB16" s="588"/>
      <c r="UMC16" s="588"/>
      <c r="UMD16" s="588"/>
      <c r="UME16" s="588"/>
      <c r="UMF16" s="588"/>
      <c r="UMG16" s="588"/>
      <c r="UMH16" s="588"/>
      <c r="UMI16" s="588"/>
      <c r="UMJ16" s="588"/>
      <c r="UMK16" s="588"/>
      <c r="UML16" s="588"/>
      <c r="UMM16" s="588"/>
      <c r="UMN16" s="588"/>
      <c r="UMO16" s="588"/>
      <c r="UMP16" s="588"/>
      <c r="UMQ16" s="588"/>
      <c r="UMR16" s="588"/>
      <c r="UMS16" s="588"/>
      <c r="UMT16" s="588"/>
      <c r="UMU16" s="588"/>
      <c r="UMV16" s="588"/>
      <c r="UMW16" s="588"/>
      <c r="UMX16" s="588"/>
      <c r="UMY16" s="588"/>
      <c r="UMZ16" s="588"/>
      <c r="UNA16" s="588"/>
      <c r="UNB16" s="588"/>
      <c r="UNC16" s="588"/>
      <c r="UND16" s="588"/>
      <c r="UNE16" s="588"/>
      <c r="UNF16" s="588"/>
      <c r="UNG16" s="588"/>
      <c r="UNH16" s="588"/>
      <c r="UNI16" s="588"/>
      <c r="UNJ16" s="588"/>
      <c r="UNK16" s="588"/>
      <c r="UNL16" s="588"/>
      <c r="UNM16" s="588"/>
      <c r="UNN16" s="588"/>
      <c r="UNO16" s="588"/>
      <c r="UNP16" s="588"/>
      <c r="UNQ16" s="588"/>
      <c r="UNR16" s="588"/>
      <c r="UNS16" s="588"/>
      <c r="UNT16" s="588"/>
      <c r="UNU16" s="588"/>
      <c r="UNV16" s="588"/>
      <c r="UNW16" s="588"/>
      <c r="UNX16" s="588"/>
      <c r="UNY16" s="588"/>
      <c r="UNZ16" s="588"/>
      <c r="UOA16" s="588"/>
      <c r="UOB16" s="588"/>
      <c r="UOC16" s="588"/>
      <c r="UOD16" s="588"/>
      <c r="UOE16" s="588"/>
      <c r="UOF16" s="588"/>
      <c r="UOG16" s="588"/>
      <c r="UOH16" s="588"/>
      <c r="UOI16" s="588"/>
      <c r="UOJ16" s="588"/>
      <c r="UOK16" s="588"/>
      <c r="UOL16" s="588"/>
      <c r="UOM16" s="588"/>
      <c r="UON16" s="588"/>
      <c r="UOO16" s="588"/>
      <c r="UOP16" s="588"/>
      <c r="UOQ16" s="588"/>
      <c r="UOR16" s="588"/>
      <c r="UOS16" s="588"/>
      <c r="UOT16" s="588"/>
      <c r="UOU16" s="588"/>
      <c r="UOV16" s="588"/>
      <c r="UOW16" s="588"/>
      <c r="UOX16" s="588"/>
      <c r="UOY16" s="588"/>
      <c r="UOZ16" s="588"/>
      <c r="UPA16" s="588"/>
      <c r="UPB16" s="588"/>
      <c r="UPC16" s="588"/>
      <c r="UPD16" s="588"/>
      <c r="UPE16" s="588"/>
      <c r="UPF16" s="588"/>
      <c r="UPG16" s="588"/>
      <c r="UPH16" s="588"/>
      <c r="UPI16" s="588"/>
      <c r="UPJ16" s="588"/>
      <c r="UPK16" s="588"/>
      <c r="UPL16" s="588"/>
      <c r="UPM16" s="588"/>
      <c r="UPN16" s="588"/>
      <c r="UPO16" s="588"/>
      <c r="UPP16" s="588"/>
      <c r="UPQ16" s="588"/>
      <c r="UPR16" s="588"/>
      <c r="UPS16" s="588"/>
      <c r="UPT16" s="588"/>
      <c r="UPU16" s="588"/>
      <c r="UPV16" s="588"/>
      <c r="UPW16" s="588"/>
      <c r="UPX16" s="588"/>
      <c r="UPY16" s="588"/>
      <c r="UPZ16" s="588"/>
      <c r="UQA16" s="588"/>
      <c r="UQB16" s="588"/>
      <c r="UQC16" s="588"/>
      <c r="UQD16" s="588"/>
      <c r="UQE16" s="588"/>
      <c r="UQF16" s="588"/>
      <c r="UQG16" s="588"/>
      <c r="UQH16" s="588"/>
      <c r="UQI16" s="588"/>
      <c r="UQJ16" s="588"/>
      <c r="UQK16" s="588"/>
      <c r="UQL16" s="588"/>
      <c r="UQM16" s="588"/>
      <c r="UQN16" s="588"/>
      <c r="UQO16" s="588"/>
      <c r="UQP16" s="588"/>
      <c r="UQQ16" s="588"/>
      <c r="UQR16" s="588"/>
      <c r="UQS16" s="588"/>
      <c r="UQT16" s="588"/>
      <c r="UQU16" s="588"/>
      <c r="UQV16" s="588"/>
      <c r="UQW16" s="588"/>
      <c r="UQX16" s="588"/>
      <c r="UQY16" s="588"/>
      <c r="UQZ16" s="588"/>
      <c r="URA16" s="588"/>
      <c r="URB16" s="588"/>
      <c r="URC16" s="588"/>
      <c r="URD16" s="588"/>
      <c r="URE16" s="588"/>
      <c r="URF16" s="588"/>
      <c r="URG16" s="588"/>
      <c r="URH16" s="588"/>
      <c r="URI16" s="588"/>
      <c r="URJ16" s="588"/>
      <c r="URK16" s="588"/>
      <c r="URL16" s="588"/>
      <c r="URM16" s="588"/>
      <c r="URN16" s="588"/>
      <c r="URO16" s="588"/>
      <c r="URP16" s="588"/>
      <c r="URQ16" s="588"/>
      <c r="URR16" s="588"/>
      <c r="URS16" s="588"/>
      <c r="URT16" s="588"/>
      <c r="URU16" s="588"/>
      <c r="URV16" s="588"/>
      <c r="URW16" s="588"/>
      <c r="URX16" s="588"/>
      <c r="URY16" s="588"/>
      <c r="URZ16" s="588"/>
      <c r="USA16" s="588"/>
      <c r="USB16" s="588"/>
      <c r="USC16" s="588"/>
      <c r="USD16" s="588"/>
      <c r="USE16" s="588"/>
      <c r="USF16" s="588"/>
      <c r="USG16" s="588"/>
      <c r="USH16" s="588"/>
      <c r="USI16" s="588"/>
      <c r="USJ16" s="588"/>
      <c r="USK16" s="588"/>
      <c r="USL16" s="588"/>
      <c r="USM16" s="588"/>
      <c r="USN16" s="588"/>
      <c r="USO16" s="588"/>
      <c r="USP16" s="588"/>
      <c r="USQ16" s="588"/>
      <c r="USR16" s="588"/>
      <c r="USS16" s="588"/>
      <c r="UST16" s="588"/>
      <c r="USU16" s="588"/>
      <c r="USV16" s="588"/>
      <c r="USW16" s="588"/>
      <c r="USX16" s="588"/>
      <c r="USY16" s="588"/>
      <c r="USZ16" s="588"/>
      <c r="UTA16" s="588"/>
      <c r="UTB16" s="588"/>
      <c r="UTC16" s="588"/>
      <c r="UTD16" s="588"/>
      <c r="UTE16" s="588"/>
      <c r="UTF16" s="588"/>
      <c r="UTG16" s="588"/>
      <c r="UTH16" s="588"/>
      <c r="UTI16" s="588"/>
      <c r="UTJ16" s="588"/>
      <c r="UTK16" s="588"/>
      <c r="UTL16" s="588"/>
      <c r="UTM16" s="588"/>
      <c r="UTN16" s="588"/>
      <c r="UTO16" s="588"/>
      <c r="UTP16" s="588"/>
      <c r="UTQ16" s="588"/>
      <c r="UTR16" s="588"/>
      <c r="UTS16" s="588"/>
      <c r="UTT16" s="588"/>
      <c r="UTU16" s="588"/>
      <c r="UTV16" s="588"/>
      <c r="UTW16" s="588"/>
      <c r="UTX16" s="588"/>
      <c r="UTY16" s="588"/>
      <c r="UTZ16" s="588"/>
      <c r="UUA16" s="588"/>
      <c r="UUB16" s="588"/>
      <c r="UUC16" s="588"/>
      <c r="UUD16" s="588"/>
      <c r="UUE16" s="588"/>
      <c r="UUF16" s="588"/>
      <c r="UUG16" s="588"/>
      <c r="UUH16" s="588"/>
      <c r="UUI16" s="588"/>
      <c r="UUJ16" s="588"/>
      <c r="UUK16" s="588"/>
      <c r="UUL16" s="588"/>
      <c r="UUM16" s="588"/>
      <c r="UUN16" s="588"/>
      <c r="UUO16" s="588"/>
      <c r="UUP16" s="588"/>
      <c r="UUQ16" s="588"/>
      <c r="UUR16" s="588"/>
      <c r="UUS16" s="588"/>
      <c r="UUT16" s="588"/>
      <c r="UUU16" s="588"/>
      <c r="UUV16" s="588"/>
      <c r="UUW16" s="588"/>
      <c r="UUX16" s="588"/>
      <c r="UUY16" s="588"/>
      <c r="UUZ16" s="588"/>
      <c r="UVA16" s="588"/>
      <c r="UVB16" s="588"/>
      <c r="UVC16" s="588"/>
      <c r="UVD16" s="588"/>
      <c r="UVE16" s="588"/>
      <c r="UVF16" s="588"/>
      <c r="UVG16" s="588"/>
      <c r="UVH16" s="588"/>
      <c r="UVI16" s="588"/>
      <c r="UVJ16" s="588"/>
      <c r="UVK16" s="588"/>
      <c r="UVL16" s="588"/>
      <c r="UVM16" s="588"/>
      <c r="UVN16" s="588"/>
      <c r="UVO16" s="588"/>
      <c r="UVP16" s="588"/>
      <c r="UVQ16" s="588"/>
      <c r="UVR16" s="588"/>
      <c r="UVS16" s="588"/>
      <c r="UVT16" s="588"/>
      <c r="UVU16" s="588"/>
      <c r="UVV16" s="588"/>
      <c r="UVW16" s="588"/>
      <c r="UVX16" s="588"/>
      <c r="UVY16" s="588"/>
      <c r="UVZ16" s="588"/>
      <c r="UWA16" s="588"/>
      <c r="UWB16" s="588"/>
      <c r="UWC16" s="588"/>
      <c r="UWD16" s="588"/>
      <c r="UWE16" s="588"/>
      <c r="UWF16" s="588"/>
      <c r="UWG16" s="588"/>
      <c r="UWH16" s="588"/>
      <c r="UWI16" s="588"/>
      <c r="UWJ16" s="588"/>
      <c r="UWK16" s="588"/>
      <c r="UWL16" s="588"/>
      <c r="UWM16" s="588"/>
      <c r="UWN16" s="588"/>
      <c r="UWO16" s="588"/>
      <c r="UWP16" s="588"/>
      <c r="UWQ16" s="588"/>
      <c r="UWR16" s="588"/>
      <c r="UWS16" s="588"/>
      <c r="UWT16" s="588"/>
      <c r="UWU16" s="588"/>
      <c r="UWV16" s="588"/>
      <c r="UWW16" s="588"/>
      <c r="UWX16" s="588"/>
      <c r="UWY16" s="588"/>
      <c r="UWZ16" s="588"/>
      <c r="UXA16" s="588"/>
      <c r="UXB16" s="588"/>
      <c r="UXC16" s="588"/>
      <c r="UXD16" s="588"/>
      <c r="UXE16" s="588"/>
      <c r="UXF16" s="588"/>
      <c r="UXG16" s="588"/>
      <c r="UXH16" s="588"/>
      <c r="UXI16" s="588"/>
      <c r="UXJ16" s="588"/>
      <c r="UXK16" s="588"/>
      <c r="UXL16" s="588"/>
      <c r="UXM16" s="588"/>
      <c r="UXN16" s="588"/>
      <c r="UXO16" s="588"/>
      <c r="UXP16" s="588"/>
      <c r="UXQ16" s="588"/>
      <c r="UXR16" s="588"/>
      <c r="UXS16" s="588"/>
      <c r="UXT16" s="588"/>
      <c r="UXU16" s="588"/>
      <c r="UXV16" s="588"/>
      <c r="UXW16" s="588"/>
      <c r="UXX16" s="588"/>
      <c r="UXY16" s="588"/>
      <c r="UXZ16" s="588"/>
      <c r="UYA16" s="588"/>
      <c r="UYB16" s="588"/>
      <c r="UYC16" s="588"/>
      <c r="UYD16" s="588"/>
      <c r="UYE16" s="588"/>
      <c r="UYF16" s="588"/>
      <c r="UYG16" s="588"/>
      <c r="UYH16" s="588"/>
      <c r="UYI16" s="588"/>
      <c r="UYJ16" s="588"/>
      <c r="UYK16" s="588"/>
      <c r="UYL16" s="588"/>
      <c r="UYM16" s="588"/>
      <c r="UYN16" s="588"/>
      <c r="UYO16" s="588"/>
      <c r="UYP16" s="588"/>
      <c r="UYQ16" s="588"/>
      <c r="UYR16" s="588"/>
      <c r="UYS16" s="588"/>
      <c r="UYT16" s="588"/>
      <c r="UYU16" s="588"/>
      <c r="UYV16" s="588"/>
      <c r="UYW16" s="588"/>
      <c r="UYX16" s="588"/>
      <c r="UYY16" s="588"/>
      <c r="UYZ16" s="588"/>
      <c r="UZA16" s="588"/>
      <c r="UZB16" s="588"/>
      <c r="UZC16" s="588"/>
      <c r="UZD16" s="588"/>
      <c r="UZE16" s="588"/>
      <c r="UZF16" s="588"/>
      <c r="UZG16" s="588"/>
      <c r="UZH16" s="588"/>
      <c r="UZI16" s="588"/>
      <c r="UZJ16" s="588"/>
      <c r="UZK16" s="588"/>
      <c r="UZL16" s="588"/>
      <c r="UZM16" s="588"/>
      <c r="UZN16" s="588"/>
      <c r="UZO16" s="588"/>
      <c r="UZP16" s="588"/>
      <c r="UZQ16" s="588"/>
      <c r="UZR16" s="588"/>
      <c r="UZS16" s="588"/>
      <c r="UZT16" s="588"/>
      <c r="UZU16" s="588"/>
      <c r="UZV16" s="588"/>
      <c r="UZW16" s="588"/>
      <c r="UZX16" s="588"/>
      <c r="UZY16" s="588"/>
      <c r="UZZ16" s="588"/>
      <c r="VAA16" s="588"/>
      <c r="VAB16" s="588"/>
      <c r="VAC16" s="588"/>
      <c r="VAD16" s="588"/>
      <c r="VAE16" s="588"/>
      <c r="VAF16" s="588"/>
      <c r="VAG16" s="588"/>
      <c r="VAH16" s="588"/>
      <c r="VAI16" s="588"/>
      <c r="VAJ16" s="588"/>
      <c r="VAK16" s="588"/>
      <c r="VAL16" s="588"/>
      <c r="VAM16" s="588"/>
      <c r="VAN16" s="588"/>
      <c r="VAO16" s="588"/>
      <c r="VAP16" s="588"/>
      <c r="VAQ16" s="588"/>
      <c r="VAR16" s="588"/>
      <c r="VAS16" s="588"/>
      <c r="VAT16" s="588"/>
      <c r="VAU16" s="588"/>
      <c r="VAV16" s="588"/>
      <c r="VAW16" s="588"/>
      <c r="VAX16" s="588"/>
      <c r="VAY16" s="588"/>
      <c r="VAZ16" s="588"/>
      <c r="VBA16" s="588"/>
      <c r="VBB16" s="588"/>
      <c r="VBC16" s="588"/>
      <c r="VBD16" s="588"/>
      <c r="VBE16" s="588"/>
      <c r="VBF16" s="588"/>
      <c r="VBG16" s="588"/>
      <c r="VBH16" s="588"/>
      <c r="VBI16" s="588"/>
      <c r="VBJ16" s="588"/>
      <c r="VBK16" s="588"/>
      <c r="VBL16" s="588"/>
      <c r="VBM16" s="588"/>
      <c r="VBN16" s="588"/>
      <c r="VBO16" s="588"/>
      <c r="VBP16" s="588"/>
      <c r="VBQ16" s="588"/>
      <c r="VBR16" s="588"/>
      <c r="VBS16" s="588"/>
      <c r="VBT16" s="588"/>
      <c r="VBU16" s="588"/>
      <c r="VBV16" s="588"/>
      <c r="VBW16" s="588"/>
      <c r="VBX16" s="588"/>
      <c r="VBY16" s="588"/>
      <c r="VBZ16" s="588"/>
      <c r="VCA16" s="588"/>
      <c r="VCB16" s="588"/>
      <c r="VCC16" s="588"/>
      <c r="VCD16" s="588"/>
      <c r="VCE16" s="588"/>
      <c r="VCF16" s="588"/>
      <c r="VCG16" s="588"/>
      <c r="VCH16" s="588"/>
      <c r="VCI16" s="588"/>
      <c r="VCJ16" s="588"/>
      <c r="VCK16" s="588"/>
      <c r="VCL16" s="588"/>
      <c r="VCM16" s="588"/>
      <c r="VCN16" s="588"/>
      <c r="VCO16" s="588"/>
      <c r="VCP16" s="588"/>
      <c r="VCQ16" s="588"/>
      <c r="VCR16" s="588"/>
      <c r="VCS16" s="588"/>
      <c r="VCT16" s="588"/>
      <c r="VCU16" s="588"/>
      <c r="VCV16" s="588"/>
      <c r="VCW16" s="588"/>
      <c r="VCX16" s="588"/>
      <c r="VCY16" s="588"/>
      <c r="VCZ16" s="588"/>
      <c r="VDA16" s="588"/>
      <c r="VDB16" s="588"/>
      <c r="VDC16" s="588"/>
      <c r="VDD16" s="588"/>
      <c r="VDE16" s="588"/>
      <c r="VDF16" s="588"/>
      <c r="VDG16" s="588"/>
      <c r="VDH16" s="588"/>
      <c r="VDI16" s="588"/>
      <c r="VDJ16" s="588"/>
      <c r="VDK16" s="588"/>
      <c r="VDL16" s="588"/>
      <c r="VDM16" s="588"/>
      <c r="VDN16" s="588"/>
      <c r="VDO16" s="588"/>
      <c r="VDP16" s="588"/>
      <c r="VDQ16" s="588"/>
      <c r="VDR16" s="588"/>
      <c r="VDS16" s="588"/>
      <c r="VDT16" s="588"/>
      <c r="VDU16" s="588"/>
      <c r="VDV16" s="588"/>
      <c r="VDW16" s="588"/>
      <c r="VDX16" s="588"/>
      <c r="VDY16" s="588"/>
      <c r="VDZ16" s="588"/>
      <c r="VEA16" s="588"/>
      <c r="VEB16" s="588"/>
      <c r="VEC16" s="588"/>
      <c r="VED16" s="588"/>
      <c r="VEE16" s="588"/>
      <c r="VEF16" s="588"/>
      <c r="VEG16" s="588"/>
      <c r="VEH16" s="588"/>
      <c r="VEI16" s="588"/>
      <c r="VEJ16" s="588"/>
      <c r="VEK16" s="588"/>
      <c r="VEL16" s="588"/>
      <c r="VEM16" s="588"/>
      <c r="VEN16" s="588"/>
      <c r="VEO16" s="588"/>
      <c r="VEP16" s="588"/>
      <c r="VEQ16" s="588"/>
      <c r="VER16" s="588"/>
      <c r="VES16" s="588"/>
      <c r="VET16" s="588"/>
      <c r="VEU16" s="588"/>
      <c r="VEV16" s="588"/>
      <c r="VEW16" s="588"/>
      <c r="VEX16" s="588"/>
      <c r="VEY16" s="588"/>
      <c r="VEZ16" s="588"/>
      <c r="VFA16" s="588"/>
      <c r="VFB16" s="588"/>
      <c r="VFC16" s="588"/>
      <c r="VFD16" s="588"/>
      <c r="VFE16" s="588"/>
      <c r="VFF16" s="588"/>
      <c r="VFG16" s="588"/>
      <c r="VFH16" s="588"/>
      <c r="VFI16" s="588"/>
      <c r="VFJ16" s="588"/>
      <c r="VFK16" s="588"/>
      <c r="VFL16" s="588"/>
      <c r="VFM16" s="588"/>
      <c r="VFN16" s="588"/>
      <c r="VFO16" s="588"/>
      <c r="VFP16" s="588"/>
      <c r="VFQ16" s="588"/>
      <c r="VFR16" s="588"/>
      <c r="VFS16" s="588"/>
      <c r="VFT16" s="588"/>
      <c r="VFU16" s="588"/>
      <c r="VFV16" s="588"/>
      <c r="VFW16" s="588"/>
      <c r="VFX16" s="588"/>
      <c r="VFY16" s="588"/>
      <c r="VFZ16" s="588"/>
      <c r="VGA16" s="588"/>
      <c r="VGB16" s="588"/>
      <c r="VGC16" s="588"/>
      <c r="VGD16" s="588"/>
      <c r="VGE16" s="588"/>
      <c r="VGF16" s="588"/>
      <c r="VGG16" s="588"/>
      <c r="VGH16" s="588"/>
      <c r="VGI16" s="588"/>
      <c r="VGJ16" s="588"/>
      <c r="VGK16" s="588"/>
      <c r="VGL16" s="588"/>
      <c r="VGM16" s="588"/>
      <c r="VGN16" s="588"/>
      <c r="VGO16" s="588"/>
      <c r="VGP16" s="588"/>
      <c r="VGQ16" s="588"/>
      <c r="VGR16" s="588"/>
      <c r="VGS16" s="588"/>
      <c r="VGT16" s="588"/>
      <c r="VGU16" s="588"/>
      <c r="VGV16" s="588"/>
      <c r="VGW16" s="588"/>
      <c r="VGX16" s="588"/>
      <c r="VGY16" s="588"/>
      <c r="VGZ16" s="588"/>
      <c r="VHA16" s="588"/>
      <c r="VHB16" s="588"/>
      <c r="VHC16" s="588"/>
      <c r="VHD16" s="588"/>
      <c r="VHE16" s="588"/>
      <c r="VHF16" s="588"/>
      <c r="VHG16" s="588"/>
      <c r="VHH16" s="588"/>
      <c r="VHI16" s="588"/>
      <c r="VHJ16" s="588"/>
      <c r="VHK16" s="588"/>
      <c r="VHL16" s="588"/>
      <c r="VHM16" s="588"/>
      <c r="VHN16" s="588"/>
      <c r="VHO16" s="588"/>
      <c r="VHP16" s="588"/>
      <c r="VHQ16" s="588"/>
      <c r="VHR16" s="588"/>
      <c r="VHS16" s="588"/>
      <c r="VHT16" s="588"/>
      <c r="VHU16" s="588"/>
      <c r="VHV16" s="588"/>
      <c r="VHW16" s="588"/>
      <c r="VHX16" s="588"/>
      <c r="VHY16" s="588"/>
      <c r="VHZ16" s="588"/>
      <c r="VIA16" s="588"/>
      <c r="VIB16" s="588"/>
      <c r="VIC16" s="588"/>
      <c r="VID16" s="588"/>
      <c r="VIE16" s="588"/>
      <c r="VIF16" s="588"/>
      <c r="VIG16" s="588"/>
      <c r="VIH16" s="588"/>
      <c r="VII16" s="588"/>
      <c r="VIJ16" s="588"/>
      <c r="VIK16" s="588"/>
      <c r="VIL16" s="588"/>
      <c r="VIM16" s="588"/>
      <c r="VIN16" s="588"/>
      <c r="VIO16" s="588"/>
      <c r="VIP16" s="588"/>
      <c r="VIQ16" s="588"/>
      <c r="VIR16" s="588"/>
      <c r="VIS16" s="588"/>
      <c r="VIT16" s="588"/>
      <c r="VIU16" s="588"/>
      <c r="VIV16" s="588"/>
      <c r="VIW16" s="588"/>
      <c r="VIX16" s="588"/>
      <c r="VIY16" s="588"/>
      <c r="VIZ16" s="588"/>
      <c r="VJA16" s="588"/>
      <c r="VJB16" s="588"/>
      <c r="VJC16" s="588"/>
      <c r="VJD16" s="588"/>
      <c r="VJE16" s="588"/>
      <c r="VJF16" s="588"/>
      <c r="VJG16" s="588"/>
      <c r="VJH16" s="588"/>
      <c r="VJI16" s="588"/>
      <c r="VJJ16" s="588"/>
      <c r="VJK16" s="588"/>
      <c r="VJL16" s="588"/>
      <c r="VJM16" s="588"/>
      <c r="VJN16" s="588"/>
      <c r="VJO16" s="588"/>
      <c r="VJP16" s="588"/>
      <c r="VJQ16" s="588"/>
      <c r="VJR16" s="588"/>
      <c r="VJS16" s="588"/>
      <c r="VJT16" s="588"/>
      <c r="VJU16" s="588"/>
      <c r="VJV16" s="588"/>
      <c r="VJW16" s="588"/>
      <c r="VJX16" s="588"/>
      <c r="VJY16" s="588"/>
      <c r="VJZ16" s="588"/>
      <c r="VKA16" s="588"/>
      <c r="VKB16" s="588"/>
      <c r="VKC16" s="588"/>
      <c r="VKD16" s="588"/>
      <c r="VKE16" s="588"/>
      <c r="VKF16" s="588"/>
      <c r="VKG16" s="588"/>
      <c r="VKH16" s="588"/>
      <c r="VKI16" s="588"/>
      <c r="VKJ16" s="588"/>
      <c r="VKK16" s="588"/>
      <c r="VKL16" s="588"/>
      <c r="VKM16" s="588"/>
      <c r="VKN16" s="588"/>
      <c r="VKO16" s="588"/>
      <c r="VKP16" s="588"/>
      <c r="VKQ16" s="588"/>
      <c r="VKR16" s="588"/>
      <c r="VKS16" s="588"/>
      <c r="VKT16" s="588"/>
      <c r="VKU16" s="588"/>
      <c r="VKV16" s="588"/>
      <c r="VKW16" s="588"/>
      <c r="VKX16" s="588"/>
      <c r="VKY16" s="588"/>
      <c r="VKZ16" s="588"/>
      <c r="VLA16" s="588"/>
      <c r="VLB16" s="588"/>
      <c r="VLC16" s="588"/>
      <c r="VLD16" s="588"/>
      <c r="VLE16" s="588"/>
      <c r="VLF16" s="588"/>
      <c r="VLG16" s="588"/>
      <c r="VLH16" s="588"/>
      <c r="VLI16" s="588"/>
      <c r="VLJ16" s="588"/>
      <c r="VLK16" s="588"/>
      <c r="VLL16" s="588"/>
      <c r="VLM16" s="588"/>
      <c r="VLN16" s="588"/>
      <c r="VLO16" s="588"/>
      <c r="VLP16" s="588"/>
      <c r="VLQ16" s="588"/>
      <c r="VLR16" s="588"/>
      <c r="VLS16" s="588"/>
      <c r="VLT16" s="588"/>
      <c r="VLU16" s="588"/>
      <c r="VLV16" s="588"/>
      <c r="VLW16" s="588"/>
      <c r="VLX16" s="588"/>
      <c r="VLY16" s="588"/>
      <c r="VLZ16" s="588"/>
      <c r="VMA16" s="588"/>
      <c r="VMB16" s="588"/>
      <c r="VMC16" s="588"/>
      <c r="VMD16" s="588"/>
      <c r="VME16" s="588"/>
      <c r="VMF16" s="588"/>
      <c r="VMG16" s="588"/>
      <c r="VMH16" s="588"/>
      <c r="VMI16" s="588"/>
      <c r="VMJ16" s="588"/>
      <c r="VMK16" s="588"/>
      <c r="VML16" s="588"/>
      <c r="VMM16" s="588"/>
      <c r="VMN16" s="588"/>
      <c r="VMO16" s="588"/>
      <c r="VMP16" s="588"/>
      <c r="VMQ16" s="588"/>
      <c r="VMR16" s="588"/>
      <c r="VMS16" s="588"/>
      <c r="VMT16" s="588"/>
      <c r="VMU16" s="588"/>
      <c r="VMV16" s="588"/>
      <c r="VMW16" s="588"/>
      <c r="VMX16" s="588"/>
      <c r="VMY16" s="588"/>
      <c r="VMZ16" s="588"/>
      <c r="VNA16" s="588"/>
      <c r="VNB16" s="588"/>
      <c r="VNC16" s="588"/>
      <c r="VND16" s="588"/>
      <c r="VNE16" s="588"/>
      <c r="VNF16" s="588"/>
      <c r="VNG16" s="588"/>
      <c r="VNH16" s="588"/>
      <c r="VNI16" s="588"/>
      <c r="VNJ16" s="588"/>
      <c r="VNK16" s="588"/>
      <c r="VNL16" s="588"/>
      <c r="VNM16" s="588"/>
      <c r="VNN16" s="588"/>
      <c r="VNO16" s="588"/>
      <c r="VNP16" s="588"/>
      <c r="VNQ16" s="588"/>
      <c r="VNR16" s="588"/>
      <c r="VNS16" s="588"/>
      <c r="VNT16" s="588"/>
      <c r="VNU16" s="588"/>
      <c r="VNV16" s="588"/>
      <c r="VNW16" s="588"/>
      <c r="VNX16" s="588"/>
      <c r="VNY16" s="588"/>
      <c r="VNZ16" s="588"/>
      <c r="VOA16" s="588"/>
      <c r="VOB16" s="588"/>
      <c r="VOC16" s="588"/>
      <c r="VOD16" s="588"/>
      <c r="VOE16" s="588"/>
      <c r="VOF16" s="588"/>
      <c r="VOG16" s="588"/>
      <c r="VOH16" s="588"/>
      <c r="VOI16" s="588"/>
      <c r="VOJ16" s="588"/>
      <c r="VOK16" s="588"/>
      <c r="VOL16" s="588"/>
      <c r="VOM16" s="588"/>
      <c r="VON16" s="588"/>
      <c r="VOO16" s="588"/>
      <c r="VOP16" s="588"/>
      <c r="VOQ16" s="588"/>
      <c r="VOR16" s="588"/>
      <c r="VOS16" s="588"/>
      <c r="VOT16" s="588"/>
      <c r="VOU16" s="588"/>
      <c r="VOV16" s="588"/>
      <c r="VOW16" s="588"/>
      <c r="VOX16" s="588"/>
      <c r="VOY16" s="588"/>
      <c r="VOZ16" s="588"/>
      <c r="VPA16" s="588"/>
      <c r="VPB16" s="588"/>
      <c r="VPC16" s="588"/>
      <c r="VPD16" s="588"/>
      <c r="VPE16" s="588"/>
      <c r="VPF16" s="588"/>
      <c r="VPG16" s="588"/>
      <c r="VPH16" s="588"/>
      <c r="VPI16" s="588"/>
      <c r="VPJ16" s="588"/>
      <c r="VPK16" s="588"/>
      <c r="VPL16" s="588"/>
      <c r="VPM16" s="588"/>
      <c r="VPN16" s="588"/>
      <c r="VPO16" s="588"/>
      <c r="VPP16" s="588"/>
      <c r="VPQ16" s="588"/>
      <c r="VPR16" s="588"/>
      <c r="VPS16" s="588"/>
      <c r="VPT16" s="588"/>
      <c r="VPU16" s="588"/>
      <c r="VPV16" s="588"/>
      <c r="VPW16" s="588"/>
      <c r="VPX16" s="588"/>
      <c r="VPY16" s="588"/>
      <c r="VPZ16" s="588"/>
      <c r="VQA16" s="588"/>
      <c r="VQB16" s="588"/>
      <c r="VQC16" s="588"/>
      <c r="VQD16" s="588"/>
      <c r="VQE16" s="588"/>
      <c r="VQF16" s="588"/>
      <c r="VQG16" s="588"/>
      <c r="VQH16" s="588"/>
      <c r="VQI16" s="588"/>
      <c r="VQJ16" s="588"/>
      <c r="VQK16" s="588"/>
      <c r="VQL16" s="588"/>
      <c r="VQM16" s="588"/>
      <c r="VQN16" s="588"/>
      <c r="VQO16" s="588"/>
      <c r="VQP16" s="588"/>
      <c r="VQQ16" s="588"/>
      <c r="VQR16" s="588"/>
      <c r="VQS16" s="588"/>
      <c r="VQT16" s="588"/>
      <c r="VQU16" s="588"/>
      <c r="VQV16" s="588"/>
      <c r="VQW16" s="588"/>
      <c r="VQX16" s="588"/>
      <c r="VQY16" s="588"/>
      <c r="VQZ16" s="588"/>
      <c r="VRA16" s="588"/>
      <c r="VRB16" s="588"/>
      <c r="VRC16" s="588"/>
      <c r="VRD16" s="588"/>
      <c r="VRE16" s="588"/>
      <c r="VRF16" s="588"/>
      <c r="VRG16" s="588"/>
      <c r="VRH16" s="588"/>
      <c r="VRI16" s="588"/>
      <c r="VRJ16" s="588"/>
      <c r="VRK16" s="588"/>
      <c r="VRL16" s="588"/>
      <c r="VRM16" s="588"/>
      <c r="VRN16" s="588"/>
      <c r="VRO16" s="588"/>
      <c r="VRP16" s="588"/>
      <c r="VRQ16" s="588"/>
      <c r="VRR16" s="588"/>
      <c r="VRS16" s="588"/>
      <c r="VRT16" s="588"/>
      <c r="VRU16" s="588"/>
      <c r="VRV16" s="588"/>
      <c r="VRW16" s="588"/>
      <c r="VRX16" s="588"/>
      <c r="VRY16" s="588"/>
      <c r="VRZ16" s="588"/>
      <c r="VSA16" s="588"/>
      <c r="VSB16" s="588"/>
      <c r="VSC16" s="588"/>
      <c r="VSD16" s="588"/>
      <c r="VSE16" s="588"/>
      <c r="VSF16" s="588"/>
      <c r="VSG16" s="588"/>
      <c r="VSH16" s="588"/>
      <c r="VSI16" s="588"/>
      <c r="VSJ16" s="588"/>
      <c r="VSK16" s="588"/>
      <c r="VSL16" s="588"/>
      <c r="VSM16" s="588"/>
      <c r="VSN16" s="588"/>
      <c r="VSO16" s="588"/>
      <c r="VSP16" s="588"/>
      <c r="VSQ16" s="588"/>
      <c r="VSR16" s="588"/>
      <c r="VSS16" s="588"/>
      <c r="VST16" s="588"/>
      <c r="VSU16" s="588"/>
      <c r="VSV16" s="588"/>
      <c r="VSW16" s="588"/>
      <c r="VSX16" s="588"/>
      <c r="VSY16" s="588"/>
      <c r="VSZ16" s="588"/>
      <c r="VTA16" s="588"/>
      <c r="VTB16" s="588"/>
      <c r="VTC16" s="588"/>
      <c r="VTD16" s="588"/>
      <c r="VTE16" s="588"/>
      <c r="VTF16" s="588"/>
      <c r="VTG16" s="588"/>
      <c r="VTH16" s="588"/>
      <c r="VTI16" s="588"/>
      <c r="VTJ16" s="588"/>
      <c r="VTK16" s="588"/>
      <c r="VTL16" s="588"/>
      <c r="VTM16" s="588"/>
      <c r="VTN16" s="588"/>
      <c r="VTO16" s="588"/>
      <c r="VTP16" s="588"/>
      <c r="VTQ16" s="588"/>
      <c r="VTR16" s="588"/>
      <c r="VTS16" s="588"/>
      <c r="VTT16" s="588"/>
      <c r="VTU16" s="588"/>
      <c r="VTV16" s="588"/>
      <c r="VTW16" s="588"/>
      <c r="VTX16" s="588"/>
      <c r="VTY16" s="588"/>
      <c r="VTZ16" s="588"/>
      <c r="VUA16" s="588"/>
      <c r="VUB16" s="588"/>
      <c r="VUC16" s="588"/>
      <c r="VUD16" s="588"/>
      <c r="VUE16" s="588"/>
      <c r="VUF16" s="588"/>
      <c r="VUG16" s="588"/>
      <c r="VUH16" s="588"/>
      <c r="VUI16" s="588"/>
      <c r="VUJ16" s="588"/>
      <c r="VUK16" s="588"/>
      <c r="VUL16" s="588"/>
      <c r="VUM16" s="588"/>
      <c r="VUN16" s="588"/>
      <c r="VUO16" s="588"/>
      <c r="VUP16" s="588"/>
      <c r="VUQ16" s="588"/>
      <c r="VUR16" s="588"/>
      <c r="VUS16" s="588"/>
      <c r="VUT16" s="588"/>
      <c r="VUU16" s="588"/>
      <c r="VUV16" s="588"/>
      <c r="VUW16" s="588"/>
      <c r="VUX16" s="588"/>
      <c r="VUY16" s="588"/>
      <c r="VUZ16" s="588"/>
      <c r="VVA16" s="588"/>
      <c r="VVB16" s="588"/>
      <c r="VVC16" s="588"/>
      <c r="VVD16" s="588"/>
      <c r="VVE16" s="588"/>
      <c r="VVF16" s="588"/>
      <c r="VVG16" s="588"/>
      <c r="VVH16" s="588"/>
      <c r="VVI16" s="588"/>
      <c r="VVJ16" s="588"/>
      <c r="VVK16" s="588"/>
      <c r="VVL16" s="588"/>
      <c r="VVM16" s="588"/>
      <c r="VVN16" s="588"/>
      <c r="VVO16" s="588"/>
      <c r="VVP16" s="588"/>
      <c r="VVQ16" s="588"/>
      <c r="VVR16" s="588"/>
      <c r="VVS16" s="588"/>
      <c r="VVT16" s="588"/>
      <c r="VVU16" s="588"/>
      <c r="VVV16" s="588"/>
      <c r="VVW16" s="588"/>
      <c r="VVX16" s="588"/>
      <c r="VVY16" s="588"/>
      <c r="VVZ16" s="588"/>
      <c r="VWA16" s="588"/>
      <c r="VWB16" s="588"/>
      <c r="VWC16" s="588"/>
      <c r="VWD16" s="588"/>
      <c r="VWE16" s="588"/>
      <c r="VWF16" s="588"/>
      <c r="VWG16" s="588"/>
      <c r="VWH16" s="588"/>
      <c r="VWI16" s="588"/>
      <c r="VWJ16" s="588"/>
      <c r="VWK16" s="588"/>
      <c r="VWL16" s="588"/>
      <c r="VWM16" s="588"/>
      <c r="VWN16" s="588"/>
      <c r="VWO16" s="588"/>
      <c r="VWP16" s="588"/>
      <c r="VWQ16" s="588"/>
      <c r="VWR16" s="588"/>
      <c r="VWS16" s="588"/>
      <c r="VWT16" s="588"/>
      <c r="VWU16" s="588"/>
      <c r="VWV16" s="588"/>
      <c r="VWW16" s="588"/>
      <c r="VWX16" s="588"/>
      <c r="VWY16" s="588"/>
      <c r="VWZ16" s="588"/>
      <c r="VXA16" s="588"/>
      <c r="VXB16" s="588"/>
      <c r="VXC16" s="588"/>
      <c r="VXD16" s="588"/>
      <c r="VXE16" s="588"/>
      <c r="VXF16" s="588"/>
      <c r="VXG16" s="588"/>
      <c r="VXH16" s="588"/>
      <c r="VXI16" s="588"/>
      <c r="VXJ16" s="588"/>
      <c r="VXK16" s="588"/>
      <c r="VXL16" s="588"/>
      <c r="VXM16" s="588"/>
      <c r="VXN16" s="588"/>
      <c r="VXO16" s="588"/>
      <c r="VXP16" s="588"/>
      <c r="VXQ16" s="588"/>
      <c r="VXR16" s="588"/>
      <c r="VXS16" s="588"/>
      <c r="VXT16" s="588"/>
      <c r="VXU16" s="588"/>
      <c r="VXV16" s="588"/>
      <c r="VXW16" s="588"/>
      <c r="VXX16" s="588"/>
      <c r="VXY16" s="588"/>
      <c r="VXZ16" s="588"/>
      <c r="VYA16" s="588"/>
      <c r="VYB16" s="588"/>
      <c r="VYC16" s="588"/>
      <c r="VYD16" s="588"/>
      <c r="VYE16" s="588"/>
      <c r="VYF16" s="588"/>
      <c r="VYG16" s="588"/>
      <c r="VYH16" s="588"/>
      <c r="VYI16" s="588"/>
      <c r="VYJ16" s="588"/>
      <c r="VYK16" s="588"/>
      <c r="VYL16" s="588"/>
      <c r="VYM16" s="588"/>
      <c r="VYN16" s="588"/>
      <c r="VYO16" s="588"/>
      <c r="VYP16" s="588"/>
      <c r="VYQ16" s="588"/>
      <c r="VYR16" s="588"/>
      <c r="VYS16" s="588"/>
      <c r="VYT16" s="588"/>
      <c r="VYU16" s="588"/>
      <c r="VYV16" s="588"/>
      <c r="VYW16" s="588"/>
      <c r="VYX16" s="588"/>
      <c r="VYY16" s="588"/>
      <c r="VYZ16" s="588"/>
      <c r="VZA16" s="588"/>
      <c r="VZB16" s="588"/>
      <c r="VZC16" s="588"/>
      <c r="VZD16" s="588"/>
      <c r="VZE16" s="588"/>
      <c r="VZF16" s="588"/>
      <c r="VZG16" s="588"/>
      <c r="VZH16" s="588"/>
      <c r="VZI16" s="588"/>
      <c r="VZJ16" s="588"/>
      <c r="VZK16" s="588"/>
      <c r="VZL16" s="588"/>
      <c r="VZM16" s="588"/>
      <c r="VZN16" s="588"/>
      <c r="VZO16" s="588"/>
      <c r="VZP16" s="588"/>
      <c r="VZQ16" s="588"/>
      <c r="VZR16" s="588"/>
      <c r="VZS16" s="588"/>
      <c r="VZT16" s="588"/>
      <c r="VZU16" s="588"/>
      <c r="VZV16" s="588"/>
      <c r="VZW16" s="588"/>
      <c r="VZX16" s="588"/>
      <c r="VZY16" s="588"/>
      <c r="VZZ16" s="588"/>
      <c r="WAA16" s="588"/>
      <c r="WAB16" s="588"/>
      <c r="WAC16" s="588"/>
      <c r="WAD16" s="588"/>
      <c r="WAE16" s="588"/>
      <c r="WAF16" s="588"/>
      <c r="WAG16" s="588"/>
      <c r="WAH16" s="588"/>
      <c r="WAI16" s="588"/>
      <c r="WAJ16" s="588"/>
      <c r="WAK16" s="588"/>
      <c r="WAL16" s="588"/>
      <c r="WAM16" s="588"/>
      <c r="WAN16" s="588"/>
      <c r="WAO16" s="588"/>
      <c r="WAP16" s="588"/>
      <c r="WAQ16" s="588"/>
      <c r="WAR16" s="588"/>
      <c r="WAS16" s="588"/>
      <c r="WAT16" s="588"/>
      <c r="WAU16" s="588"/>
      <c r="WAV16" s="588"/>
      <c r="WAW16" s="588"/>
      <c r="WAX16" s="588"/>
      <c r="WAY16" s="588"/>
      <c r="WAZ16" s="588"/>
      <c r="WBA16" s="588"/>
      <c r="WBB16" s="588"/>
      <c r="WBC16" s="588"/>
      <c r="WBD16" s="588"/>
      <c r="WBE16" s="588"/>
      <c r="WBF16" s="588"/>
      <c r="WBG16" s="588"/>
      <c r="WBH16" s="588"/>
      <c r="WBI16" s="588"/>
      <c r="WBJ16" s="588"/>
      <c r="WBK16" s="588"/>
      <c r="WBL16" s="588"/>
      <c r="WBM16" s="588"/>
      <c r="WBN16" s="588"/>
      <c r="WBO16" s="588"/>
      <c r="WBP16" s="588"/>
      <c r="WBQ16" s="588"/>
      <c r="WBR16" s="588"/>
      <c r="WBS16" s="588"/>
      <c r="WBT16" s="588"/>
      <c r="WBU16" s="588"/>
      <c r="WBV16" s="588"/>
      <c r="WBW16" s="588"/>
      <c r="WBX16" s="588"/>
      <c r="WBY16" s="588"/>
      <c r="WBZ16" s="588"/>
      <c r="WCA16" s="588"/>
      <c r="WCB16" s="588"/>
      <c r="WCC16" s="588"/>
      <c r="WCD16" s="588"/>
      <c r="WCE16" s="588"/>
      <c r="WCF16" s="588"/>
      <c r="WCG16" s="588"/>
      <c r="WCH16" s="588"/>
      <c r="WCI16" s="588"/>
      <c r="WCJ16" s="588"/>
      <c r="WCK16" s="588"/>
      <c r="WCL16" s="588"/>
      <c r="WCM16" s="588"/>
      <c r="WCN16" s="588"/>
      <c r="WCO16" s="588"/>
      <c r="WCP16" s="588"/>
      <c r="WCQ16" s="588"/>
      <c r="WCR16" s="588"/>
      <c r="WCS16" s="588"/>
      <c r="WCT16" s="588"/>
      <c r="WCU16" s="588"/>
      <c r="WCV16" s="588"/>
      <c r="WCW16" s="588"/>
      <c r="WCX16" s="588"/>
      <c r="WCY16" s="588"/>
      <c r="WCZ16" s="588"/>
      <c r="WDA16" s="588"/>
      <c r="WDB16" s="588"/>
      <c r="WDC16" s="588"/>
      <c r="WDD16" s="588"/>
      <c r="WDE16" s="588"/>
      <c r="WDF16" s="588"/>
      <c r="WDG16" s="588"/>
      <c r="WDH16" s="588"/>
      <c r="WDI16" s="588"/>
      <c r="WDJ16" s="588"/>
      <c r="WDK16" s="588"/>
      <c r="WDL16" s="588"/>
      <c r="WDM16" s="588"/>
      <c r="WDN16" s="588"/>
      <c r="WDO16" s="588"/>
      <c r="WDP16" s="588"/>
      <c r="WDQ16" s="588"/>
      <c r="WDR16" s="588"/>
      <c r="WDS16" s="588"/>
      <c r="WDT16" s="588"/>
      <c r="WDU16" s="588"/>
      <c r="WDV16" s="588"/>
      <c r="WDW16" s="588"/>
      <c r="WDX16" s="588"/>
      <c r="WDY16" s="588"/>
      <c r="WDZ16" s="588"/>
      <c r="WEA16" s="588"/>
      <c r="WEB16" s="588"/>
      <c r="WEC16" s="588"/>
      <c r="WED16" s="588"/>
      <c r="WEE16" s="588"/>
      <c r="WEF16" s="588"/>
      <c r="WEG16" s="588"/>
      <c r="WEH16" s="588"/>
      <c r="WEI16" s="588"/>
      <c r="WEJ16" s="588"/>
      <c r="WEK16" s="588"/>
      <c r="WEL16" s="588"/>
      <c r="WEM16" s="588"/>
      <c r="WEN16" s="588"/>
      <c r="WEO16" s="588"/>
      <c r="WEP16" s="588"/>
      <c r="WEQ16" s="588"/>
      <c r="WER16" s="588"/>
      <c r="WES16" s="588"/>
      <c r="WET16" s="588"/>
      <c r="WEU16" s="588"/>
      <c r="WEV16" s="588"/>
      <c r="WEW16" s="588"/>
      <c r="WEX16" s="588"/>
      <c r="WEY16" s="588"/>
      <c r="WEZ16" s="588"/>
      <c r="WFA16" s="588"/>
      <c r="WFB16" s="588"/>
      <c r="WFC16" s="588"/>
      <c r="WFD16" s="588"/>
      <c r="WFE16" s="588"/>
      <c r="WFF16" s="588"/>
      <c r="WFG16" s="588"/>
      <c r="WFH16" s="588"/>
      <c r="WFI16" s="588"/>
      <c r="WFJ16" s="588"/>
      <c r="WFK16" s="588"/>
      <c r="WFL16" s="588"/>
      <c r="WFM16" s="588"/>
      <c r="WFN16" s="588"/>
      <c r="WFO16" s="588"/>
      <c r="WFP16" s="588"/>
      <c r="WFQ16" s="588"/>
      <c r="WFR16" s="588"/>
      <c r="WFS16" s="588"/>
      <c r="WFT16" s="588"/>
      <c r="WFU16" s="588"/>
      <c r="WFV16" s="588"/>
      <c r="WFW16" s="588"/>
      <c r="WFX16" s="588"/>
      <c r="WFY16" s="588"/>
      <c r="WFZ16" s="588"/>
      <c r="WGA16" s="588"/>
      <c r="WGB16" s="588"/>
      <c r="WGC16" s="588"/>
      <c r="WGD16" s="588"/>
      <c r="WGE16" s="588"/>
      <c r="WGF16" s="588"/>
      <c r="WGG16" s="588"/>
      <c r="WGH16" s="588"/>
      <c r="WGI16" s="588"/>
      <c r="WGJ16" s="588"/>
      <c r="WGK16" s="588"/>
      <c r="WGL16" s="588"/>
      <c r="WGM16" s="588"/>
      <c r="WGN16" s="588"/>
      <c r="WGO16" s="588"/>
      <c r="WGP16" s="588"/>
      <c r="WGQ16" s="588"/>
      <c r="WGR16" s="588"/>
      <c r="WGS16" s="588"/>
      <c r="WGT16" s="588"/>
      <c r="WGU16" s="588"/>
      <c r="WGV16" s="588"/>
      <c r="WGW16" s="588"/>
      <c r="WGX16" s="588"/>
      <c r="WGY16" s="588"/>
      <c r="WGZ16" s="588"/>
      <c r="WHA16" s="588"/>
      <c r="WHB16" s="588"/>
      <c r="WHC16" s="588"/>
      <c r="WHD16" s="588"/>
      <c r="WHE16" s="588"/>
      <c r="WHF16" s="588"/>
      <c r="WHG16" s="588"/>
      <c r="WHH16" s="588"/>
      <c r="WHI16" s="588"/>
      <c r="WHJ16" s="588"/>
      <c r="WHK16" s="588"/>
      <c r="WHL16" s="588"/>
      <c r="WHM16" s="588"/>
      <c r="WHN16" s="588"/>
      <c r="WHO16" s="588"/>
      <c r="WHP16" s="588"/>
      <c r="WHQ16" s="588"/>
      <c r="WHR16" s="588"/>
      <c r="WHS16" s="588"/>
      <c r="WHT16" s="588"/>
      <c r="WHU16" s="588"/>
      <c r="WHV16" s="588"/>
      <c r="WHW16" s="588"/>
      <c r="WHX16" s="588"/>
      <c r="WHY16" s="588"/>
      <c r="WHZ16" s="588"/>
      <c r="WIA16" s="588"/>
      <c r="WIB16" s="588"/>
      <c r="WIC16" s="588"/>
      <c r="WID16" s="588"/>
      <c r="WIE16" s="588"/>
      <c r="WIF16" s="588"/>
      <c r="WIG16" s="588"/>
      <c r="WIH16" s="588"/>
      <c r="WII16" s="588"/>
      <c r="WIJ16" s="588"/>
      <c r="WIK16" s="588"/>
      <c r="WIL16" s="588"/>
      <c r="WIM16" s="588"/>
      <c r="WIN16" s="588"/>
      <c r="WIO16" s="588"/>
      <c r="WIP16" s="588"/>
      <c r="WIQ16" s="588"/>
      <c r="WIR16" s="588"/>
      <c r="WIS16" s="588"/>
      <c r="WIT16" s="588"/>
      <c r="WIU16" s="588"/>
      <c r="WIV16" s="588"/>
      <c r="WIW16" s="588"/>
      <c r="WIX16" s="588"/>
      <c r="WIY16" s="588"/>
      <c r="WIZ16" s="588"/>
      <c r="WJA16" s="588"/>
      <c r="WJB16" s="588"/>
      <c r="WJC16" s="588"/>
      <c r="WJD16" s="588"/>
      <c r="WJE16" s="588"/>
      <c r="WJF16" s="588"/>
      <c r="WJG16" s="588"/>
      <c r="WJH16" s="588"/>
      <c r="WJI16" s="588"/>
      <c r="WJJ16" s="588"/>
      <c r="WJK16" s="588"/>
      <c r="WJL16" s="588"/>
      <c r="WJM16" s="588"/>
      <c r="WJN16" s="588"/>
      <c r="WJO16" s="588"/>
      <c r="WJP16" s="588"/>
      <c r="WJQ16" s="588"/>
      <c r="WJR16" s="588"/>
      <c r="WJS16" s="588"/>
      <c r="WJT16" s="588"/>
      <c r="WJU16" s="588"/>
      <c r="WJV16" s="588"/>
      <c r="WJW16" s="588"/>
      <c r="WJX16" s="588"/>
      <c r="WJY16" s="588"/>
      <c r="WJZ16" s="588"/>
      <c r="WKA16" s="588"/>
      <c r="WKB16" s="588"/>
      <c r="WKC16" s="588"/>
      <c r="WKD16" s="588"/>
      <c r="WKE16" s="588"/>
      <c r="WKF16" s="588"/>
      <c r="WKG16" s="588"/>
      <c r="WKH16" s="588"/>
      <c r="WKI16" s="588"/>
      <c r="WKJ16" s="588"/>
      <c r="WKK16" s="588"/>
      <c r="WKL16" s="588"/>
      <c r="WKM16" s="588"/>
      <c r="WKN16" s="588"/>
      <c r="WKO16" s="588"/>
      <c r="WKP16" s="588"/>
      <c r="WKQ16" s="588"/>
      <c r="WKR16" s="588"/>
      <c r="WKS16" s="588"/>
      <c r="WKT16" s="588"/>
      <c r="WKU16" s="588"/>
      <c r="WKV16" s="588"/>
      <c r="WKW16" s="588"/>
      <c r="WKX16" s="588"/>
      <c r="WKY16" s="588"/>
      <c r="WKZ16" s="588"/>
      <c r="WLA16" s="588"/>
      <c r="WLB16" s="588"/>
      <c r="WLC16" s="588"/>
      <c r="WLD16" s="588"/>
      <c r="WLE16" s="588"/>
      <c r="WLF16" s="588"/>
      <c r="WLG16" s="588"/>
      <c r="WLH16" s="588"/>
      <c r="WLI16" s="588"/>
      <c r="WLJ16" s="588"/>
      <c r="WLK16" s="588"/>
      <c r="WLL16" s="588"/>
      <c r="WLM16" s="588"/>
      <c r="WLN16" s="588"/>
      <c r="WLO16" s="588"/>
      <c r="WLP16" s="588"/>
      <c r="WLQ16" s="588"/>
      <c r="WLR16" s="588"/>
      <c r="WLS16" s="588"/>
      <c r="WLT16" s="588"/>
      <c r="WLU16" s="588"/>
      <c r="WLV16" s="588"/>
      <c r="WLW16" s="588"/>
      <c r="WLX16" s="588"/>
      <c r="WLY16" s="588"/>
      <c r="WLZ16" s="588"/>
      <c r="WMA16" s="588"/>
      <c r="WMB16" s="588"/>
      <c r="WMC16" s="588"/>
      <c r="WMD16" s="588"/>
      <c r="WME16" s="588"/>
      <c r="WMF16" s="588"/>
      <c r="WMG16" s="588"/>
      <c r="WMH16" s="588"/>
      <c r="WMI16" s="588"/>
      <c r="WMJ16" s="588"/>
      <c r="WMK16" s="588"/>
      <c r="WML16" s="588"/>
      <c r="WMM16" s="588"/>
      <c r="WMN16" s="588"/>
      <c r="WMO16" s="588"/>
      <c r="WMP16" s="588"/>
      <c r="WMQ16" s="588"/>
      <c r="WMR16" s="588"/>
      <c r="WMS16" s="588"/>
      <c r="WMT16" s="588"/>
      <c r="WMU16" s="588"/>
      <c r="WMV16" s="588"/>
      <c r="WMW16" s="588"/>
      <c r="WMX16" s="588"/>
      <c r="WMY16" s="588"/>
      <c r="WMZ16" s="588"/>
      <c r="WNA16" s="588"/>
      <c r="WNB16" s="588"/>
      <c r="WNC16" s="588"/>
      <c r="WND16" s="588"/>
      <c r="WNE16" s="588"/>
      <c r="WNF16" s="588"/>
      <c r="WNG16" s="588"/>
      <c r="WNH16" s="588"/>
      <c r="WNI16" s="588"/>
      <c r="WNJ16" s="588"/>
      <c r="WNK16" s="588"/>
      <c r="WNL16" s="588"/>
      <c r="WNM16" s="588"/>
      <c r="WNN16" s="588"/>
      <c r="WNO16" s="588"/>
      <c r="WNP16" s="588"/>
      <c r="WNQ16" s="588"/>
      <c r="WNR16" s="588"/>
      <c r="WNS16" s="588"/>
      <c r="WNT16" s="588"/>
      <c r="WNU16" s="588"/>
      <c r="WNV16" s="588"/>
      <c r="WNW16" s="588"/>
      <c r="WNX16" s="588"/>
      <c r="WNY16" s="588"/>
      <c r="WNZ16" s="588"/>
      <c r="WOA16" s="588"/>
      <c r="WOB16" s="588"/>
      <c r="WOC16" s="588"/>
      <c r="WOD16" s="588"/>
      <c r="WOE16" s="588"/>
      <c r="WOF16" s="588"/>
      <c r="WOG16" s="588"/>
      <c r="WOH16" s="588"/>
      <c r="WOI16" s="588"/>
      <c r="WOJ16" s="588"/>
      <c r="WOK16" s="588"/>
      <c r="WOL16" s="588"/>
      <c r="WOM16" s="588"/>
      <c r="WON16" s="588"/>
      <c r="WOO16" s="588"/>
      <c r="WOP16" s="588"/>
      <c r="WOQ16" s="588"/>
      <c r="WOR16" s="588"/>
      <c r="WOS16" s="588"/>
      <c r="WOT16" s="588"/>
      <c r="WOU16" s="588"/>
      <c r="WOV16" s="588"/>
      <c r="WOW16" s="588"/>
      <c r="WOX16" s="588"/>
      <c r="WOY16" s="588"/>
      <c r="WOZ16" s="588"/>
      <c r="WPA16" s="588"/>
      <c r="WPB16" s="588"/>
      <c r="WPC16" s="588"/>
      <c r="WPD16" s="588"/>
      <c r="WPE16" s="588"/>
      <c r="WPF16" s="588"/>
      <c r="WPG16" s="588"/>
      <c r="WPH16" s="588"/>
      <c r="WPI16" s="588"/>
      <c r="WPJ16" s="588"/>
      <c r="WPK16" s="588"/>
      <c r="WPL16" s="588"/>
      <c r="WPM16" s="588"/>
      <c r="WPN16" s="588"/>
      <c r="WPO16" s="588"/>
      <c r="WPP16" s="588"/>
      <c r="WPQ16" s="588"/>
      <c r="WPR16" s="588"/>
      <c r="WPS16" s="588"/>
      <c r="WPT16" s="588"/>
      <c r="WPU16" s="588"/>
      <c r="WPV16" s="588"/>
      <c r="WPW16" s="588"/>
      <c r="WPX16" s="588"/>
      <c r="WPY16" s="588"/>
      <c r="WPZ16" s="588"/>
      <c r="WQA16" s="588"/>
      <c r="WQB16" s="588"/>
      <c r="WQC16" s="588"/>
      <c r="WQD16" s="588"/>
      <c r="WQE16" s="588"/>
      <c r="WQF16" s="588"/>
      <c r="WQG16" s="588"/>
      <c r="WQH16" s="588"/>
      <c r="WQI16" s="588"/>
      <c r="WQJ16" s="588"/>
      <c r="WQK16" s="588"/>
      <c r="WQL16" s="588"/>
      <c r="WQM16" s="588"/>
      <c r="WQN16" s="588"/>
      <c r="WQO16" s="588"/>
      <c r="WQP16" s="588"/>
      <c r="WQQ16" s="588"/>
      <c r="WQR16" s="588"/>
      <c r="WQS16" s="588"/>
      <c r="WQT16" s="588"/>
      <c r="WQU16" s="588"/>
      <c r="WQV16" s="588"/>
      <c r="WQW16" s="588"/>
      <c r="WQX16" s="588"/>
      <c r="WQY16" s="588"/>
      <c r="WQZ16" s="588"/>
      <c r="WRA16" s="588"/>
      <c r="WRB16" s="588"/>
      <c r="WRC16" s="588"/>
      <c r="WRD16" s="588"/>
      <c r="WRE16" s="588"/>
      <c r="WRF16" s="588"/>
      <c r="WRG16" s="588"/>
      <c r="WRH16" s="588"/>
      <c r="WRI16" s="588"/>
      <c r="WRJ16" s="588"/>
      <c r="WRK16" s="588"/>
      <c r="WRL16" s="588"/>
      <c r="WRM16" s="588"/>
      <c r="WRN16" s="588"/>
      <c r="WRO16" s="588"/>
      <c r="WRP16" s="588"/>
      <c r="WRQ16" s="588"/>
      <c r="WRR16" s="588"/>
      <c r="WRS16" s="588"/>
      <c r="WRT16" s="588"/>
      <c r="WRU16" s="588"/>
      <c r="WRV16" s="588"/>
      <c r="WRW16" s="588"/>
      <c r="WRX16" s="588"/>
      <c r="WRY16" s="588"/>
      <c r="WRZ16" s="588"/>
      <c r="WSA16" s="588"/>
      <c r="WSB16" s="588"/>
      <c r="WSC16" s="588"/>
      <c r="WSD16" s="588"/>
      <c r="WSE16" s="588"/>
      <c r="WSF16" s="588"/>
      <c r="WSG16" s="588"/>
      <c r="WSH16" s="588"/>
      <c r="WSI16" s="588"/>
      <c r="WSJ16" s="588"/>
      <c r="WSK16" s="588"/>
      <c r="WSL16" s="588"/>
      <c r="WSM16" s="588"/>
      <c r="WSN16" s="588"/>
      <c r="WSO16" s="588"/>
      <c r="WSP16" s="588"/>
      <c r="WSQ16" s="588"/>
      <c r="WSR16" s="588"/>
      <c r="WSS16" s="588"/>
      <c r="WST16" s="588"/>
      <c r="WSU16" s="588"/>
      <c r="WSV16" s="588"/>
      <c r="WSW16" s="588"/>
      <c r="WSX16" s="588"/>
      <c r="WSY16" s="588"/>
      <c r="WSZ16" s="588"/>
      <c r="WTA16" s="588"/>
      <c r="WTB16" s="588"/>
      <c r="WTC16" s="588"/>
      <c r="WTD16" s="588"/>
      <c r="WTE16" s="588"/>
      <c r="WTF16" s="588"/>
      <c r="WTG16" s="588"/>
      <c r="WTH16" s="588"/>
      <c r="WTI16" s="588"/>
      <c r="WTJ16" s="588"/>
      <c r="WTK16" s="588"/>
      <c r="WTL16" s="588"/>
      <c r="WTM16" s="588"/>
      <c r="WTN16" s="588"/>
      <c r="WTO16" s="588"/>
      <c r="WTP16" s="588"/>
      <c r="WTQ16" s="588"/>
      <c r="WTR16" s="588"/>
      <c r="WTS16" s="588"/>
      <c r="WTT16" s="588"/>
      <c r="WTU16" s="588"/>
      <c r="WTV16" s="588"/>
      <c r="WTW16" s="588"/>
      <c r="WTX16" s="588"/>
      <c r="WTY16" s="588"/>
      <c r="WTZ16" s="588"/>
      <c r="WUA16" s="588"/>
      <c r="WUB16" s="588"/>
      <c r="WUC16" s="588"/>
      <c r="WUD16" s="588"/>
      <c r="WUE16" s="588"/>
      <c r="WUF16" s="588"/>
      <c r="WUG16" s="588"/>
      <c r="WUH16" s="588"/>
      <c r="WUI16" s="588"/>
      <c r="WUJ16" s="588"/>
      <c r="WUK16" s="588"/>
      <c r="WUL16" s="588"/>
      <c r="WUM16" s="588"/>
      <c r="WUN16" s="588"/>
      <c r="WUO16" s="588"/>
      <c r="WUP16" s="588"/>
      <c r="WUQ16" s="588"/>
      <c r="WUR16" s="588"/>
      <c r="WUS16" s="588"/>
      <c r="WUT16" s="588"/>
      <c r="WUU16" s="588"/>
      <c r="WUV16" s="588"/>
      <c r="WUW16" s="588"/>
      <c r="WUX16" s="588"/>
      <c r="WUY16" s="588"/>
      <c r="WUZ16" s="588"/>
      <c r="WVA16" s="588"/>
      <c r="WVB16" s="588"/>
      <c r="WVC16" s="588"/>
      <c r="WVD16" s="588"/>
      <c r="WVE16" s="588"/>
      <c r="WVF16" s="588"/>
      <c r="WVG16" s="588"/>
      <c r="WVH16" s="588"/>
      <c r="WVI16" s="588"/>
      <c r="WVJ16" s="588"/>
      <c r="WVK16" s="588"/>
      <c r="WVL16" s="588"/>
      <c r="WVM16" s="588"/>
      <c r="WVN16" s="588"/>
      <c r="WVO16" s="588"/>
      <c r="WVP16" s="588"/>
      <c r="WVQ16" s="588"/>
      <c r="WVR16" s="588"/>
      <c r="WVS16" s="588"/>
      <c r="WVT16" s="588"/>
      <c r="WVU16" s="588"/>
      <c r="WVV16" s="588"/>
      <c r="WVW16" s="588"/>
      <c r="WVX16" s="588"/>
      <c r="WVY16" s="588"/>
      <c r="WVZ16" s="588"/>
      <c r="WWA16" s="588"/>
      <c r="WWB16" s="588"/>
      <c r="WWC16" s="588"/>
      <c r="WWD16" s="588"/>
      <c r="WWE16" s="588"/>
      <c r="WWF16" s="588"/>
      <c r="WWG16" s="588"/>
      <c r="WWH16" s="588"/>
      <c r="WWI16" s="588"/>
      <c r="WWJ16" s="588"/>
      <c r="WWK16" s="588"/>
      <c r="WWL16" s="588"/>
      <c r="WWM16" s="588"/>
      <c r="WWN16" s="588"/>
      <c r="WWO16" s="588"/>
      <c r="WWP16" s="588"/>
      <c r="WWQ16" s="588"/>
      <c r="WWR16" s="588"/>
      <c r="WWS16" s="588"/>
      <c r="WWT16" s="588"/>
      <c r="WWU16" s="588"/>
      <c r="WWV16" s="588"/>
      <c r="WWW16" s="588"/>
      <c r="WWX16" s="588"/>
      <c r="WWY16" s="588"/>
      <c r="WWZ16" s="588"/>
      <c r="WXA16" s="588"/>
      <c r="WXB16" s="588"/>
      <c r="WXC16" s="588"/>
      <c r="WXD16" s="588"/>
      <c r="WXE16" s="588"/>
      <c r="WXF16" s="588"/>
      <c r="WXG16" s="588"/>
      <c r="WXH16" s="588"/>
      <c r="WXI16" s="588"/>
      <c r="WXJ16" s="588"/>
      <c r="WXK16" s="588"/>
      <c r="WXL16" s="588"/>
      <c r="WXM16" s="588"/>
      <c r="WXN16" s="588"/>
      <c r="WXO16" s="588"/>
      <c r="WXP16" s="588"/>
      <c r="WXQ16" s="588"/>
      <c r="WXR16" s="588"/>
      <c r="WXS16" s="588"/>
      <c r="WXT16" s="588"/>
      <c r="WXU16" s="588"/>
      <c r="WXV16" s="588"/>
      <c r="WXW16" s="588"/>
      <c r="WXX16" s="588"/>
      <c r="WXY16" s="588"/>
      <c r="WXZ16" s="588"/>
      <c r="WYA16" s="588"/>
      <c r="WYB16" s="588"/>
      <c r="WYC16" s="588"/>
      <c r="WYD16" s="588"/>
      <c r="WYE16" s="588"/>
      <c r="WYF16" s="588"/>
      <c r="WYG16" s="588"/>
      <c r="WYH16" s="588"/>
      <c r="WYI16" s="588"/>
      <c r="WYJ16" s="588"/>
      <c r="WYK16" s="588"/>
      <c r="WYL16" s="588"/>
      <c r="WYM16" s="588"/>
      <c r="WYN16" s="588"/>
      <c r="WYO16" s="588"/>
      <c r="WYP16" s="588"/>
      <c r="WYQ16" s="588"/>
      <c r="WYR16" s="588"/>
      <c r="WYS16" s="588"/>
      <c r="WYT16" s="588"/>
      <c r="WYU16" s="588"/>
      <c r="WYV16" s="588"/>
      <c r="WYW16" s="588"/>
      <c r="WYX16" s="588"/>
      <c r="WYY16" s="588"/>
      <c r="WYZ16" s="588"/>
      <c r="WZA16" s="588"/>
      <c r="WZB16" s="588"/>
      <c r="WZC16" s="588"/>
      <c r="WZD16" s="588"/>
      <c r="WZE16" s="588"/>
      <c r="WZF16" s="588"/>
      <c r="WZG16" s="588"/>
      <c r="WZH16" s="588"/>
      <c r="WZI16" s="588"/>
      <c r="WZJ16" s="588"/>
      <c r="WZK16" s="588"/>
      <c r="WZL16" s="588"/>
      <c r="WZM16" s="588"/>
      <c r="WZN16" s="588"/>
      <c r="WZO16" s="588"/>
      <c r="WZP16" s="588"/>
      <c r="WZQ16" s="588"/>
      <c r="WZR16" s="588"/>
      <c r="WZS16" s="588"/>
      <c r="WZT16" s="588"/>
      <c r="WZU16" s="588"/>
      <c r="WZV16" s="588"/>
      <c r="WZW16" s="588"/>
      <c r="WZX16" s="588"/>
      <c r="WZY16" s="588"/>
      <c r="WZZ16" s="588"/>
      <c r="XAA16" s="588"/>
      <c r="XAB16" s="588"/>
      <c r="XAC16" s="588"/>
      <c r="XAD16" s="588"/>
      <c r="XAE16" s="588"/>
      <c r="XAF16" s="588"/>
      <c r="XAG16" s="588"/>
      <c r="XAH16" s="588"/>
      <c r="XAI16" s="588"/>
      <c r="XAJ16" s="588"/>
      <c r="XAK16" s="588"/>
      <c r="XAL16" s="588"/>
      <c r="XAM16" s="588"/>
      <c r="XAN16" s="588"/>
      <c r="XAO16" s="588"/>
      <c r="XAP16" s="588"/>
      <c r="XAQ16" s="588"/>
      <c r="XAR16" s="588"/>
      <c r="XAS16" s="588"/>
      <c r="XAT16" s="588"/>
      <c r="XAU16" s="588"/>
      <c r="XAV16" s="588"/>
      <c r="XAW16" s="588"/>
      <c r="XAX16" s="588"/>
      <c r="XAY16" s="588"/>
      <c r="XAZ16" s="588"/>
      <c r="XBA16" s="588"/>
      <c r="XBB16" s="588"/>
      <c r="XBC16" s="588"/>
      <c r="XBD16" s="588"/>
      <c r="XBE16" s="588"/>
      <c r="XBF16" s="588"/>
      <c r="XBG16" s="588"/>
      <c r="XBH16" s="588"/>
      <c r="XBI16" s="588"/>
      <c r="XBJ16" s="588"/>
      <c r="XBK16" s="588"/>
      <c r="XBL16" s="588"/>
      <c r="XBM16" s="588"/>
      <c r="XBN16" s="588"/>
      <c r="XBO16" s="588"/>
      <c r="XBP16" s="588"/>
      <c r="XBQ16" s="588"/>
      <c r="XBR16" s="588"/>
      <c r="XBS16" s="588"/>
      <c r="XBT16" s="588"/>
      <c r="XBU16" s="588"/>
      <c r="XBV16" s="588"/>
      <c r="XBW16" s="588"/>
      <c r="XBX16" s="588"/>
      <c r="XBY16" s="588"/>
      <c r="XBZ16" s="588"/>
      <c r="XCA16" s="588"/>
      <c r="XCB16" s="588"/>
      <c r="XCC16" s="588"/>
      <c r="XCD16" s="588"/>
      <c r="XCE16" s="588"/>
      <c r="XCF16" s="588"/>
      <c r="XCG16" s="588"/>
      <c r="XCH16" s="588"/>
      <c r="XCI16" s="588"/>
      <c r="XCJ16" s="588"/>
      <c r="XCK16" s="588"/>
      <c r="XCL16" s="588"/>
      <c r="XCM16" s="588"/>
      <c r="XCN16" s="588"/>
      <c r="XCO16" s="588"/>
      <c r="XCP16" s="588"/>
      <c r="XCQ16" s="588"/>
      <c r="XCR16" s="588"/>
      <c r="XCS16" s="588"/>
      <c r="XCT16" s="588"/>
      <c r="XCU16" s="588"/>
      <c r="XCV16" s="588"/>
      <c r="XCW16" s="588"/>
      <c r="XCX16" s="588"/>
      <c r="XCY16" s="588"/>
      <c r="XCZ16" s="588"/>
      <c r="XDA16" s="588"/>
      <c r="XDB16" s="588"/>
      <c r="XDC16" s="588"/>
      <c r="XDD16" s="588"/>
      <c r="XDE16" s="588"/>
      <c r="XDF16" s="588"/>
      <c r="XDG16" s="588"/>
      <c r="XDH16" s="588"/>
      <c r="XDI16" s="588"/>
      <c r="XDJ16" s="588"/>
      <c r="XDK16" s="588"/>
      <c r="XDL16" s="588"/>
      <c r="XDM16" s="588"/>
      <c r="XDN16" s="588"/>
      <c r="XDO16" s="588"/>
      <c r="XDP16" s="588"/>
      <c r="XDQ16" s="588"/>
      <c r="XDR16" s="588"/>
      <c r="XDS16" s="588"/>
      <c r="XDT16" s="588"/>
      <c r="XDU16" s="588"/>
      <c r="XDV16" s="588"/>
      <c r="XDW16" s="588"/>
      <c r="XDX16" s="588"/>
      <c r="XDY16" s="588"/>
      <c r="XDZ16" s="588"/>
      <c r="XEA16" s="588"/>
      <c r="XEB16" s="588"/>
      <c r="XEC16" s="588"/>
      <c r="XED16" s="588"/>
      <c r="XEE16" s="588"/>
      <c r="XEF16" s="588"/>
      <c r="XEG16" s="588"/>
      <c r="XEH16" s="588"/>
      <c r="XEI16" s="588"/>
      <c r="XEJ16" s="588"/>
      <c r="XEK16" s="588"/>
      <c r="XEL16" s="588"/>
      <c r="XEM16" s="588"/>
      <c r="XEN16" s="588"/>
      <c r="XEO16" s="588"/>
      <c r="XEP16" s="588"/>
      <c r="XEQ16" s="588"/>
      <c r="XER16" s="588"/>
      <c r="XES16" s="588"/>
      <c r="XET16" s="588"/>
      <c r="XEU16" s="588"/>
      <c r="XEV16" s="588"/>
      <c r="XEW16" s="588"/>
      <c r="XEX16" s="588"/>
      <c r="XEY16" s="588"/>
      <c r="XEZ16" s="588"/>
      <c r="XFA16" s="588"/>
      <c r="XFB16" s="588"/>
    </row>
    <row r="17" spans="2:45">
      <c r="B17" s="113"/>
      <c r="C17" s="114" t="s">
        <v>377</v>
      </c>
      <c r="D17" s="115"/>
      <c r="E17" s="126"/>
      <c r="F17" s="126"/>
      <c r="G17" s="143"/>
      <c r="H17" s="147">
        <f>(H8*H13*(1-H15)*H11)/(1+H14)^H16</f>
        <v>207.07066342692798</v>
      </c>
      <c r="I17" s="119"/>
      <c r="J17" s="126"/>
      <c r="K17" s="126"/>
      <c r="L17" s="126"/>
      <c r="M17" s="147">
        <f>(M8*M13*(1-M15)*M11)/(1+M14)^M16</f>
        <v>468.18181818181813</v>
      </c>
      <c r="N17" s="119"/>
      <c r="O17" s="126"/>
      <c r="P17" s="126"/>
      <c r="Q17" s="126"/>
      <c r="R17" s="147">
        <f>(R8*R13*(1-R15)*R11)/(1+R14)^R16</f>
        <v>281.40154361040902</v>
      </c>
      <c r="S17" s="119"/>
      <c r="T17" s="126"/>
      <c r="U17" s="126"/>
      <c r="V17" s="126"/>
      <c r="W17" s="147">
        <f>(W8*W13*(1-W15)*W11)/(1+W14)^W16</f>
        <v>163.47165014357384</v>
      </c>
      <c r="X17" s="119"/>
      <c r="Y17" s="126"/>
      <c r="Z17" s="126"/>
      <c r="AA17" s="126"/>
      <c r="AB17" s="147">
        <f>(AB8*AB13*(1-AB15)*AB11)/(1+AB14)^AB16</f>
        <v>102.19659165086786</v>
      </c>
      <c r="AC17" s="119"/>
      <c r="AD17" s="126"/>
      <c r="AE17" s="126"/>
      <c r="AF17" s="126"/>
      <c r="AG17" s="147">
        <f>(AG8*AG13*(1-AG15)*AG11)/(1+AG14)^AG16</f>
        <v>471.86698623417414</v>
      </c>
      <c r="AH17" s="130"/>
      <c r="AI17" s="598"/>
      <c r="AJ17" s="598"/>
      <c r="AK17" s="598"/>
      <c r="AL17" s="599">
        <f>(AL8*AL13*(1-AL15)*AL11)/(1+AL14)^AL16</f>
        <v>59.744552967693451</v>
      </c>
      <c r="AM17" s="130"/>
      <c r="AN17" s="130"/>
      <c r="AO17" s="130"/>
      <c r="AP17" s="130"/>
    </row>
    <row r="18" spans="2:45">
      <c r="B18" s="113"/>
      <c r="C18" s="132" t="s">
        <v>420</v>
      </c>
      <c r="D18" s="129"/>
      <c r="E18" s="126">
        <f>Model!M70/Units</f>
        <v>5.2889759999999999</v>
      </c>
      <c r="F18" s="126">
        <f>Model!N70/Units</f>
        <v>5.4648172800000001</v>
      </c>
      <c r="G18" s="126">
        <f>Model!O70/Units</f>
        <v>5.3247825232155641</v>
      </c>
      <c r="H18" s="127"/>
      <c r="I18" s="93"/>
      <c r="J18" s="126">
        <v>760</v>
      </c>
      <c r="K18" s="126">
        <v>831</v>
      </c>
      <c r="L18" s="126">
        <v>878</v>
      </c>
      <c r="M18" s="127"/>
      <c r="N18" s="119"/>
      <c r="O18" s="126">
        <v>441</v>
      </c>
      <c r="P18" s="126">
        <v>501</v>
      </c>
      <c r="Q18" s="126">
        <v>566</v>
      </c>
      <c r="R18" s="130"/>
      <c r="S18" s="119"/>
      <c r="T18" s="126">
        <v>116</v>
      </c>
      <c r="U18" s="126">
        <v>129</v>
      </c>
      <c r="V18" s="126">
        <v>132</v>
      </c>
      <c r="W18" s="130"/>
      <c r="X18" s="119"/>
      <c r="Y18" s="126">
        <v>18</v>
      </c>
      <c r="Z18" s="126">
        <v>19</v>
      </c>
      <c r="AA18" s="126">
        <v>21</v>
      </c>
      <c r="AB18" s="130"/>
      <c r="AC18" s="119"/>
      <c r="AD18" s="126">
        <v>202</v>
      </c>
      <c r="AE18" s="126">
        <v>222</v>
      </c>
      <c r="AF18" s="126">
        <v>227</v>
      </c>
      <c r="AG18" s="130"/>
      <c r="AH18" s="130"/>
      <c r="AI18" s="598">
        <v>87</v>
      </c>
      <c r="AJ18" s="598">
        <v>93</v>
      </c>
      <c r="AK18" s="598">
        <v>92</v>
      </c>
      <c r="AL18" s="600"/>
      <c r="AM18" s="130"/>
      <c r="AN18" s="130"/>
      <c r="AO18" s="130"/>
      <c r="AP18" s="130"/>
      <c r="AS18" s="184"/>
    </row>
    <row r="19" spans="2:45">
      <c r="B19" s="113"/>
      <c r="C19" s="132"/>
      <c r="D19" s="129"/>
      <c r="E19" s="126"/>
      <c r="F19" s="126"/>
      <c r="G19" s="143"/>
      <c r="H19" s="127"/>
      <c r="I19" s="93"/>
      <c r="J19" s="126"/>
      <c r="K19" s="126"/>
      <c r="L19" s="126"/>
      <c r="M19" s="127"/>
      <c r="N19" s="119"/>
      <c r="O19" s="126"/>
      <c r="P19" s="126"/>
      <c r="Q19" s="126"/>
      <c r="R19" s="130"/>
      <c r="S19" s="119"/>
      <c r="T19" s="126"/>
      <c r="U19" s="126"/>
      <c r="V19" s="126"/>
      <c r="W19" s="130"/>
      <c r="X19" s="119"/>
      <c r="Y19" s="126"/>
      <c r="Z19" s="126"/>
      <c r="AA19" s="126"/>
      <c r="AB19" s="130"/>
      <c r="AC19" s="119"/>
      <c r="AD19" s="126"/>
      <c r="AE19" s="126"/>
      <c r="AF19" s="126"/>
      <c r="AG19" s="130"/>
      <c r="AH19" s="130"/>
      <c r="AI19" s="598"/>
      <c r="AJ19" s="598"/>
      <c r="AK19" s="598"/>
      <c r="AL19" s="600"/>
      <c r="AM19" s="130"/>
      <c r="AN19" s="130"/>
      <c r="AO19" s="130"/>
      <c r="AP19" s="130"/>
      <c r="AS19" s="184"/>
    </row>
    <row r="20" spans="2:45">
      <c r="B20" s="113"/>
      <c r="C20" s="133"/>
      <c r="D20" s="129"/>
      <c r="E20" s="134"/>
      <c r="F20" s="134"/>
      <c r="G20" s="134"/>
      <c r="H20" s="134"/>
      <c r="I20" s="119"/>
      <c r="J20" s="134"/>
      <c r="K20" s="134"/>
      <c r="L20" s="134"/>
      <c r="M20" s="134"/>
      <c r="N20" s="119"/>
      <c r="O20" s="134"/>
      <c r="P20" s="134"/>
      <c r="Q20" s="134"/>
      <c r="R20" s="134"/>
      <c r="S20" s="119"/>
      <c r="T20" s="134"/>
      <c r="U20" s="134"/>
      <c r="V20" s="134"/>
      <c r="W20" s="134"/>
      <c r="X20" s="119"/>
      <c r="Y20" s="134"/>
      <c r="Z20" s="134"/>
      <c r="AA20" s="134"/>
      <c r="AB20" s="134"/>
      <c r="AC20" s="119"/>
      <c r="AD20" s="134"/>
      <c r="AE20" s="134"/>
      <c r="AF20" s="134"/>
      <c r="AG20" s="134"/>
      <c r="AH20" s="134"/>
      <c r="AI20" s="601"/>
      <c r="AJ20" s="601"/>
      <c r="AK20" s="601"/>
      <c r="AL20" s="601"/>
      <c r="AM20" s="134"/>
      <c r="AN20" s="134"/>
      <c r="AO20" s="134"/>
      <c r="AP20" s="134"/>
      <c r="AS20" s="184"/>
    </row>
    <row r="21" spans="2:45">
      <c r="B21" s="113"/>
      <c r="C21" s="114" t="s">
        <v>14</v>
      </c>
      <c r="D21" s="115"/>
      <c r="E21" s="135"/>
      <c r="F21" s="135"/>
      <c r="G21" s="135"/>
      <c r="H21" s="136">
        <f>Tax_Rate</f>
        <v>0.12</v>
      </c>
      <c r="I21" s="119"/>
      <c r="J21" s="135"/>
      <c r="K21" s="135"/>
      <c r="L21" s="135"/>
      <c r="M21" s="136">
        <f>Tax_Rate</f>
        <v>0.12</v>
      </c>
      <c r="N21" s="137"/>
      <c r="O21" s="135"/>
      <c r="P21" s="135"/>
      <c r="Q21" s="135"/>
      <c r="R21" s="136">
        <v>0.19600000000000001</v>
      </c>
      <c r="S21" s="119"/>
      <c r="T21" s="135"/>
      <c r="U21" s="135"/>
      <c r="V21" s="135"/>
      <c r="W21" s="136">
        <v>0.215</v>
      </c>
      <c r="X21" s="119"/>
      <c r="Y21" s="135"/>
      <c r="Z21" s="135"/>
      <c r="AA21" s="135"/>
      <c r="AB21" s="136">
        <v>0.23300000000000001</v>
      </c>
      <c r="AC21" s="119"/>
      <c r="AD21" s="135"/>
      <c r="AE21" s="135"/>
      <c r="AF21" s="135"/>
      <c r="AG21" s="136" t="s">
        <v>142</v>
      </c>
      <c r="AH21" s="136"/>
      <c r="AI21" s="602"/>
      <c r="AJ21" s="602"/>
      <c r="AK21" s="602"/>
      <c r="AL21" s="603">
        <v>0.17100000000000001</v>
      </c>
      <c r="AM21" s="136"/>
    </row>
    <row r="22" spans="2:45">
      <c r="B22" s="113"/>
      <c r="C22" s="115"/>
      <c r="D22" s="115"/>
      <c r="E22" s="115"/>
      <c r="F22" s="115"/>
      <c r="G22" s="138"/>
      <c r="H22" s="135"/>
      <c r="I22" s="119"/>
      <c r="J22" s="115"/>
      <c r="K22" s="115"/>
      <c r="L22" s="138"/>
      <c r="M22" s="135"/>
      <c r="N22" s="119"/>
      <c r="O22" s="115"/>
      <c r="P22" s="115"/>
      <c r="Q22" s="138"/>
      <c r="R22" s="135"/>
      <c r="S22" s="119"/>
      <c r="T22" s="115"/>
      <c r="U22" s="115"/>
      <c r="V22" s="138"/>
      <c r="W22" s="135"/>
      <c r="X22" s="119"/>
      <c r="Y22" s="115"/>
      <c r="Z22" s="115"/>
      <c r="AA22" s="138"/>
      <c r="AB22" s="135"/>
      <c r="AC22" s="119"/>
      <c r="AD22" s="115"/>
      <c r="AE22" s="115"/>
      <c r="AF22" s="138"/>
      <c r="AG22" s="135"/>
      <c r="AH22" s="135"/>
      <c r="AI22" s="115"/>
      <c r="AJ22" s="115"/>
      <c r="AK22" s="138"/>
      <c r="AL22" s="135"/>
      <c r="AM22" s="135"/>
      <c r="AN22" s="135"/>
      <c r="AO22" s="135"/>
      <c r="AP22" s="135"/>
    </row>
    <row r="23" spans="2:45">
      <c r="B23" s="113"/>
      <c r="C23" s="129"/>
      <c r="D23" s="129"/>
      <c r="E23" s="139" t="s">
        <v>145</v>
      </c>
      <c r="F23" s="146"/>
      <c r="G23" s="146"/>
      <c r="H23" s="146"/>
      <c r="I23" s="119"/>
      <c r="J23" s="139" t="s">
        <v>145</v>
      </c>
      <c r="K23" s="146"/>
      <c r="L23" s="146"/>
      <c r="M23" s="146"/>
      <c r="N23" s="119"/>
      <c r="O23" s="139" t="s">
        <v>145</v>
      </c>
      <c r="P23" s="146"/>
      <c r="Q23" s="146"/>
      <c r="R23" s="146"/>
      <c r="S23" s="119"/>
      <c r="T23" s="139" t="s">
        <v>145</v>
      </c>
      <c r="U23" s="146"/>
      <c r="V23" s="146"/>
      <c r="W23" s="146"/>
      <c r="X23" s="119"/>
      <c r="Y23" s="139" t="s">
        <v>145</v>
      </c>
      <c r="Z23" s="146"/>
      <c r="AA23" s="146"/>
      <c r="AB23" s="146"/>
      <c r="AC23" s="119"/>
      <c r="AD23" s="139" t="s">
        <v>145</v>
      </c>
      <c r="AE23" s="146"/>
      <c r="AF23" s="146"/>
      <c r="AG23" s="146"/>
      <c r="AH23" s="141"/>
      <c r="AI23" s="139" t="s">
        <v>145</v>
      </c>
      <c r="AJ23" s="146"/>
      <c r="AK23" s="146"/>
      <c r="AL23" s="146"/>
      <c r="AM23" s="141"/>
      <c r="AN23" s="141"/>
      <c r="AO23" s="141"/>
      <c r="AP23" s="141"/>
    </row>
    <row r="24" spans="2:45">
      <c r="B24" s="113"/>
      <c r="C24" s="128" t="s">
        <v>146</v>
      </c>
      <c r="D24" s="133"/>
      <c r="E24" s="140"/>
      <c r="F24" s="141"/>
      <c r="G24" s="141"/>
      <c r="H24" s="142">
        <f>NPV!G22</f>
        <v>-51.371000000000002</v>
      </c>
      <c r="I24" s="119"/>
      <c r="J24" s="140"/>
      <c r="K24" s="141"/>
      <c r="L24" s="141"/>
      <c r="M24" s="142">
        <v>-1669.9</v>
      </c>
      <c r="N24" s="119"/>
      <c r="O24" s="140"/>
      <c r="P24" s="141"/>
      <c r="Q24" s="141"/>
      <c r="R24" s="142">
        <v>-773.1</v>
      </c>
      <c r="S24" s="119"/>
      <c r="T24" s="140"/>
      <c r="U24" s="141"/>
      <c r="V24" s="141"/>
      <c r="W24" s="142">
        <v>-522.6</v>
      </c>
      <c r="X24" s="119"/>
      <c r="Y24" s="140"/>
      <c r="Z24" s="141"/>
      <c r="AA24" s="141"/>
      <c r="AB24" s="142">
        <v>-652.79999999999995</v>
      </c>
      <c r="AC24" s="119"/>
      <c r="AD24" s="140"/>
      <c r="AE24" s="141"/>
      <c r="AF24" s="141"/>
      <c r="AG24" s="142">
        <v>-22.7</v>
      </c>
      <c r="AH24" s="142"/>
      <c r="AI24" s="140"/>
      <c r="AJ24" s="141"/>
      <c r="AK24" s="141"/>
      <c r="AL24" s="142">
        <v>-84.2</v>
      </c>
      <c r="AM24" s="142"/>
      <c r="AN24" s="142"/>
      <c r="AO24" s="142"/>
      <c r="AP24" s="142"/>
    </row>
    <row r="25" spans="2:45">
      <c r="B25" s="113"/>
      <c r="C25" s="128" t="s">
        <v>147</v>
      </c>
      <c r="D25" s="133"/>
      <c r="E25" s="140"/>
      <c r="F25" s="141"/>
      <c r="G25" s="141"/>
      <c r="H25" s="142">
        <f>NPV!G23</f>
        <v>0</v>
      </c>
      <c r="I25" s="119"/>
      <c r="J25" s="140"/>
      <c r="K25" s="141"/>
      <c r="L25" s="141"/>
      <c r="M25" s="143">
        <v>0</v>
      </c>
      <c r="N25" s="119"/>
      <c r="O25" s="140"/>
      <c r="P25" s="141"/>
      <c r="Q25" s="141"/>
      <c r="R25" s="143">
        <v>0</v>
      </c>
      <c r="S25" s="119"/>
      <c r="T25" s="140"/>
      <c r="U25" s="141"/>
      <c r="V25" s="141"/>
      <c r="W25" s="143">
        <v>0</v>
      </c>
      <c r="X25" s="119"/>
      <c r="Y25" s="140"/>
      <c r="Z25" s="141"/>
      <c r="AA25" s="141"/>
      <c r="AB25" s="143">
        <v>0</v>
      </c>
      <c r="AC25" s="119"/>
      <c r="AD25" s="140"/>
      <c r="AE25" s="141"/>
      <c r="AF25" s="141"/>
      <c r="AG25" s="143">
        <v>0</v>
      </c>
      <c r="AH25" s="143"/>
      <c r="AI25" s="140"/>
      <c r="AJ25" s="141"/>
      <c r="AK25" s="141"/>
      <c r="AL25" s="143">
        <v>0</v>
      </c>
      <c r="AM25" s="143"/>
      <c r="AN25" s="143"/>
      <c r="AO25" s="143"/>
      <c r="AP25" s="143"/>
    </row>
    <row r="26" spans="2:45">
      <c r="B26" s="113"/>
      <c r="C26" s="128" t="s">
        <v>148</v>
      </c>
      <c r="D26" s="133"/>
      <c r="E26" s="140"/>
      <c r="F26" s="141"/>
      <c r="G26" s="141"/>
      <c r="H26" s="142">
        <f>NPV!G24</f>
        <v>0</v>
      </c>
      <c r="I26" s="119"/>
      <c r="J26" s="140"/>
      <c r="K26" s="141"/>
      <c r="L26" s="141"/>
      <c r="M26" s="143">
        <v>0</v>
      </c>
      <c r="N26" s="119"/>
      <c r="O26" s="140"/>
      <c r="P26" s="141"/>
      <c r="Q26" s="141"/>
      <c r="R26" s="143">
        <v>0</v>
      </c>
      <c r="S26" s="119"/>
      <c r="T26" s="140"/>
      <c r="U26" s="141"/>
      <c r="V26" s="141"/>
      <c r="W26" s="143">
        <v>0</v>
      </c>
      <c r="X26" s="119"/>
      <c r="Y26" s="140"/>
      <c r="Z26" s="141"/>
      <c r="AA26" s="141"/>
      <c r="AB26" s="143">
        <v>0</v>
      </c>
      <c r="AC26" s="119"/>
      <c r="AD26" s="140"/>
      <c r="AE26" s="141"/>
      <c r="AF26" s="141"/>
      <c r="AG26" s="143">
        <v>0</v>
      </c>
      <c r="AH26" s="143"/>
      <c r="AI26" s="140"/>
      <c r="AJ26" s="141"/>
      <c r="AK26" s="141"/>
      <c r="AL26" s="143">
        <v>0</v>
      </c>
      <c r="AM26" s="143"/>
      <c r="AN26" s="143"/>
      <c r="AO26" s="143"/>
      <c r="AP26" s="143"/>
    </row>
    <row r="27" spans="2:45">
      <c r="B27" s="113"/>
      <c r="C27" s="128" t="s">
        <v>107</v>
      </c>
      <c r="D27" s="133"/>
      <c r="E27" s="140"/>
      <c r="F27" s="141"/>
      <c r="G27" s="141"/>
      <c r="H27" s="142">
        <f>NPV!G25</f>
        <v>0</v>
      </c>
      <c r="I27" s="119"/>
      <c r="J27" s="140"/>
      <c r="K27" s="141"/>
      <c r="L27" s="141"/>
      <c r="M27" s="143">
        <v>0</v>
      </c>
      <c r="N27" s="119"/>
      <c r="O27" s="140"/>
      <c r="P27" s="141"/>
      <c r="Q27" s="141"/>
      <c r="R27" s="143">
        <v>0</v>
      </c>
      <c r="S27" s="119"/>
      <c r="T27" s="140"/>
      <c r="U27" s="141"/>
      <c r="V27" s="141"/>
      <c r="W27" s="143">
        <v>0</v>
      </c>
      <c r="X27" s="119"/>
      <c r="Y27" s="140"/>
      <c r="Z27" s="141"/>
      <c r="AA27" s="141"/>
      <c r="AB27" s="143">
        <v>0</v>
      </c>
      <c r="AC27" s="119"/>
      <c r="AD27" s="140"/>
      <c r="AE27" s="141"/>
      <c r="AF27" s="141"/>
      <c r="AG27" s="143">
        <v>0</v>
      </c>
      <c r="AH27" s="143"/>
      <c r="AI27" s="140"/>
      <c r="AJ27" s="141"/>
      <c r="AK27" s="141"/>
      <c r="AL27" s="143">
        <v>0</v>
      </c>
      <c r="AM27" s="143"/>
      <c r="AN27" s="143"/>
      <c r="AO27" s="143"/>
      <c r="AP27" s="143"/>
    </row>
    <row r="28" spans="2:45">
      <c r="B28" s="113"/>
      <c r="C28" s="128" t="s">
        <v>149</v>
      </c>
      <c r="D28" s="133"/>
      <c r="E28" s="140"/>
      <c r="F28" s="141"/>
      <c r="G28" s="141"/>
      <c r="H28" s="142">
        <f>NPV!G26</f>
        <v>0</v>
      </c>
      <c r="I28" s="119"/>
      <c r="J28" s="140"/>
      <c r="K28" s="141"/>
      <c r="L28" s="141"/>
      <c r="M28" s="143">
        <v>5433.1</v>
      </c>
      <c r="N28" s="119"/>
      <c r="O28" s="140"/>
      <c r="P28" s="141"/>
      <c r="Q28" s="141"/>
      <c r="R28" s="143">
        <v>173.4</v>
      </c>
      <c r="S28" s="119"/>
      <c r="T28" s="140"/>
      <c r="U28" s="141"/>
      <c r="V28" s="141"/>
      <c r="W28" s="143">
        <v>31.8</v>
      </c>
      <c r="X28" s="119"/>
      <c r="Y28" s="140"/>
      <c r="Z28" s="141"/>
      <c r="AA28" s="141"/>
      <c r="AB28" s="143">
        <v>3</v>
      </c>
      <c r="AC28" s="119"/>
      <c r="AD28" s="140"/>
      <c r="AE28" s="141"/>
      <c r="AF28" s="141"/>
      <c r="AG28" s="143">
        <v>19.399999999999999</v>
      </c>
      <c r="AH28" s="143"/>
      <c r="AI28" s="140"/>
      <c r="AJ28" s="141"/>
      <c r="AK28" s="141"/>
      <c r="AL28" s="143">
        <v>24</v>
      </c>
      <c r="AM28" s="143"/>
      <c r="AN28" s="143"/>
      <c r="AO28" s="143"/>
      <c r="AP28" s="143"/>
    </row>
    <row r="29" spans="2:45">
      <c r="B29" s="113"/>
      <c r="C29" s="128" t="s">
        <v>111</v>
      </c>
      <c r="D29" s="133"/>
      <c r="E29" s="140"/>
      <c r="F29" s="141"/>
      <c r="G29" s="141"/>
      <c r="H29" s="142">
        <f>NPV!G27</f>
        <v>0</v>
      </c>
      <c r="I29" s="119"/>
      <c r="J29" s="140"/>
      <c r="K29" s="141"/>
      <c r="L29" s="141"/>
      <c r="M29" s="143">
        <v>0</v>
      </c>
      <c r="N29" s="119"/>
      <c r="O29" s="140"/>
      <c r="P29" s="141"/>
      <c r="Q29" s="141"/>
      <c r="R29" s="143">
        <v>0</v>
      </c>
      <c r="S29" s="119"/>
      <c r="T29" s="140"/>
      <c r="U29" s="141"/>
      <c r="V29" s="141"/>
      <c r="W29" s="143">
        <v>0</v>
      </c>
      <c r="X29" s="119"/>
      <c r="Y29" s="140"/>
      <c r="Z29" s="141"/>
      <c r="AA29" s="141"/>
      <c r="AB29" s="143">
        <v>0</v>
      </c>
      <c r="AC29" s="119"/>
      <c r="AD29" s="140"/>
      <c r="AE29" s="141"/>
      <c r="AF29" s="141"/>
      <c r="AG29" s="143">
        <v>0</v>
      </c>
      <c r="AH29" s="143"/>
      <c r="AI29" s="140"/>
      <c r="AJ29" s="141"/>
      <c r="AK29" s="141"/>
      <c r="AL29" s="143">
        <v>0</v>
      </c>
      <c r="AM29" s="143"/>
      <c r="AN29" s="143"/>
      <c r="AO29" s="143"/>
      <c r="AP29" s="143"/>
    </row>
    <row r="30" spans="2:45">
      <c r="B30" s="113"/>
      <c r="C30" s="128" t="s">
        <v>114</v>
      </c>
      <c r="D30" s="133"/>
      <c r="E30" s="140"/>
      <c r="F30" s="141"/>
      <c r="G30" s="141"/>
      <c r="H30" s="142">
        <f>NPV!G28</f>
        <v>0</v>
      </c>
      <c r="I30" s="144"/>
      <c r="J30" s="140"/>
      <c r="K30" s="141"/>
      <c r="L30" s="141"/>
      <c r="M30" s="143">
        <v>0</v>
      </c>
      <c r="N30" s="119"/>
      <c r="O30" s="140"/>
      <c r="P30" s="141"/>
      <c r="Q30" s="141"/>
      <c r="R30" s="143">
        <v>0</v>
      </c>
      <c r="S30" s="119"/>
      <c r="T30" s="140"/>
      <c r="U30" s="141"/>
      <c r="V30" s="141"/>
      <c r="W30" s="143">
        <v>0</v>
      </c>
      <c r="X30" s="119"/>
      <c r="Y30" s="140"/>
      <c r="Z30" s="141"/>
      <c r="AA30" s="141"/>
      <c r="AB30" s="143">
        <v>0</v>
      </c>
      <c r="AC30" s="119"/>
      <c r="AD30" s="140"/>
      <c r="AE30" s="141"/>
      <c r="AF30" s="141"/>
      <c r="AG30" s="143">
        <v>0</v>
      </c>
      <c r="AH30" s="143"/>
      <c r="AI30" s="140"/>
      <c r="AJ30" s="141"/>
      <c r="AK30" s="141"/>
      <c r="AL30" s="143">
        <v>0</v>
      </c>
      <c r="AM30" s="143"/>
      <c r="AN30" s="143"/>
      <c r="AO30" s="143"/>
      <c r="AP30" s="143"/>
    </row>
    <row r="31" spans="2:45">
      <c r="B31" s="113"/>
      <c r="C31" s="128" t="s">
        <v>150</v>
      </c>
      <c r="D31" s="133"/>
      <c r="E31" s="140"/>
      <c r="F31" s="141"/>
      <c r="G31" s="141"/>
      <c r="H31" s="142">
        <v>0</v>
      </c>
      <c r="I31" s="119"/>
      <c r="J31" s="140"/>
      <c r="K31" s="141"/>
      <c r="L31" s="141"/>
      <c r="M31" s="143">
        <v>0</v>
      </c>
      <c r="N31" s="119"/>
      <c r="O31" s="140"/>
      <c r="P31" s="141"/>
      <c r="Q31" s="141"/>
      <c r="R31" s="143">
        <v>0</v>
      </c>
      <c r="S31" s="119"/>
      <c r="T31" s="140"/>
      <c r="U31" s="141"/>
      <c r="V31" s="141"/>
      <c r="W31" s="143">
        <v>0</v>
      </c>
      <c r="X31" s="119"/>
      <c r="Y31" s="140"/>
      <c r="Z31" s="141"/>
      <c r="AA31" s="141"/>
      <c r="AB31" s="143">
        <v>0</v>
      </c>
      <c r="AC31" s="119"/>
      <c r="AD31" s="140"/>
      <c r="AE31" s="141"/>
      <c r="AF31" s="141"/>
      <c r="AG31" s="143">
        <v>0</v>
      </c>
      <c r="AH31" s="143"/>
      <c r="AI31" s="140"/>
      <c r="AJ31" s="141"/>
      <c r="AK31" s="141"/>
      <c r="AL31" s="143">
        <v>0</v>
      </c>
      <c r="AM31" s="143"/>
      <c r="AN31" s="143"/>
      <c r="AO31" s="143"/>
      <c r="AP31" s="143"/>
    </row>
    <row r="32" spans="2:45">
      <c r="B32" s="113"/>
      <c r="C32" s="128" t="s">
        <v>151</v>
      </c>
      <c r="D32" s="133"/>
      <c r="E32" s="140"/>
      <c r="F32" s="141"/>
      <c r="G32" s="141"/>
      <c r="H32" s="142">
        <v>0</v>
      </c>
      <c r="I32" s="119"/>
      <c r="J32" s="140"/>
      <c r="K32" s="141"/>
      <c r="L32" s="141"/>
      <c r="M32" s="143">
        <v>0</v>
      </c>
      <c r="N32" s="119"/>
      <c r="O32" s="140"/>
      <c r="P32" s="141"/>
      <c r="Q32" s="141"/>
      <c r="R32" s="143">
        <v>0</v>
      </c>
      <c r="S32" s="119"/>
      <c r="T32" s="140"/>
      <c r="U32" s="141"/>
      <c r="V32" s="141"/>
      <c r="W32" s="143"/>
      <c r="X32" s="119"/>
      <c r="Y32" s="140"/>
      <c r="Z32" s="141"/>
      <c r="AA32" s="141"/>
      <c r="AB32" s="143">
        <v>0</v>
      </c>
      <c r="AC32" s="119"/>
      <c r="AD32" s="140"/>
      <c r="AE32" s="141"/>
      <c r="AF32" s="141"/>
      <c r="AG32" s="143"/>
      <c r="AH32" s="143"/>
      <c r="AI32" s="140"/>
      <c r="AJ32" s="141"/>
      <c r="AK32" s="141"/>
      <c r="AL32" s="143"/>
      <c r="AM32" s="143"/>
      <c r="AN32" s="143"/>
      <c r="AO32" s="143"/>
      <c r="AP32" s="143"/>
    </row>
    <row r="33" spans="2:42">
      <c r="B33" s="113"/>
      <c r="C33" s="115"/>
      <c r="D33" s="115"/>
      <c r="E33" s="115"/>
      <c r="F33" s="115"/>
      <c r="G33" s="115"/>
      <c r="H33" s="115"/>
      <c r="I33" s="119"/>
      <c r="J33" s="115"/>
      <c r="K33" s="115"/>
      <c r="L33" s="115"/>
      <c r="M33" s="115"/>
      <c r="N33" s="119"/>
      <c r="O33" s="115"/>
      <c r="P33" s="115"/>
      <c r="Q33" s="115"/>
      <c r="R33" s="115"/>
      <c r="S33" s="119"/>
      <c r="T33" s="115"/>
      <c r="U33" s="115"/>
      <c r="V33" s="115"/>
      <c r="W33" s="115"/>
      <c r="X33" s="119"/>
      <c r="Y33" s="115"/>
      <c r="Z33" s="115"/>
      <c r="AA33" s="115"/>
      <c r="AB33" s="115"/>
      <c r="AC33" s="119"/>
      <c r="AD33" s="115"/>
      <c r="AE33" s="115"/>
      <c r="AF33" s="115"/>
      <c r="AG33" s="115"/>
      <c r="AH33" s="115"/>
      <c r="AI33" s="115"/>
      <c r="AJ33" s="115"/>
      <c r="AK33" s="115"/>
      <c r="AL33" s="115"/>
      <c r="AM33" s="115"/>
      <c r="AN33" s="115"/>
      <c r="AO33" s="115"/>
      <c r="AP33" s="115"/>
    </row>
    <row r="34" spans="2:42">
      <c r="B34" s="148"/>
      <c r="C34" s="119"/>
      <c r="D34" s="119"/>
      <c r="E34" s="139" t="s">
        <v>152</v>
      </c>
      <c r="F34" s="145"/>
      <c r="G34" s="145"/>
      <c r="H34" s="145"/>
      <c r="I34" s="119"/>
      <c r="J34" s="139" t="s">
        <v>152</v>
      </c>
      <c r="K34" s="145"/>
      <c r="L34" s="145"/>
      <c r="M34" s="145"/>
      <c r="N34" s="119"/>
      <c r="O34" s="139" t="s">
        <v>152</v>
      </c>
      <c r="P34" s="145"/>
      <c r="Q34" s="145"/>
      <c r="R34" s="145"/>
      <c r="S34" s="119"/>
      <c r="T34" s="139" t="s">
        <v>152</v>
      </c>
      <c r="U34" s="145"/>
      <c r="V34" s="145"/>
      <c r="W34" s="145"/>
      <c r="X34" s="119"/>
      <c r="Y34" s="139" t="s">
        <v>152</v>
      </c>
      <c r="Z34" s="145"/>
      <c r="AA34" s="145"/>
      <c r="AB34" s="145"/>
      <c r="AC34" s="119"/>
      <c r="AD34" s="139" t="s">
        <v>152</v>
      </c>
      <c r="AE34" s="145"/>
      <c r="AF34" s="145"/>
      <c r="AG34" s="145"/>
      <c r="AH34" s="149"/>
      <c r="AI34" s="139" t="s">
        <v>152</v>
      </c>
      <c r="AJ34" s="145"/>
      <c r="AK34" s="145"/>
      <c r="AL34" s="145"/>
      <c r="AM34" s="149"/>
      <c r="AN34" s="149"/>
      <c r="AO34" s="149"/>
      <c r="AP34" s="149"/>
    </row>
    <row r="35" spans="2:42">
      <c r="B35" s="148"/>
      <c r="C35" s="150" t="s">
        <v>153</v>
      </c>
      <c r="D35" s="150"/>
      <c r="E35" s="151"/>
      <c r="F35" s="123"/>
      <c r="G35" s="123"/>
      <c r="H35" s="152">
        <f>Share_Price</f>
        <v>15.4</v>
      </c>
      <c r="I35" s="119"/>
      <c r="J35" s="151"/>
      <c r="K35" s="123"/>
      <c r="L35" s="123"/>
      <c r="M35" s="152">
        <v>126.16</v>
      </c>
      <c r="N35" s="119"/>
      <c r="O35" s="151"/>
      <c r="P35" s="123"/>
      <c r="Q35" s="123"/>
      <c r="R35" s="152">
        <v>32.39</v>
      </c>
      <c r="S35" s="119"/>
      <c r="T35" s="151"/>
      <c r="U35" s="123"/>
      <c r="V35" s="123"/>
      <c r="W35" s="152">
        <v>45.46</v>
      </c>
      <c r="X35" s="119"/>
      <c r="Y35" s="151"/>
      <c r="Z35" s="123"/>
      <c r="AA35" s="123"/>
      <c r="AB35" s="152">
        <v>19.97</v>
      </c>
      <c r="AC35" s="119"/>
      <c r="AD35" s="151"/>
      <c r="AE35" s="123"/>
      <c r="AF35" s="123"/>
      <c r="AG35" s="152">
        <v>118.42</v>
      </c>
      <c r="AH35" s="152"/>
      <c r="AI35" s="151"/>
      <c r="AJ35" s="123"/>
      <c r="AK35" s="123"/>
      <c r="AL35" s="152">
        <v>23.61</v>
      </c>
      <c r="AM35" s="152"/>
      <c r="AN35" s="152"/>
      <c r="AO35" s="152"/>
      <c r="AP35" s="152"/>
    </row>
    <row r="36" spans="2:42">
      <c r="B36" s="148"/>
      <c r="C36" s="150" t="s">
        <v>154</v>
      </c>
      <c r="D36" s="150"/>
      <c r="E36" s="151"/>
      <c r="F36" s="123"/>
      <c r="G36" s="123"/>
      <c r="H36" s="153">
        <f>Diluted</f>
        <v>96.42</v>
      </c>
      <c r="I36" s="119"/>
      <c r="J36" s="151"/>
      <c r="K36" s="123"/>
      <c r="L36" s="123"/>
      <c r="M36" s="154">
        <v>60.7</v>
      </c>
      <c r="N36" s="119"/>
      <c r="O36" s="151"/>
      <c r="P36" s="123"/>
      <c r="Q36" s="123"/>
      <c r="R36" s="154">
        <v>57.5</v>
      </c>
      <c r="S36" s="119"/>
      <c r="T36" s="151"/>
      <c r="U36" s="123"/>
      <c r="V36" s="123"/>
      <c r="W36" s="154">
        <v>56.1</v>
      </c>
      <c r="X36" s="119"/>
      <c r="Y36" s="151"/>
      <c r="Z36" s="123"/>
      <c r="AA36" s="123"/>
      <c r="AB36" s="154">
        <v>122.4</v>
      </c>
      <c r="AC36" s="119"/>
      <c r="AD36" s="151"/>
      <c r="AE36" s="123"/>
      <c r="AF36" s="123"/>
      <c r="AG36" s="154">
        <v>49.9</v>
      </c>
      <c r="AH36" s="154"/>
      <c r="AI36" s="151"/>
      <c r="AJ36" s="123"/>
      <c r="AK36" s="123"/>
      <c r="AL36" s="154">
        <v>168.7</v>
      </c>
      <c r="AM36" s="154"/>
      <c r="AN36" s="154"/>
      <c r="AO36" s="154"/>
      <c r="AP36" s="154"/>
    </row>
    <row r="37" spans="2:42">
      <c r="B37" s="148"/>
      <c r="C37" s="150" t="s">
        <v>155</v>
      </c>
      <c r="D37" s="150"/>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row>
    <row r="38" spans="2:42">
      <c r="B38" s="148"/>
      <c r="C38" s="119"/>
      <c r="D38" s="119"/>
      <c r="E38" s="119"/>
      <c r="F38" s="155" t="s">
        <v>156</v>
      </c>
      <c r="G38" s="155" t="s">
        <v>157</v>
      </c>
      <c r="H38" s="155" t="s">
        <v>158</v>
      </c>
      <c r="I38" s="119"/>
      <c r="J38" s="119"/>
      <c r="K38" s="155" t="s">
        <v>156</v>
      </c>
      <c r="L38" s="155" t="s">
        <v>157</v>
      </c>
      <c r="M38" s="155" t="s">
        <v>158</v>
      </c>
      <c r="N38" s="119"/>
      <c r="O38" s="119"/>
      <c r="P38" s="156" t="s">
        <v>156</v>
      </c>
      <c r="Q38" s="156" t="s">
        <v>157</v>
      </c>
      <c r="R38" s="156" t="s">
        <v>158</v>
      </c>
      <c r="S38" s="119"/>
      <c r="T38" s="119"/>
      <c r="U38" s="156" t="s">
        <v>156</v>
      </c>
      <c r="V38" s="156" t="s">
        <v>157</v>
      </c>
      <c r="W38" s="156" t="s">
        <v>158</v>
      </c>
      <c r="X38" s="119"/>
      <c r="Y38" s="119"/>
      <c r="Z38" s="156" t="s">
        <v>156</v>
      </c>
      <c r="AA38" s="156" t="s">
        <v>157</v>
      </c>
      <c r="AB38" s="156" t="s">
        <v>158</v>
      </c>
      <c r="AC38" s="119"/>
      <c r="AD38" s="119"/>
      <c r="AE38" s="156" t="s">
        <v>156</v>
      </c>
      <c r="AF38" s="156" t="s">
        <v>157</v>
      </c>
      <c r="AG38" s="156" t="s">
        <v>158</v>
      </c>
      <c r="AH38" s="156"/>
      <c r="AI38" s="119"/>
      <c r="AJ38" s="156" t="s">
        <v>156</v>
      </c>
      <c r="AK38" s="156" t="s">
        <v>157</v>
      </c>
      <c r="AL38" s="156" t="s">
        <v>158</v>
      </c>
      <c r="AM38" s="156"/>
      <c r="AN38" s="156"/>
      <c r="AO38" s="156"/>
      <c r="AP38" s="156"/>
    </row>
    <row r="39" spans="2:42">
      <c r="B39" s="148"/>
      <c r="C39" s="119"/>
      <c r="D39" s="119"/>
      <c r="E39" s="119"/>
      <c r="F39" s="157"/>
      <c r="G39" s="158"/>
      <c r="H39" s="159">
        <f t="shared" ref="H39:H47" si="0">IF(G39&lt;H$34,F39-((F39*G39)/H$34),0)</f>
        <v>0</v>
      </c>
      <c r="I39" s="119"/>
      <c r="J39" s="119"/>
      <c r="K39" s="157"/>
      <c r="L39" s="158"/>
      <c r="M39" s="159">
        <f>IF(L39&lt;M$34,K39-((K39*L39)/M$34),0)</f>
        <v>0</v>
      </c>
      <c r="N39" s="119"/>
      <c r="O39" s="119"/>
      <c r="P39" s="157"/>
      <c r="Q39" s="158"/>
      <c r="R39" s="159">
        <f>IF(Q39&lt;R$34,P39-((P39*Q39)/R$34),0)</f>
        <v>0</v>
      </c>
      <c r="S39" s="119"/>
      <c r="T39" s="119"/>
      <c r="U39" s="157"/>
      <c r="V39" s="158"/>
      <c r="W39" s="159">
        <f>IF(V39&lt;W$34,U39-((U39*V39)/W$34),0)</f>
        <v>0</v>
      </c>
      <c r="X39" s="119"/>
      <c r="Y39" s="119"/>
      <c r="Z39" s="157"/>
      <c r="AA39" s="158"/>
      <c r="AB39" s="159">
        <f>IF(AA39&lt;AB$34,Z39-((Z39*AA39)/AB$34),0)</f>
        <v>0</v>
      </c>
      <c r="AC39" s="119"/>
      <c r="AD39" s="119"/>
      <c r="AE39" s="157"/>
      <c r="AF39" s="158"/>
      <c r="AG39" s="159">
        <f>IF(AF39&lt;AG$34,AE39-((AE39*AF39)/AG$34),0)</f>
        <v>0</v>
      </c>
      <c r="AH39" s="159"/>
      <c r="AI39" s="119"/>
      <c r="AJ39" s="157"/>
      <c r="AK39" s="158"/>
      <c r="AL39" s="159">
        <f>IF(AK39&lt;AL$34,AJ39-((AJ39*AK39)/AL$34),0)</f>
        <v>0</v>
      </c>
      <c r="AM39" s="159"/>
      <c r="AN39" s="159"/>
      <c r="AO39" s="159"/>
      <c r="AP39" s="159"/>
    </row>
    <row r="40" spans="2:42">
      <c r="B40" s="148"/>
      <c r="C40" s="119"/>
      <c r="D40" s="119"/>
      <c r="E40" s="119"/>
      <c r="F40" s="157"/>
      <c r="G40" s="158"/>
      <c r="H40" s="159">
        <f t="shared" si="0"/>
        <v>0</v>
      </c>
      <c r="I40" s="119"/>
      <c r="J40" s="119"/>
      <c r="K40" s="157"/>
      <c r="L40" s="158"/>
      <c r="M40" s="159">
        <f t="shared" ref="M40:M44" si="1">IF(L40&lt;M$34,K40-((K40*L40)/M$34),0)</f>
        <v>0</v>
      </c>
      <c r="N40" s="119"/>
      <c r="O40" s="119"/>
      <c r="P40" s="157"/>
      <c r="Q40" s="158"/>
      <c r="R40" s="159">
        <f t="shared" ref="R40:R44" si="2">IF(Q40&lt;R$34,P40-((P40*Q40)/R$34),0)</f>
        <v>0</v>
      </c>
      <c r="S40" s="119"/>
      <c r="T40" s="119"/>
      <c r="U40" s="157"/>
      <c r="V40" s="158"/>
      <c r="W40" s="159">
        <f t="shared" ref="W40:W44" si="3">IF(V40&lt;W$34,U40-((U40*V40)/W$34),0)</f>
        <v>0</v>
      </c>
      <c r="X40" s="119"/>
      <c r="Y40" s="119"/>
      <c r="Z40" s="157"/>
      <c r="AA40" s="158"/>
      <c r="AB40" s="159">
        <f t="shared" ref="AB40:AB44" si="4">IF(AA40&lt;AB$34,Z40-((Z40*AA40)/AB$34),0)</f>
        <v>0</v>
      </c>
      <c r="AC40" s="119"/>
      <c r="AD40" s="119"/>
      <c r="AE40" s="157"/>
      <c r="AF40" s="158"/>
      <c r="AG40" s="159">
        <f t="shared" ref="AG40:AG44" si="5">IF(AF40&lt;AG$34,AE40-((AE40*AF40)/AG$34),0)</f>
        <v>0</v>
      </c>
      <c r="AH40" s="159"/>
      <c r="AI40" s="119"/>
      <c r="AJ40" s="157"/>
      <c r="AK40" s="158"/>
      <c r="AL40" s="159">
        <f t="shared" ref="AL40:AL44" si="6">IF(AK40&lt;AL$34,AJ40-((AJ40*AK40)/AL$34),0)</f>
        <v>0</v>
      </c>
      <c r="AM40" s="159"/>
      <c r="AN40" s="159"/>
      <c r="AO40" s="159"/>
      <c r="AP40" s="159"/>
    </row>
    <row r="41" spans="2:42">
      <c r="B41" s="148"/>
      <c r="C41" s="119"/>
      <c r="D41" s="119"/>
      <c r="E41" s="119"/>
      <c r="F41" s="157"/>
      <c r="G41" s="158"/>
      <c r="H41" s="159">
        <f t="shared" si="0"/>
        <v>0</v>
      </c>
      <c r="I41" s="119"/>
      <c r="J41" s="119"/>
      <c r="K41" s="157"/>
      <c r="L41" s="158"/>
      <c r="M41" s="159">
        <f t="shared" si="1"/>
        <v>0</v>
      </c>
      <c r="N41" s="119"/>
      <c r="O41" s="119"/>
      <c r="P41" s="157"/>
      <c r="Q41" s="158"/>
      <c r="R41" s="159">
        <f t="shared" si="2"/>
        <v>0</v>
      </c>
      <c r="S41" s="119"/>
      <c r="T41" s="119"/>
      <c r="U41" s="157"/>
      <c r="V41" s="158"/>
      <c r="W41" s="159">
        <f t="shared" si="3"/>
        <v>0</v>
      </c>
      <c r="X41" s="119"/>
      <c r="Y41" s="119"/>
      <c r="Z41" s="157"/>
      <c r="AA41" s="158"/>
      <c r="AB41" s="159">
        <f t="shared" si="4"/>
        <v>0</v>
      </c>
      <c r="AC41" s="119"/>
      <c r="AD41" s="119"/>
      <c r="AE41" s="157"/>
      <c r="AF41" s="158"/>
      <c r="AG41" s="159">
        <f t="shared" si="5"/>
        <v>0</v>
      </c>
      <c r="AH41" s="159"/>
      <c r="AI41" s="119"/>
      <c r="AJ41" s="157"/>
      <c r="AK41" s="158"/>
      <c r="AL41" s="159">
        <f t="shared" si="6"/>
        <v>0</v>
      </c>
      <c r="AM41" s="159"/>
      <c r="AN41" s="159"/>
      <c r="AO41" s="159"/>
      <c r="AP41" s="159"/>
    </row>
    <row r="42" spans="2:42">
      <c r="B42" s="148"/>
      <c r="C42" s="119"/>
      <c r="D42" s="119"/>
      <c r="E42" s="119"/>
      <c r="F42" s="157"/>
      <c r="G42" s="158"/>
      <c r="H42" s="159">
        <f t="shared" si="0"/>
        <v>0</v>
      </c>
      <c r="I42" s="119"/>
      <c r="J42" s="119"/>
      <c r="K42" s="157"/>
      <c r="L42" s="158"/>
      <c r="M42" s="159">
        <f t="shared" si="1"/>
        <v>0</v>
      </c>
      <c r="N42" s="119"/>
      <c r="O42" s="119"/>
      <c r="P42" s="157"/>
      <c r="Q42" s="158"/>
      <c r="R42" s="159">
        <f t="shared" si="2"/>
        <v>0</v>
      </c>
      <c r="S42" s="119"/>
      <c r="T42" s="119"/>
      <c r="U42" s="157"/>
      <c r="V42" s="158"/>
      <c r="W42" s="159">
        <f t="shared" si="3"/>
        <v>0</v>
      </c>
      <c r="X42" s="119"/>
      <c r="Y42" s="119"/>
      <c r="Z42" s="157"/>
      <c r="AA42" s="158"/>
      <c r="AB42" s="159">
        <f t="shared" si="4"/>
        <v>0</v>
      </c>
      <c r="AC42" s="119"/>
      <c r="AD42" s="119"/>
      <c r="AE42" s="157"/>
      <c r="AF42" s="158"/>
      <c r="AG42" s="159">
        <f t="shared" si="5"/>
        <v>0</v>
      </c>
      <c r="AH42" s="159"/>
      <c r="AI42" s="119"/>
      <c r="AJ42" s="157"/>
      <c r="AK42" s="158"/>
      <c r="AL42" s="159">
        <f t="shared" si="6"/>
        <v>0</v>
      </c>
      <c r="AM42" s="159"/>
      <c r="AN42" s="159"/>
      <c r="AO42" s="159"/>
      <c r="AP42" s="159"/>
    </row>
    <row r="43" spans="2:42">
      <c r="B43" s="148"/>
      <c r="C43" s="119"/>
      <c r="D43" s="119"/>
      <c r="E43" s="119"/>
      <c r="F43" s="157"/>
      <c r="G43" s="158"/>
      <c r="H43" s="159">
        <f t="shared" si="0"/>
        <v>0</v>
      </c>
      <c r="I43" s="119"/>
      <c r="J43" s="119"/>
      <c r="K43" s="157"/>
      <c r="L43" s="158"/>
      <c r="M43" s="159">
        <f t="shared" si="1"/>
        <v>0</v>
      </c>
      <c r="N43" s="119"/>
      <c r="O43" s="119"/>
      <c r="P43" s="157"/>
      <c r="Q43" s="158"/>
      <c r="R43" s="159">
        <f t="shared" si="2"/>
        <v>0</v>
      </c>
      <c r="S43" s="119"/>
      <c r="T43" s="119"/>
      <c r="U43" s="157"/>
      <c r="V43" s="158"/>
      <c r="W43" s="159">
        <f t="shared" si="3"/>
        <v>0</v>
      </c>
      <c r="X43" s="119"/>
      <c r="Y43" s="119"/>
      <c r="Z43" s="157"/>
      <c r="AA43" s="158"/>
      <c r="AB43" s="159">
        <f t="shared" si="4"/>
        <v>0</v>
      </c>
      <c r="AC43" s="119"/>
      <c r="AD43" s="119"/>
      <c r="AE43" s="157"/>
      <c r="AF43" s="158"/>
      <c r="AG43" s="159">
        <f t="shared" si="5"/>
        <v>0</v>
      </c>
      <c r="AH43" s="159"/>
      <c r="AI43" s="119"/>
      <c r="AJ43" s="157"/>
      <c r="AK43" s="158"/>
      <c r="AL43" s="159">
        <f t="shared" si="6"/>
        <v>0</v>
      </c>
      <c r="AM43" s="159"/>
      <c r="AN43" s="159"/>
      <c r="AO43" s="159"/>
      <c r="AP43" s="159"/>
    </row>
    <row r="44" spans="2:42">
      <c r="B44" s="148"/>
      <c r="C44" s="119"/>
      <c r="D44" s="119"/>
      <c r="E44" s="119"/>
      <c r="F44" s="157"/>
      <c r="G44" s="158"/>
      <c r="H44" s="159">
        <f t="shared" si="0"/>
        <v>0</v>
      </c>
      <c r="I44" s="119"/>
      <c r="J44" s="119"/>
      <c r="K44" s="157"/>
      <c r="L44" s="158"/>
      <c r="M44" s="159">
        <f t="shared" si="1"/>
        <v>0</v>
      </c>
      <c r="N44" s="119"/>
      <c r="O44" s="119"/>
      <c r="P44" s="157"/>
      <c r="Q44" s="158"/>
      <c r="R44" s="159">
        <f t="shared" si="2"/>
        <v>0</v>
      </c>
      <c r="S44" s="119"/>
      <c r="T44" s="119"/>
      <c r="U44" s="157"/>
      <c r="V44" s="158"/>
      <c r="W44" s="159">
        <f t="shared" si="3"/>
        <v>0</v>
      </c>
      <c r="X44" s="119"/>
      <c r="Y44" s="119"/>
      <c r="Z44" s="157"/>
      <c r="AA44" s="158"/>
      <c r="AB44" s="159">
        <f t="shared" si="4"/>
        <v>0</v>
      </c>
      <c r="AC44" s="119"/>
      <c r="AD44" s="119"/>
      <c r="AE44" s="157"/>
      <c r="AF44" s="158"/>
      <c r="AG44" s="159">
        <f t="shared" si="5"/>
        <v>0</v>
      </c>
      <c r="AH44" s="159"/>
      <c r="AI44" s="119"/>
      <c r="AJ44" s="157"/>
      <c r="AK44" s="158"/>
      <c r="AL44" s="159">
        <f t="shared" si="6"/>
        <v>0</v>
      </c>
      <c r="AM44" s="159"/>
      <c r="AN44" s="159"/>
      <c r="AO44" s="159"/>
      <c r="AP44" s="159"/>
    </row>
    <row r="45" spans="2:42">
      <c r="B45" s="148"/>
      <c r="C45" s="119"/>
      <c r="D45" s="119"/>
      <c r="E45" s="119"/>
      <c r="F45" s="157"/>
      <c r="G45" s="158"/>
      <c r="H45" s="159">
        <f t="shared" si="0"/>
        <v>0</v>
      </c>
      <c r="I45" s="119"/>
      <c r="J45" s="119"/>
      <c r="K45" s="157"/>
      <c r="L45" s="158"/>
      <c r="M45" s="159">
        <f>IF(L45&lt;M$34,K45-((K45*L45)/M$34),0)</f>
        <v>0</v>
      </c>
      <c r="N45" s="119"/>
      <c r="O45" s="119"/>
      <c r="P45" s="157"/>
      <c r="Q45" s="158"/>
      <c r="R45" s="159">
        <f>IF(Q45&lt;R$34,P45-((P45*Q45)/R$34),0)</f>
        <v>0</v>
      </c>
      <c r="S45" s="119"/>
      <c r="T45" s="119"/>
      <c r="U45" s="157"/>
      <c r="V45" s="158"/>
      <c r="W45" s="159">
        <f>IF(V45&lt;W$34,U45-((U45*V45)/W$34),0)</f>
        <v>0</v>
      </c>
      <c r="X45" s="119"/>
      <c r="Y45" s="119"/>
      <c r="Z45" s="157"/>
      <c r="AA45" s="158"/>
      <c r="AB45" s="159">
        <f>IF(AA45&lt;AB$34,Z45-((Z45*AA45)/AB$34),0)</f>
        <v>0</v>
      </c>
      <c r="AC45" s="119"/>
      <c r="AD45" s="119"/>
      <c r="AE45" s="157"/>
      <c r="AF45" s="158"/>
      <c r="AG45" s="159">
        <f>IF(AF45&lt;AG$34,AE45-((AE45*AF45)/AG$34),0)</f>
        <v>0</v>
      </c>
      <c r="AH45" s="159"/>
      <c r="AI45" s="119"/>
      <c r="AJ45" s="157"/>
      <c r="AK45" s="158"/>
      <c r="AL45" s="159">
        <f>IF(AK45&lt;AL$34,AJ45-((AJ45*AK45)/AL$34),0)</f>
        <v>0</v>
      </c>
      <c r="AM45" s="159"/>
      <c r="AN45" s="159"/>
      <c r="AO45" s="159"/>
      <c r="AP45" s="159"/>
    </row>
    <row r="46" spans="2:42">
      <c r="B46" s="148"/>
      <c r="C46" s="119"/>
      <c r="D46" s="119"/>
      <c r="E46" s="119"/>
      <c r="F46" s="157"/>
      <c r="G46" s="158"/>
      <c r="H46" s="159">
        <f t="shared" si="0"/>
        <v>0</v>
      </c>
      <c r="I46" s="119"/>
      <c r="J46" s="119"/>
      <c r="K46" s="157"/>
      <c r="L46" s="158"/>
      <c r="M46" s="159">
        <f t="shared" ref="M46:M47" si="7">IF(L46&lt;M$34,K46-((K46*L46)/M$34),0)</f>
        <v>0</v>
      </c>
      <c r="N46" s="119"/>
      <c r="O46" s="119"/>
      <c r="P46" s="157"/>
      <c r="Q46" s="158"/>
      <c r="R46" s="159">
        <f t="shared" ref="R46:R47" si="8">IF(Q46&lt;R$34,P46-((P46*Q46)/R$34),0)</f>
        <v>0</v>
      </c>
      <c r="S46" s="119"/>
      <c r="T46" s="119"/>
      <c r="U46" s="157"/>
      <c r="V46" s="158"/>
      <c r="W46" s="159">
        <f t="shared" ref="W46:W47" si="9">IF(V46&lt;W$34,U46-((U46*V46)/W$34),0)</f>
        <v>0</v>
      </c>
      <c r="X46" s="119"/>
      <c r="Y46" s="119"/>
      <c r="Z46" s="157"/>
      <c r="AA46" s="158"/>
      <c r="AB46" s="159">
        <f t="shared" ref="AB46:AB47" si="10">IF(AA46&lt;AB$34,Z46-((Z46*AA46)/AB$34),0)</f>
        <v>0</v>
      </c>
      <c r="AC46" s="119"/>
      <c r="AD46" s="119"/>
      <c r="AE46" s="157"/>
      <c r="AF46" s="158"/>
      <c r="AG46" s="159">
        <f t="shared" ref="AG46:AG47" si="11">IF(AF46&lt;AG$34,AE46-((AE46*AF46)/AG$34),0)</f>
        <v>0</v>
      </c>
      <c r="AH46" s="159"/>
      <c r="AI46" s="119"/>
      <c r="AJ46" s="157"/>
      <c r="AK46" s="158"/>
      <c r="AL46" s="159">
        <f t="shared" ref="AL46:AL47" si="12">IF(AK46&lt;AL$34,AJ46-((AJ46*AK46)/AL$34),0)</f>
        <v>0</v>
      </c>
      <c r="AM46" s="159"/>
      <c r="AN46" s="159"/>
      <c r="AO46" s="159"/>
      <c r="AP46" s="159"/>
    </row>
    <row r="47" spans="2:42">
      <c r="B47" s="148"/>
      <c r="C47" s="119"/>
      <c r="D47" s="119"/>
      <c r="E47" s="119"/>
      <c r="F47" s="157"/>
      <c r="G47" s="158"/>
      <c r="H47" s="159">
        <f t="shared" si="0"/>
        <v>0</v>
      </c>
      <c r="I47" s="159"/>
      <c r="J47" s="119"/>
      <c r="K47" s="157"/>
      <c r="L47" s="158"/>
      <c r="M47" s="159">
        <f t="shared" si="7"/>
        <v>0</v>
      </c>
      <c r="N47" s="119"/>
      <c r="O47" s="119"/>
      <c r="P47" s="157"/>
      <c r="Q47" s="158"/>
      <c r="R47" s="159">
        <f t="shared" si="8"/>
        <v>0</v>
      </c>
      <c r="S47" s="119"/>
      <c r="T47" s="119"/>
      <c r="U47" s="157"/>
      <c r="V47" s="158"/>
      <c r="W47" s="159">
        <f t="shared" si="9"/>
        <v>0</v>
      </c>
      <c r="X47" s="119"/>
      <c r="Y47" s="119"/>
      <c r="Z47" s="157"/>
      <c r="AA47" s="158"/>
      <c r="AB47" s="159">
        <f t="shared" si="10"/>
        <v>0</v>
      </c>
      <c r="AC47" s="119"/>
      <c r="AD47" s="119"/>
      <c r="AE47" s="157"/>
      <c r="AF47" s="158"/>
      <c r="AG47" s="159">
        <f t="shared" si="11"/>
        <v>0</v>
      </c>
      <c r="AH47" s="159"/>
      <c r="AI47" s="119"/>
      <c r="AJ47" s="157"/>
      <c r="AK47" s="158"/>
      <c r="AL47" s="159">
        <f t="shared" si="12"/>
        <v>0</v>
      </c>
      <c r="AM47" s="159"/>
      <c r="AN47" s="159"/>
      <c r="AO47" s="159"/>
      <c r="AP47" s="159"/>
    </row>
    <row r="48" spans="2:42">
      <c r="B48" s="148"/>
      <c r="C48" s="119"/>
      <c r="D48" s="119"/>
      <c r="E48" s="119"/>
      <c r="F48" s="157"/>
      <c r="G48" s="158"/>
      <c r="H48" s="160"/>
      <c r="I48" s="119"/>
      <c r="J48" s="119"/>
      <c r="K48" s="157"/>
      <c r="L48" s="158"/>
      <c r="M48" s="160"/>
      <c r="N48" s="119"/>
      <c r="O48" s="119"/>
      <c r="P48" s="157"/>
      <c r="Q48" s="158"/>
      <c r="R48" s="160"/>
      <c r="S48" s="119"/>
      <c r="T48" s="119"/>
      <c r="U48" s="157"/>
      <c r="V48" s="158"/>
      <c r="W48" s="160"/>
      <c r="X48" s="119"/>
      <c r="Y48" s="119"/>
      <c r="Z48" s="157"/>
      <c r="AA48" s="158"/>
      <c r="AB48" s="160"/>
      <c r="AC48" s="119"/>
      <c r="AD48" s="119"/>
      <c r="AE48" s="157"/>
      <c r="AF48" s="158"/>
      <c r="AG48" s="160"/>
      <c r="AH48" s="160"/>
      <c r="AI48" s="119"/>
      <c r="AJ48" s="157"/>
      <c r="AK48" s="158"/>
      <c r="AL48" s="160"/>
      <c r="AM48" s="160"/>
      <c r="AN48" s="160"/>
      <c r="AO48" s="160"/>
      <c r="AP48" s="160"/>
    </row>
    <row r="49" spans="2:42">
      <c r="B49" s="148"/>
      <c r="C49" s="150" t="s">
        <v>159</v>
      </c>
      <c r="D49" s="119"/>
      <c r="E49" s="161" t="s">
        <v>160</v>
      </c>
      <c r="F49" s="161" t="s">
        <v>161</v>
      </c>
      <c r="G49" s="161" t="s">
        <v>162</v>
      </c>
      <c r="H49" s="161" t="s">
        <v>158</v>
      </c>
      <c r="I49" s="119"/>
      <c r="J49" s="161" t="s">
        <v>160</v>
      </c>
      <c r="K49" s="161" t="s">
        <v>161</v>
      </c>
      <c r="L49" s="161" t="s">
        <v>162</v>
      </c>
      <c r="M49" s="161" t="s">
        <v>158</v>
      </c>
      <c r="N49" s="119"/>
      <c r="O49" s="161" t="s">
        <v>160</v>
      </c>
      <c r="P49" s="161" t="s">
        <v>161</v>
      </c>
      <c r="Q49" s="161" t="s">
        <v>162</v>
      </c>
      <c r="R49" s="161" t="s">
        <v>158</v>
      </c>
      <c r="S49" s="119"/>
      <c r="T49" s="161" t="s">
        <v>160</v>
      </c>
      <c r="U49" s="161" t="s">
        <v>161</v>
      </c>
      <c r="V49" s="161" t="s">
        <v>162</v>
      </c>
      <c r="W49" s="161" t="s">
        <v>158</v>
      </c>
      <c r="X49" s="119"/>
      <c r="Y49" s="161" t="s">
        <v>160</v>
      </c>
      <c r="Z49" s="161" t="s">
        <v>161</v>
      </c>
      <c r="AA49" s="161" t="s">
        <v>162</v>
      </c>
      <c r="AB49" s="161" t="s">
        <v>158</v>
      </c>
      <c r="AC49" s="119"/>
      <c r="AD49" s="161" t="s">
        <v>160</v>
      </c>
      <c r="AE49" s="161" t="s">
        <v>161</v>
      </c>
      <c r="AF49" s="161" t="s">
        <v>162</v>
      </c>
      <c r="AG49" s="161" t="s">
        <v>158</v>
      </c>
      <c r="AH49" s="162"/>
      <c r="AI49" s="161" t="s">
        <v>160</v>
      </c>
      <c r="AJ49" s="161" t="s">
        <v>161</v>
      </c>
      <c r="AK49" s="161" t="s">
        <v>162</v>
      </c>
      <c r="AL49" s="161" t="s">
        <v>158</v>
      </c>
      <c r="AM49" s="162"/>
      <c r="AN49" s="162"/>
      <c r="AO49" s="162"/>
      <c r="AP49" s="162"/>
    </row>
    <row r="50" spans="2:42">
      <c r="B50" s="148"/>
      <c r="C50" s="119"/>
      <c r="D50" s="119"/>
      <c r="E50" s="163"/>
      <c r="F50" s="164"/>
      <c r="G50" s="152"/>
      <c r="H50" s="159">
        <f>IFERROR(IF(G50&gt;H$34,0,(+F50/G50)*E50/F50), 0)</f>
        <v>0</v>
      </c>
      <c r="I50" s="119"/>
      <c r="J50" s="163"/>
      <c r="K50" s="164"/>
      <c r="L50" s="152"/>
      <c r="M50" s="159">
        <f>IFERROR(IF(L50&gt;M$34,0,(+K50/L50)*J50/K50),0)</f>
        <v>0</v>
      </c>
      <c r="N50" s="119"/>
      <c r="O50" s="163"/>
      <c r="P50" s="164"/>
      <c r="Q50" s="152"/>
      <c r="R50" s="159">
        <f>IFERROR(IF(Q50&gt;R$34,0,(+P50/Q50)*O50/P50),0)</f>
        <v>0</v>
      </c>
      <c r="S50" s="165"/>
      <c r="T50" s="163"/>
      <c r="U50" s="164"/>
      <c r="V50" s="152"/>
      <c r="W50" s="159">
        <f>IFERROR(IF(V50&gt;W$34,0,(+U50/V50)*T50/U50),0)</f>
        <v>0</v>
      </c>
      <c r="X50" s="165"/>
      <c r="Y50" s="163"/>
      <c r="Z50" s="164"/>
      <c r="AA50" s="152"/>
      <c r="AB50" s="159">
        <f>IFERROR(IF(AA50&gt;AB$34,0,+Y50/AA50-(AB$34*(Y50/AA50)-Y50)*0.5/AB$34),0)</f>
        <v>0</v>
      </c>
      <c r="AC50" s="165"/>
      <c r="AD50" s="163"/>
      <c r="AE50" s="164"/>
      <c r="AF50" s="152"/>
      <c r="AG50" s="159">
        <f>IFERROR(IF(AF50&gt;AG$34,0,+AD50/AF50-(AG$34*(AD50/AF50)-AD50)*0.5/AG$34),0)</f>
        <v>0</v>
      </c>
      <c r="AH50" s="159"/>
      <c r="AI50" s="163"/>
      <c r="AJ50" s="164"/>
      <c r="AK50" s="152"/>
      <c r="AL50" s="159">
        <f>IFERROR(IF(AK50&gt;AL$34,0,+AI50/AK50-(AL$34*(AI50/AK50)-AI50)*0.5/AL$34),0)</f>
        <v>0</v>
      </c>
      <c r="AM50" s="159"/>
      <c r="AN50" s="159"/>
      <c r="AO50" s="159"/>
      <c r="AP50" s="159"/>
    </row>
    <row r="51" spans="2:42">
      <c r="B51" s="148"/>
      <c r="C51" s="119"/>
      <c r="D51" s="119"/>
      <c r="E51" s="163"/>
      <c r="F51" s="164"/>
      <c r="G51" s="152"/>
      <c r="H51" s="159">
        <f>IFERROR(IF(G51&gt;H$34,0,(+F51/G51)*E51/F51),0)</f>
        <v>0</v>
      </c>
      <c r="I51" s="119"/>
      <c r="J51" s="163"/>
      <c r="K51" s="164"/>
      <c r="L51" s="152"/>
      <c r="M51" s="159">
        <f>IFERROR(IF(L51&gt;M$34,0,(+K51/L51)*J51/K51),0)</f>
        <v>0</v>
      </c>
      <c r="N51" s="119"/>
      <c r="O51" s="163"/>
      <c r="P51" s="164"/>
      <c r="Q51" s="152"/>
      <c r="R51" s="159">
        <f>IFERROR(IF(Q51&gt;R$34,0,(+P51/Q51)*O51/P51),0)</f>
        <v>0</v>
      </c>
      <c r="S51" s="119"/>
      <c r="T51" s="163"/>
      <c r="U51" s="164"/>
      <c r="V51" s="152"/>
      <c r="W51" s="159">
        <f>IFERROR(IF(V51&gt;W$34,0,(+U51/V51)*T51/U51),0)</f>
        <v>0</v>
      </c>
      <c r="X51" s="119"/>
      <c r="Y51" s="163"/>
      <c r="Z51" s="164"/>
      <c r="AA51" s="152"/>
      <c r="AB51" s="159">
        <f>IFERROR(IF(AA51&gt;AB$34,0,(+Z51/AA51)*Y51/Z51),0)</f>
        <v>0</v>
      </c>
      <c r="AC51" s="119"/>
      <c r="AD51" s="163"/>
      <c r="AE51" s="164"/>
      <c r="AF51" s="152"/>
      <c r="AG51" s="159">
        <f>IFERROR(IF(AF51&gt;AG$34,0,(+AE51/AF51)*AD51/AE51),0)</f>
        <v>0</v>
      </c>
      <c r="AH51" s="159"/>
      <c r="AI51" s="163"/>
      <c r="AJ51" s="164"/>
      <c r="AK51" s="152"/>
      <c r="AL51" s="159">
        <f>IFERROR(IF(AK51&gt;AL$34,0,(+AJ51/AK51)*AI51/AJ51),0)</f>
        <v>0</v>
      </c>
      <c r="AM51" s="159"/>
      <c r="AN51" s="159"/>
      <c r="AO51" s="159"/>
      <c r="AP51" s="159"/>
    </row>
    <row r="52" spans="2:42">
      <c r="B52" s="148"/>
      <c r="C52" s="119"/>
      <c r="D52" s="119"/>
      <c r="E52" s="119"/>
      <c r="F52" s="157"/>
      <c r="G52" s="158"/>
      <c r="H52" s="160"/>
      <c r="I52" s="119"/>
      <c r="J52" s="119"/>
      <c r="K52" s="157"/>
      <c r="L52" s="158"/>
      <c r="M52" s="160"/>
      <c r="N52" s="119"/>
      <c r="O52" s="119"/>
      <c r="P52" s="157"/>
      <c r="Q52" s="158"/>
      <c r="R52" s="160"/>
      <c r="S52" s="119"/>
      <c r="T52" s="119"/>
      <c r="U52" s="157"/>
      <c r="V52" s="158"/>
      <c r="W52" s="160"/>
      <c r="X52" s="119"/>
      <c r="Y52" s="119"/>
      <c r="Z52" s="157"/>
      <c r="AA52" s="158"/>
      <c r="AB52" s="160"/>
      <c r="AC52" s="119"/>
      <c r="AD52" s="119"/>
      <c r="AE52" s="157"/>
      <c r="AF52" s="158"/>
      <c r="AG52" s="160"/>
      <c r="AH52" s="160"/>
      <c r="AI52" s="119"/>
      <c r="AJ52" s="157"/>
      <c r="AK52" s="158"/>
      <c r="AL52" s="160"/>
      <c r="AM52" s="160"/>
      <c r="AN52" s="160"/>
      <c r="AO52" s="160"/>
      <c r="AP52" s="160"/>
    </row>
    <row r="53" spans="2:42">
      <c r="B53" s="148"/>
      <c r="C53" s="119"/>
      <c r="D53" s="119"/>
      <c r="E53" s="119"/>
      <c r="F53" s="157"/>
      <c r="G53" s="156" t="s">
        <v>163</v>
      </c>
      <c r="H53" s="156" t="s">
        <v>158</v>
      </c>
      <c r="I53" s="119"/>
      <c r="J53" s="119"/>
      <c r="K53" s="157"/>
      <c r="L53" s="156" t="s">
        <v>163</v>
      </c>
      <c r="M53" s="156" t="s">
        <v>158</v>
      </c>
      <c r="N53" s="119"/>
      <c r="O53" s="119"/>
      <c r="P53" s="157"/>
      <c r="Q53" s="156" t="s">
        <v>163</v>
      </c>
      <c r="R53" s="156" t="s">
        <v>158</v>
      </c>
      <c r="S53" s="119"/>
      <c r="T53" s="119"/>
      <c r="U53" s="157"/>
      <c r="V53" s="156" t="s">
        <v>163</v>
      </c>
      <c r="W53" s="156" t="s">
        <v>158</v>
      </c>
      <c r="X53" s="119"/>
      <c r="Y53" s="119"/>
      <c r="Z53" s="157"/>
      <c r="AA53" s="156" t="s">
        <v>163</v>
      </c>
      <c r="AB53" s="156" t="s">
        <v>158</v>
      </c>
      <c r="AC53" s="119"/>
      <c r="AD53" s="119"/>
      <c r="AE53" s="157"/>
      <c r="AF53" s="156" t="s">
        <v>163</v>
      </c>
      <c r="AG53" s="156" t="s">
        <v>158</v>
      </c>
      <c r="AH53" s="156"/>
      <c r="AI53" s="119"/>
      <c r="AJ53" s="157"/>
      <c r="AK53" s="156" t="s">
        <v>163</v>
      </c>
      <c r="AL53" s="156" t="s">
        <v>158</v>
      </c>
      <c r="AM53" s="156"/>
      <c r="AN53" s="156"/>
      <c r="AO53" s="156"/>
      <c r="AP53" s="156"/>
    </row>
    <row r="54" spans="2:42">
      <c r="B54" s="148"/>
      <c r="C54" s="150" t="s">
        <v>164</v>
      </c>
      <c r="D54" s="119"/>
      <c r="E54" s="119"/>
      <c r="F54" s="157"/>
      <c r="G54" s="157">
        <v>0</v>
      </c>
      <c r="H54" s="159">
        <f>+G54</f>
        <v>0</v>
      </c>
      <c r="I54" s="159"/>
      <c r="J54" s="119"/>
      <c r="K54" s="157"/>
      <c r="L54" s="157">
        <v>0</v>
      </c>
      <c r="M54" s="159">
        <f>+L54</f>
        <v>0</v>
      </c>
      <c r="N54" s="119"/>
      <c r="O54" s="119"/>
      <c r="P54" s="157"/>
      <c r="Q54" s="157">
        <v>0</v>
      </c>
      <c r="R54" s="159">
        <f>+Q54</f>
        <v>0</v>
      </c>
      <c r="S54" s="119"/>
      <c r="T54" s="119"/>
      <c r="U54" s="157"/>
      <c r="V54" s="157">
        <v>0</v>
      </c>
      <c r="W54" s="159">
        <f>+V54</f>
        <v>0</v>
      </c>
      <c r="X54" s="119"/>
      <c r="Y54" s="119"/>
      <c r="Z54" s="157"/>
      <c r="AA54" s="157">
        <v>0</v>
      </c>
      <c r="AB54" s="159">
        <f>+AA54</f>
        <v>0</v>
      </c>
      <c r="AC54" s="119"/>
      <c r="AD54" s="119"/>
      <c r="AE54" s="157"/>
      <c r="AF54" s="157">
        <v>0</v>
      </c>
      <c r="AG54" s="159">
        <f>+AF54</f>
        <v>0</v>
      </c>
      <c r="AH54" s="159"/>
      <c r="AI54" s="119"/>
      <c r="AJ54" s="157"/>
      <c r="AK54" s="157">
        <v>0</v>
      </c>
      <c r="AL54" s="159">
        <f>+AK54</f>
        <v>0</v>
      </c>
      <c r="AM54" s="159"/>
      <c r="AN54" s="159"/>
      <c r="AO54" s="159"/>
      <c r="AP54" s="159"/>
    </row>
    <row r="55" spans="2:42">
      <c r="B55" s="148"/>
      <c r="C55" s="150"/>
      <c r="D55" s="119"/>
      <c r="E55" s="119"/>
      <c r="F55" s="157"/>
      <c r="G55" s="157"/>
      <c r="H55" s="157"/>
      <c r="I55" s="119"/>
      <c r="J55" s="119"/>
      <c r="K55" s="157"/>
      <c r="L55" s="157"/>
      <c r="M55" s="157"/>
      <c r="N55" s="119"/>
      <c r="O55" s="119"/>
      <c r="P55" s="157"/>
      <c r="Q55" s="157"/>
      <c r="R55" s="157"/>
      <c r="S55" s="119"/>
      <c r="T55" s="119"/>
      <c r="U55" s="157"/>
      <c r="V55" s="157"/>
      <c r="W55" s="157"/>
      <c r="X55" s="119"/>
      <c r="Y55" s="119"/>
      <c r="Z55" s="157"/>
      <c r="AA55" s="157"/>
      <c r="AB55" s="157"/>
      <c r="AC55" s="119"/>
      <c r="AD55" s="119"/>
      <c r="AE55" s="157"/>
      <c r="AF55" s="157"/>
      <c r="AG55" s="157"/>
      <c r="AH55" s="157"/>
      <c r="AI55" s="119"/>
      <c r="AJ55" s="157"/>
      <c r="AK55" s="157"/>
      <c r="AL55" s="157"/>
      <c r="AM55" s="157"/>
      <c r="AN55" s="157"/>
      <c r="AO55" s="157"/>
      <c r="AP55" s="157"/>
    </row>
    <row r="56" spans="2:42">
      <c r="B56" s="148"/>
      <c r="C56" s="150" t="s">
        <v>165</v>
      </c>
      <c r="D56" s="150"/>
      <c r="E56" s="119"/>
      <c r="F56" s="119"/>
      <c r="G56" s="119"/>
      <c r="H56" s="166">
        <f>+H54+SUM(H39:H47)+SUM(H50:H51)+H36</f>
        <v>96.42</v>
      </c>
      <c r="I56" s="119"/>
      <c r="J56" s="119"/>
      <c r="K56" s="119"/>
      <c r="L56" s="119"/>
      <c r="M56" s="166">
        <f>+M54+SUM(M39:M47)+SUM(M50:M51)+M36</f>
        <v>60.7</v>
      </c>
      <c r="N56" s="119"/>
      <c r="O56" s="119"/>
      <c r="P56" s="119"/>
      <c r="Q56" s="119"/>
      <c r="R56" s="166">
        <f>+R54+SUM(R39:R47)+SUM(R50:R51)+R36</f>
        <v>57.5</v>
      </c>
      <c r="S56" s="119"/>
      <c r="T56" s="119"/>
      <c r="U56" s="119"/>
      <c r="V56" s="119"/>
      <c r="W56" s="166">
        <f>+W54+SUM(W39:W47)+SUM(W50:W51)+W36</f>
        <v>56.1</v>
      </c>
      <c r="X56" s="119"/>
      <c r="Y56" s="119"/>
      <c r="Z56" s="119"/>
      <c r="AA56" s="119"/>
      <c r="AB56" s="166">
        <f>+AB54+SUM(AB39:AB47)+SUM(AB50:AB51)+AB36</f>
        <v>122.4</v>
      </c>
      <c r="AC56" s="119"/>
      <c r="AD56" s="119"/>
      <c r="AE56" s="119"/>
      <c r="AF56" s="119"/>
      <c r="AG56" s="166">
        <f>+AG54+SUM(AG39:AG47)+SUM(AG50:AG51)+AG36</f>
        <v>49.9</v>
      </c>
      <c r="AH56" s="166"/>
      <c r="AI56" s="119"/>
      <c r="AJ56" s="119"/>
      <c r="AK56" s="119"/>
      <c r="AL56" s="166">
        <f>+AL54+SUM(AL39:AL47)+SUM(AL50:AL51)+AL36</f>
        <v>168.7</v>
      </c>
      <c r="AM56" s="166"/>
      <c r="AN56" s="166"/>
      <c r="AO56" s="166"/>
      <c r="AP56" s="166"/>
    </row>
    <row r="57" spans="2:42">
      <c r="B57" s="148"/>
      <c r="C57" s="119"/>
      <c r="D57" s="119"/>
      <c r="E57" s="119"/>
      <c r="F57" s="119"/>
      <c r="G57" s="119"/>
      <c r="H57" s="119"/>
      <c r="I57" s="119"/>
      <c r="J57" s="119"/>
      <c r="K57" s="119"/>
      <c r="L57" s="119"/>
      <c r="M57" s="119"/>
      <c r="N57" s="119"/>
      <c r="O57" s="119"/>
      <c r="P57" s="119"/>
      <c r="Q57" s="119"/>
      <c r="R57" s="160"/>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row>
    <row r="58" spans="2:42">
      <c r="B58" s="148"/>
      <c r="C58" s="119"/>
      <c r="D58" s="119"/>
      <c r="E58" s="139" t="s">
        <v>166</v>
      </c>
      <c r="F58" s="145"/>
      <c r="G58" s="145"/>
      <c r="H58" s="145"/>
      <c r="I58" s="119"/>
      <c r="J58" s="139" t="s">
        <v>166</v>
      </c>
      <c r="K58" s="145"/>
      <c r="L58" s="145"/>
      <c r="M58" s="145"/>
      <c r="N58" s="119"/>
      <c r="O58" s="139" t="s">
        <v>166</v>
      </c>
      <c r="P58" s="145"/>
      <c r="Q58" s="145"/>
      <c r="R58" s="145"/>
      <c r="S58" s="119"/>
      <c r="T58" s="139" t="s">
        <v>166</v>
      </c>
      <c r="U58" s="145"/>
      <c r="V58" s="145"/>
      <c r="W58" s="145"/>
      <c r="X58" s="119"/>
      <c r="Y58" s="139" t="s">
        <v>166</v>
      </c>
      <c r="Z58" s="145"/>
      <c r="AA58" s="145"/>
      <c r="AB58" s="145"/>
      <c r="AC58" s="119"/>
      <c r="AD58" s="139" t="s">
        <v>166</v>
      </c>
      <c r="AE58" s="145"/>
      <c r="AF58" s="145"/>
      <c r="AG58" s="145"/>
      <c r="AH58" s="149"/>
      <c r="AI58" s="139" t="s">
        <v>166</v>
      </c>
      <c r="AJ58" s="145"/>
      <c r="AK58" s="145"/>
      <c r="AL58" s="145"/>
      <c r="AM58" s="149"/>
      <c r="AN58" s="149"/>
      <c r="AO58" s="149"/>
      <c r="AP58" s="149"/>
    </row>
    <row r="59" spans="2:42">
      <c r="B59" s="148"/>
      <c r="C59" s="119"/>
      <c r="D59" s="119"/>
      <c r="E59" s="151"/>
      <c r="F59" s="123"/>
      <c r="G59" s="123"/>
      <c r="H59" s="167"/>
      <c r="I59" s="119"/>
      <c r="J59" s="151"/>
      <c r="K59" s="123"/>
      <c r="L59" s="123"/>
      <c r="M59" s="123"/>
      <c r="N59" s="119"/>
      <c r="O59" s="151"/>
      <c r="P59" s="123"/>
      <c r="Q59" s="123"/>
      <c r="R59" s="123"/>
      <c r="S59" s="119"/>
      <c r="T59" s="151"/>
      <c r="U59" s="123"/>
      <c r="V59" s="123"/>
      <c r="W59" s="123"/>
      <c r="X59" s="119"/>
      <c r="Y59" s="151"/>
      <c r="Z59" s="123"/>
      <c r="AA59" s="123"/>
      <c r="AB59" s="123"/>
      <c r="AC59" s="119"/>
      <c r="AD59" s="151"/>
      <c r="AE59" s="123"/>
      <c r="AF59" s="123"/>
      <c r="AG59" s="123"/>
      <c r="AH59" s="123"/>
      <c r="AI59" s="151"/>
      <c r="AJ59" s="123"/>
      <c r="AK59" s="123"/>
      <c r="AL59" s="123"/>
      <c r="AM59" s="123"/>
      <c r="AN59" s="123"/>
      <c r="AO59" s="123"/>
      <c r="AP59" s="123"/>
    </row>
    <row r="60" spans="2:42">
      <c r="B60" s="148"/>
      <c r="C60" s="119" t="s">
        <v>167</v>
      </c>
      <c r="D60" s="119"/>
      <c r="E60" s="151"/>
      <c r="F60" s="123"/>
      <c r="G60" s="123"/>
      <c r="H60" s="168">
        <f>+H56*H35</f>
        <v>1484.8680000000002</v>
      </c>
      <c r="I60" s="119"/>
      <c r="J60" s="151"/>
      <c r="K60" s="123"/>
      <c r="L60" s="123"/>
      <c r="M60" s="168">
        <f>+M56*M35</f>
        <v>7657.9120000000003</v>
      </c>
      <c r="N60" s="119"/>
      <c r="O60" s="151"/>
      <c r="P60" s="123"/>
      <c r="Q60" s="123"/>
      <c r="R60" s="168">
        <f>+R56*R35</f>
        <v>1862.425</v>
      </c>
      <c r="S60" s="119"/>
      <c r="T60" s="151"/>
      <c r="U60" s="123"/>
      <c r="V60" s="123"/>
      <c r="W60" s="168">
        <f>+W56*W35</f>
        <v>2550.306</v>
      </c>
      <c r="X60" s="119"/>
      <c r="Y60" s="151"/>
      <c r="Z60" s="123"/>
      <c r="AA60" s="123"/>
      <c r="AB60" s="168">
        <f>+AB56*AB35</f>
        <v>2444.328</v>
      </c>
      <c r="AC60" s="119"/>
      <c r="AD60" s="151"/>
      <c r="AE60" s="123"/>
      <c r="AF60" s="123"/>
      <c r="AG60" s="168">
        <f>+AG56*AG35</f>
        <v>5909.1580000000004</v>
      </c>
      <c r="AH60" s="168"/>
      <c r="AI60" s="151"/>
      <c r="AJ60" s="123"/>
      <c r="AK60" s="123"/>
      <c r="AL60" s="168">
        <f>+AL56*AL35</f>
        <v>3983.0069999999996</v>
      </c>
      <c r="AM60" s="168"/>
      <c r="AN60" s="168"/>
      <c r="AO60" s="168"/>
      <c r="AP60" s="168"/>
    </row>
    <row r="61" spans="2:42">
      <c r="B61" s="148"/>
      <c r="C61" s="119" t="s">
        <v>168</v>
      </c>
      <c r="D61" s="119"/>
      <c r="E61" s="119"/>
      <c r="F61" s="119"/>
      <c r="G61" s="119"/>
      <c r="H61" s="169">
        <f>+H60+SUM(H24:H32)</f>
        <v>1433.4970000000001</v>
      </c>
      <c r="I61" s="119"/>
      <c r="J61" s="119"/>
      <c r="K61" s="119"/>
      <c r="L61" s="119"/>
      <c r="M61" s="169">
        <f>+M60+SUM(M24:M32)</f>
        <v>11421.112000000001</v>
      </c>
      <c r="N61" s="119"/>
      <c r="O61" s="119"/>
      <c r="P61" s="119"/>
      <c r="Q61" s="119"/>
      <c r="R61" s="169">
        <f>+R60+SUM(R24:R32)</f>
        <v>1262.7249999999999</v>
      </c>
      <c r="S61" s="119"/>
      <c r="T61" s="119"/>
      <c r="U61" s="119"/>
      <c r="V61" s="119"/>
      <c r="W61" s="169">
        <f>+W60+SUM(W24:W32)</f>
        <v>2059.5059999999999</v>
      </c>
      <c r="X61" s="119"/>
      <c r="Y61" s="119"/>
      <c r="Z61" s="119"/>
      <c r="AA61" s="119"/>
      <c r="AB61" s="169">
        <f>+AB60+SUM(AB24:AB32)</f>
        <v>1794.528</v>
      </c>
      <c r="AC61" s="119"/>
      <c r="AD61" s="119"/>
      <c r="AE61" s="119"/>
      <c r="AF61" s="119"/>
      <c r="AG61" s="169">
        <f>+AG60+SUM(AG24:AG32)</f>
        <v>5905.8580000000002</v>
      </c>
      <c r="AH61" s="169"/>
      <c r="AI61" s="119"/>
      <c r="AJ61" s="119"/>
      <c r="AK61" s="119"/>
      <c r="AL61" s="169">
        <f>+AL60+SUM(AL24:AL32)</f>
        <v>3922.8069999999998</v>
      </c>
      <c r="AM61" s="169"/>
      <c r="AN61" s="169"/>
      <c r="AO61" s="169"/>
      <c r="AP61" s="169"/>
    </row>
    <row r="62" spans="2:42">
      <c r="B62" s="148"/>
      <c r="C62" s="119" t="s">
        <v>169</v>
      </c>
      <c r="D62" s="119"/>
      <c r="E62" s="119"/>
      <c r="F62" s="119"/>
      <c r="G62" s="119"/>
      <c r="H62" s="170">
        <f>[1]WACC!L22</f>
        <v>0.71903277636962626</v>
      </c>
      <c r="I62" s="119"/>
      <c r="J62" s="119"/>
      <c r="K62" s="119"/>
      <c r="L62" s="119"/>
      <c r="M62" s="170">
        <v>0.82</v>
      </c>
      <c r="N62" s="119"/>
      <c r="O62" s="119"/>
      <c r="P62" s="119"/>
      <c r="Q62" s="119"/>
      <c r="R62" s="170">
        <v>2.2599999999999998</v>
      </c>
      <c r="S62" s="119"/>
      <c r="T62" s="119"/>
      <c r="U62" s="119"/>
      <c r="V62" s="119"/>
      <c r="W62" s="170">
        <v>0.94</v>
      </c>
      <c r="X62" s="119"/>
      <c r="Y62" s="119"/>
      <c r="Z62" s="119"/>
      <c r="AA62" s="119"/>
      <c r="AB62" s="170">
        <v>0.75</v>
      </c>
      <c r="AC62" s="119"/>
      <c r="AD62" s="119"/>
      <c r="AE62" s="119"/>
      <c r="AF62" s="119"/>
      <c r="AG62" s="170">
        <v>0.4</v>
      </c>
      <c r="AH62" s="170"/>
      <c r="AI62" s="119"/>
      <c r="AJ62" s="119"/>
      <c r="AK62" s="119"/>
      <c r="AL62" s="170">
        <v>1.54</v>
      </c>
      <c r="AM62" s="170"/>
      <c r="AN62" s="170"/>
      <c r="AO62" s="170"/>
      <c r="AP62" s="170"/>
    </row>
    <row r="63" spans="2:42">
      <c r="B63" s="148"/>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row>
    <row r="64" spans="2:42">
      <c r="B64" s="148"/>
      <c r="C64" s="119"/>
      <c r="D64" s="119"/>
      <c r="E64" s="139" t="s">
        <v>170</v>
      </c>
      <c r="F64" s="145"/>
      <c r="G64" s="145"/>
      <c r="H64" s="145"/>
      <c r="I64" s="119"/>
      <c r="J64" s="139" t="s">
        <v>170</v>
      </c>
      <c r="K64" s="145"/>
      <c r="L64" s="145"/>
      <c r="M64" s="145"/>
      <c r="N64" s="119"/>
      <c r="O64" s="139" t="s">
        <v>170</v>
      </c>
      <c r="P64" s="145"/>
      <c r="Q64" s="145"/>
      <c r="R64" s="145"/>
      <c r="S64" s="119"/>
      <c r="T64" s="139" t="s">
        <v>170</v>
      </c>
      <c r="U64" s="145"/>
      <c r="V64" s="145"/>
      <c r="W64" s="145"/>
      <c r="X64" s="119"/>
      <c r="Y64" s="139" t="s">
        <v>170</v>
      </c>
      <c r="Z64" s="145"/>
      <c r="AA64" s="145"/>
      <c r="AB64" s="145"/>
      <c r="AC64" s="119"/>
      <c r="AD64" s="139" t="s">
        <v>170</v>
      </c>
      <c r="AE64" s="145"/>
      <c r="AF64" s="145"/>
      <c r="AG64" s="145"/>
      <c r="AH64" s="149"/>
      <c r="AI64" s="139" t="s">
        <v>170</v>
      </c>
      <c r="AJ64" s="145"/>
      <c r="AK64" s="145"/>
      <c r="AL64" s="145"/>
      <c r="AM64" s="149"/>
      <c r="AN64" s="149"/>
      <c r="AO64" s="149"/>
      <c r="AP64" s="149"/>
    </row>
    <row r="65" spans="2:42">
      <c r="B65" s="148"/>
      <c r="C65" s="119"/>
      <c r="D65" s="119"/>
      <c r="E65" s="124">
        <f>E6</f>
        <v>46022</v>
      </c>
      <c r="F65" s="124">
        <f t="shared" ref="F65:G65" si="13">F6</f>
        <v>46387</v>
      </c>
      <c r="G65" s="124">
        <f t="shared" si="13"/>
        <v>46752</v>
      </c>
      <c r="H65" s="124"/>
      <c r="I65" s="119"/>
      <c r="J65" s="124">
        <f>J6</f>
        <v>46022</v>
      </c>
      <c r="K65" s="124">
        <f t="shared" ref="K65:L65" si="14">K6</f>
        <v>46387</v>
      </c>
      <c r="L65" s="124">
        <f t="shared" si="14"/>
        <v>46752</v>
      </c>
      <c r="M65" s="171"/>
      <c r="N65" s="119"/>
      <c r="O65" s="124">
        <f>O6</f>
        <v>46022</v>
      </c>
      <c r="P65" s="124">
        <f t="shared" ref="P65:Q65" si="15">P6</f>
        <v>46387</v>
      </c>
      <c r="Q65" s="124">
        <f t="shared" si="15"/>
        <v>46752</v>
      </c>
      <c r="R65" s="171"/>
      <c r="S65" s="119"/>
      <c r="T65" s="124">
        <f>T6</f>
        <v>46022</v>
      </c>
      <c r="U65" s="124">
        <f t="shared" ref="U65:V65" si="16">U6</f>
        <v>46387</v>
      </c>
      <c r="V65" s="124">
        <f t="shared" si="16"/>
        <v>46752</v>
      </c>
      <c r="W65" s="171"/>
      <c r="X65" s="119"/>
      <c r="Y65" s="124">
        <f>Y6</f>
        <v>46022</v>
      </c>
      <c r="Z65" s="124">
        <f t="shared" ref="Z65:AA65" si="17">Z6</f>
        <v>46387</v>
      </c>
      <c r="AA65" s="124">
        <f t="shared" si="17"/>
        <v>46752</v>
      </c>
      <c r="AB65" s="171"/>
      <c r="AC65" s="119"/>
      <c r="AD65" s="124">
        <f>AD6</f>
        <v>46022</v>
      </c>
      <c r="AE65" s="124">
        <f t="shared" ref="AE65:AF65" si="18">AE6</f>
        <v>46387</v>
      </c>
      <c r="AF65" s="124">
        <f t="shared" si="18"/>
        <v>46752</v>
      </c>
      <c r="AG65" s="171"/>
      <c r="AH65" s="172"/>
      <c r="AI65" s="124">
        <f>AI6</f>
        <v>46022</v>
      </c>
      <c r="AJ65" s="124">
        <f t="shared" ref="AJ65:AK65" si="19">AJ6</f>
        <v>46387</v>
      </c>
      <c r="AK65" s="124">
        <f t="shared" si="19"/>
        <v>46752</v>
      </c>
      <c r="AL65" s="171"/>
      <c r="AM65" s="172"/>
      <c r="AN65" s="172"/>
      <c r="AO65" s="172"/>
      <c r="AP65" s="172"/>
    </row>
    <row r="66" spans="2:42">
      <c r="B66" s="148"/>
      <c r="C66" s="119" t="s">
        <v>421</v>
      </c>
      <c r="D66" s="119"/>
      <c r="E66" s="173">
        <f>H61/H17</f>
        <v>6.9227430688454756</v>
      </c>
      <c r="F66" s="173"/>
      <c r="G66" s="173"/>
      <c r="H66" s="173"/>
      <c r="I66" s="119"/>
      <c r="J66" s="173">
        <f>M61/M17</f>
        <v>24.39460815533981</v>
      </c>
      <c r="K66" s="173"/>
      <c r="L66" s="173"/>
      <c r="M66" s="173"/>
      <c r="N66" s="119"/>
      <c r="O66" s="173">
        <f>R61/R17</f>
        <v>4.4872710497572825</v>
      </c>
      <c r="P66" s="173"/>
      <c r="Q66" s="173"/>
      <c r="R66" s="173"/>
      <c r="S66" s="119"/>
      <c r="T66" s="173">
        <f>W61/W17</f>
        <v>12.598551480890892</v>
      </c>
      <c r="U66" s="173"/>
      <c r="V66" s="173"/>
      <c r="W66" s="173"/>
      <c r="X66" s="119"/>
      <c r="Y66" s="173">
        <f>AB61/AB17</f>
        <v>17.559567995482762</v>
      </c>
      <c r="Z66" s="173"/>
      <c r="AA66" s="173"/>
      <c r="AB66" s="173"/>
      <c r="AC66" s="119"/>
      <c r="AD66" s="173">
        <f>AG61/AG17</f>
        <v>12.51593811877547</v>
      </c>
      <c r="AE66" s="173"/>
      <c r="AF66" s="173"/>
      <c r="AG66" s="173"/>
      <c r="AH66" s="173"/>
      <c r="AI66" s="173">
        <f>AL61/AL17</f>
        <v>65.659659419014091</v>
      </c>
      <c r="AJ66" s="173"/>
      <c r="AK66" s="173"/>
      <c r="AL66" s="173"/>
      <c r="AM66" s="173"/>
      <c r="AN66" s="173"/>
      <c r="AO66" s="173"/>
      <c r="AP66" s="173"/>
    </row>
    <row r="67" spans="2:42">
      <c r="B67" s="148"/>
      <c r="C67" s="119" t="s">
        <v>422</v>
      </c>
      <c r="D67" s="119"/>
      <c r="E67" s="173">
        <f>$H$61/E18</f>
        <v>271.03488463551361</v>
      </c>
      <c r="F67" s="173">
        <f t="shared" ref="F67:G67" si="20">$H$61/F18</f>
        <v>262.31380237474292</v>
      </c>
      <c r="G67" s="173">
        <f t="shared" si="20"/>
        <v>269.21230937603264</v>
      </c>
      <c r="H67" s="173"/>
      <c r="I67" s="119"/>
      <c r="J67" s="173">
        <f>$M$61/J18</f>
        <v>15.027778947368422</v>
      </c>
      <c r="K67" s="173">
        <f t="shared" ref="K67:L67" si="21">$M$61/K18</f>
        <v>13.74381708784597</v>
      </c>
      <c r="L67" s="173">
        <f t="shared" si="21"/>
        <v>13.008100227790434</v>
      </c>
      <c r="M67" s="173"/>
      <c r="N67" s="119"/>
      <c r="O67" s="173">
        <f>$R$61/O18</f>
        <v>2.8633219954648523</v>
      </c>
      <c r="P67" s="173">
        <f t="shared" ref="P67:Q67" si="22">$R$61/P18</f>
        <v>2.5204091816367264</v>
      </c>
      <c r="Q67" s="173">
        <f t="shared" si="22"/>
        <v>2.2309628975265015</v>
      </c>
      <c r="R67" s="173"/>
      <c r="S67" s="119"/>
      <c r="T67" s="173">
        <f>$W$61/T18</f>
        <v>17.754362068965516</v>
      </c>
      <c r="U67" s="173">
        <f t="shared" ref="U67:V67" si="23">$W$61/U18</f>
        <v>15.965162790697674</v>
      </c>
      <c r="V67" s="173">
        <f t="shared" si="23"/>
        <v>15.60231818181818</v>
      </c>
      <c r="W67" s="173"/>
      <c r="X67" s="119"/>
      <c r="Y67" s="173">
        <f>$AB$61/Y18</f>
        <v>99.695999999999998</v>
      </c>
      <c r="Z67" s="173">
        <f t="shared" ref="Z67:AA67" si="24">$AB$61/Z18</f>
        <v>94.448842105263154</v>
      </c>
      <c r="AA67" s="173">
        <f t="shared" si="24"/>
        <v>85.453714285714284</v>
      </c>
      <c r="AB67" s="173"/>
      <c r="AC67" s="119"/>
      <c r="AD67" s="173">
        <f>$AG$61/AD18</f>
        <v>29.236920792079207</v>
      </c>
      <c r="AE67" s="173">
        <f t="shared" ref="AE67:AF67" si="25">$AG$61/AE18</f>
        <v>26.602963963963965</v>
      </c>
      <c r="AF67" s="173">
        <f t="shared" si="25"/>
        <v>26.016995594713656</v>
      </c>
      <c r="AG67" s="173"/>
      <c r="AH67" s="173"/>
      <c r="AI67" s="173">
        <f>$AL$61/AI18</f>
        <v>45.089735632183903</v>
      </c>
      <c r="AJ67" s="173">
        <f t="shared" ref="AJ67:AK67" si="26">$AL$61/AJ18</f>
        <v>42.180720430107527</v>
      </c>
      <c r="AK67" s="173">
        <f t="shared" si="26"/>
        <v>42.639206521739126</v>
      </c>
      <c r="AL67" s="173"/>
      <c r="AM67" s="173"/>
      <c r="AN67" s="173"/>
      <c r="AO67" s="173"/>
      <c r="AP67" s="173"/>
    </row>
    <row r="68" spans="2:42">
      <c r="B68" s="148"/>
      <c r="C68" s="119" t="s">
        <v>423</v>
      </c>
      <c r="D68" s="119"/>
      <c r="E68" s="173">
        <f>$H61/E7</f>
        <v>4.1739372233869094</v>
      </c>
      <c r="F68" s="173">
        <f>$H61/F7</f>
        <v>3.0690714877844916</v>
      </c>
      <c r="G68" s="173">
        <f>$H61/G7</f>
        <v>2.1536984750082615</v>
      </c>
      <c r="H68" s="173"/>
      <c r="I68" s="119"/>
      <c r="J68" s="173">
        <f>$M61/J7</f>
        <v>2.7083500118567705</v>
      </c>
      <c r="K68" s="173">
        <f>$M61/K7</f>
        <v>2.5516336014298484</v>
      </c>
      <c r="L68" s="173">
        <f>$M61/L7</f>
        <v>2.4721021645021648</v>
      </c>
      <c r="M68" s="173"/>
      <c r="N68" s="119"/>
      <c r="O68" s="173">
        <f>$R61/O7</f>
        <v>1.5050357568533967</v>
      </c>
      <c r="P68" s="173">
        <f>$R61/P7</f>
        <v>1.2819543147208121</v>
      </c>
      <c r="Q68" s="173">
        <f>$R61/Q7</f>
        <v>1.114496910856134</v>
      </c>
      <c r="R68" s="173"/>
      <c r="S68" s="119"/>
      <c r="T68" s="173">
        <f>$W61/T7</f>
        <v>2.9761647398843927</v>
      </c>
      <c r="U68" s="173">
        <f>$W61/U7</f>
        <v>2.4753677884615382</v>
      </c>
      <c r="V68" s="173">
        <f>$W61/V7</f>
        <v>2.1101495901639344</v>
      </c>
      <c r="W68" s="173"/>
      <c r="X68" s="119"/>
      <c r="Y68" s="173">
        <f>$AB61/Y7</f>
        <v>3.1931103202846973</v>
      </c>
      <c r="Z68" s="173">
        <f>$AB61/Z7</f>
        <v>2.9515263157894736</v>
      </c>
      <c r="AA68" s="173">
        <f>$AB61/AA7</f>
        <v>2.6625044510385756</v>
      </c>
      <c r="AB68" s="173"/>
      <c r="AC68" s="119"/>
      <c r="AD68" s="173">
        <f>$AG61/AD7</f>
        <v>9.5102383252818044</v>
      </c>
      <c r="AE68" s="173">
        <f>$AG61/AE7</f>
        <v>6.1137246376811598</v>
      </c>
      <c r="AF68" s="173">
        <f>$AG61/AF7</f>
        <v>3.8176199095022625</v>
      </c>
      <c r="AG68" s="173"/>
      <c r="AH68" s="173"/>
      <c r="AI68" s="173">
        <f>$AL61/AI7</f>
        <v>3.6627516339869279</v>
      </c>
      <c r="AJ68" s="173">
        <f>$AL61/AJ7</f>
        <v>3.2744632721202001</v>
      </c>
      <c r="AK68" s="173">
        <f>$AL61/AK7</f>
        <v>2.8950605166051657</v>
      </c>
      <c r="AL68" s="173"/>
      <c r="AM68" s="173"/>
      <c r="AN68" s="173"/>
      <c r="AO68" s="173"/>
      <c r="AP68" s="173"/>
    </row>
    <row r="69" spans="2:42">
      <c r="B69" s="148"/>
      <c r="C69" s="119"/>
      <c r="D69" s="119"/>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19"/>
    </row>
    <row r="70" spans="2:42">
      <c r="B70" s="148"/>
      <c r="C70" s="119"/>
      <c r="D70" s="119"/>
      <c r="E70" s="139" t="s">
        <v>171</v>
      </c>
      <c r="F70" s="145"/>
      <c r="G70" s="145"/>
      <c r="H70" s="145"/>
      <c r="I70" s="119"/>
      <c r="J70" s="139" t="s">
        <v>171</v>
      </c>
      <c r="K70" s="145"/>
      <c r="L70" s="145"/>
      <c r="M70" s="145"/>
      <c r="N70" s="119"/>
      <c r="O70" s="139" t="s">
        <v>171</v>
      </c>
      <c r="P70" s="145"/>
      <c r="Q70" s="145"/>
      <c r="R70" s="145"/>
      <c r="S70" s="119"/>
      <c r="T70" s="139" t="s">
        <v>171</v>
      </c>
      <c r="U70" s="145"/>
      <c r="V70" s="145"/>
      <c r="W70" s="145"/>
      <c r="X70" s="119"/>
      <c r="Y70" s="139" t="s">
        <v>171</v>
      </c>
      <c r="Z70" s="145"/>
      <c r="AA70" s="145"/>
      <c r="AB70" s="145"/>
      <c r="AC70" s="119"/>
      <c r="AD70" s="139" t="s">
        <v>171</v>
      </c>
      <c r="AE70" s="145"/>
      <c r="AF70" s="145"/>
      <c r="AG70" s="145"/>
      <c r="AH70" s="149"/>
      <c r="AI70" s="139" t="s">
        <v>171</v>
      </c>
      <c r="AJ70" s="145"/>
      <c r="AK70" s="145"/>
      <c r="AL70" s="145"/>
      <c r="AM70" s="149"/>
      <c r="AN70" s="149"/>
      <c r="AO70" s="149"/>
      <c r="AP70" s="149"/>
    </row>
    <row r="71" spans="2:42">
      <c r="B71" s="148"/>
      <c r="C71" s="119"/>
      <c r="D71" s="119"/>
      <c r="E71" s="174"/>
      <c r="F71" s="174"/>
      <c r="G71" s="174"/>
      <c r="H71" s="174"/>
      <c r="I71" s="119"/>
      <c r="J71" s="174"/>
      <c r="K71" s="174"/>
      <c r="L71" s="174"/>
      <c r="M71" s="174"/>
      <c r="N71" s="119"/>
      <c r="O71" s="174"/>
      <c r="P71" s="174"/>
      <c r="Q71" s="174"/>
      <c r="R71" s="174"/>
      <c r="S71" s="119"/>
      <c r="T71" s="174"/>
      <c r="U71" s="174"/>
      <c r="V71" s="174"/>
      <c r="W71" s="174"/>
      <c r="X71" s="119"/>
      <c r="Y71" s="174"/>
      <c r="Z71" s="174"/>
      <c r="AA71" s="174"/>
      <c r="AB71" s="174"/>
      <c r="AC71" s="119"/>
      <c r="AD71" s="174"/>
      <c r="AE71" s="174"/>
      <c r="AF71" s="174"/>
      <c r="AG71" s="174"/>
      <c r="AH71" s="119"/>
      <c r="AI71" s="174"/>
      <c r="AJ71" s="174"/>
      <c r="AK71" s="174"/>
      <c r="AL71" s="174"/>
      <c r="AM71" s="119"/>
      <c r="AN71" s="119"/>
      <c r="AO71" s="119"/>
      <c r="AP71" s="119"/>
    </row>
    <row r="72" spans="2:42">
      <c r="B72" s="148"/>
      <c r="C72" s="119" t="str">
        <f>TEXT(Forward_Year_1,"yyyy-mm-dd")&amp;" "&amp;C7</f>
        <v>2025-12-31 Revenue</v>
      </c>
      <c r="D72" s="119"/>
      <c r="E72" s="174"/>
      <c r="F72" s="174"/>
      <c r="G72" s="174"/>
      <c r="H72" s="175">
        <f>E7</f>
        <v>343.43999999999994</v>
      </c>
      <c r="I72" s="119"/>
      <c r="J72" s="174"/>
      <c r="K72" s="174"/>
      <c r="L72" s="174"/>
      <c r="M72" s="175">
        <f>J7</f>
        <v>4217</v>
      </c>
      <c r="N72" s="119"/>
      <c r="O72" s="174"/>
      <c r="P72" s="174"/>
      <c r="Q72" s="174"/>
      <c r="R72" s="175">
        <f>O7</f>
        <v>839</v>
      </c>
      <c r="S72" s="119"/>
      <c r="T72" s="174"/>
      <c r="U72" s="174"/>
      <c r="V72" s="174"/>
      <c r="W72" s="175">
        <f>T7</f>
        <v>692</v>
      </c>
      <c r="X72" s="119"/>
      <c r="Y72" s="174"/>
      <c r="Z72" s="174"/>
      <c r="AA72" s="174"/>
      <c r="AB72" s="175">
        <f>Y7</f>
        <v>562</v>
      </c>
      <c r="AC72" s="119"/>
      <c r="AD72" s="174"/>
      <c r="AE72" s="174"/>
      <c r="AF72" s="174"/>
      <c r="AG72" s="175">
        <f>AD7</f>
        <v>621</v>
      </c>
      <c r="AH72" s="175"/>
      <c r="AI72" s="174"/>
      <c r="AJ72" s="174"/>
      <c r="AK72" s="174"/>
      <c r="AL72" s="175">
        <f>AI7</f>
        <v>1071</v>
      </c>
      <c r="AM72" s="175"/>
      <c r="AN72" s="175"/>
      <c r="AO72" s="175"/>
      <c r="AP72" s="175"/>
    </row>
    <row r="73" spans="2:42">
      <c r="B73" s="148"/>
      <c r="C73" s="119" t="str">
        <f>C17</f>
        <v>rNPV</v>
      </c>
      <c r="D73" s="119"/>
      <c r="E73" s="174"/>
      <c r="F73" s="174"/>
      <c r="G73" s="174"/>
      <c r="H73" s="176">
        <f>H17</f>
        <v>207.07066342692798</v>
      </c>
      <c r="I73" s="119"/>
      <c r="J73" s="174"/>
      <c r="K73" s="174"/>
      <c r="L73" s="174"/>
      <c r="M73" s="176">
        <f>M17</f>
        <v>468.18181818181813</v>
      </c>
      <c r="N73" s="119"/>
      <c r="O73" s="174"/>
      <c r="P73" s="174"/>
      <c r="Q73" s="174"/>
      <c r="R73" s="176">
        <f>R17</f>
        <v>281.40154361040902</v>
      </c>
      <c r="S73" s="119"/>
      <c r="T73" s="174"/>
      <c r="U73" s="174"/>
      <c r="V73" s="174"/>
      <c r="W73" s="176">
        <f>W17</f>
        <v>163.47165014357384</v>
      </c>
      <c r="X73" s="119"/>
      <c r="Y73" s="174"/>
      <c r="Z73" s="174"/>
      <c r="AA73" s="174"/>
      <c r="AB73" s="176">
        <f>AB17</f>
        <v>102.19659165086786</v>
      </c>
      <c r="AC73" s="119"/>
      <c r="AD73" s="174"/>
      <c r="AE73" s="174"/>
      <c r="AF73" s="174"/>
      <c r="AG73" s="176">
        <f>AG17</f>
        <v>471.86698623417414</v>
      </c>
      <c r="AH73" s="176"/>
      <c r="AI73" s="174"/>
      <c r="AJ73" s="174"/>
      <c r="AK73" s="174"/>
      <c r="AL73" s="176">
        <f>AL17</f>
        <v>59.744552967693451</v>
      </c>
      <c r="AM73" s="176"/>
      <c r="AN73" s="176"/>
      <c r="AO73" s="176"/>
      <c r="AP73" s="176"/>
    </row>
    <row r="74" spans="2:42">
      <c r="B74" s="148"/>
      <c r="C74" s="119" t="str">
        <f>TEXT(Forward_Year_1,"yyyy-mm-dd")&amp;" "&amp;C18</f>
        <v>2025-12-31 R&amp;D expense</v>
      </c>
      <c r="D74" s="119"/>
      <c r="E74" s="174"/>
      <c r="F74" s="174"/>
      <c r="G74" s="174"/>
      <c r="H74" s="176">
        <f>E18</f>
        <v>5.2889759999999999</v>
      </c>
      <c r="I74" s="119"/>
      <c r="J74" s="174"/>
      <c r="K74" s="174"/>
      <c r="L74" s="174"/>
      <c r="M74" s="176">
        <f>J18</f>
        <v>760</v>
      </c>
      <c r="N74" s="119"/>
      <c r="O74" s="174"/>
      <c r="P74" s="174"/>
      <c r="Q74" s="174"/>
      <c r="R74" s="176">
        <f>O18</f>
        <v>441</v>
      </c>
      <c r="S74" s="119"/>
      <c r="T74" s="174"/>
      <c r="U74" s="174"/>
      <c r="V74" s="174"/>
      <c r="W74" s="176">
        <f>T18</f>
        <v>116</v>
      </c>
      <c r="X74" s="119"/>
      <c r="Y74" s="174"/>
      <c r="Z74" s="174"/>
      <c r="AA74" s="174"/>
      <c r="AB74" s="176">
        <f>Y18</f>
        <v>18</v>
      </c>
      <c r="AC74" s="119"/>
      <c r="AD74" s="174"/>
      <c r="AE74" s="174"/>
      <c r="AF74" s="174"/>
      <c r="AG74" s="176">
        <f>AD18</f>
        <v>202</v>
      </c>
      <c r="AH74" s="176"/>
      <c r="AI74" s="174"/>
      <c r="AJ74" s="174"/>
      <c r="AK74" s="174"/>
      <c r="AL74" s="176">
        <f>AI18</f>
        <v>87</v>
      </c>
      <c r="AM74" s="176"/>
      <c r="AN74" s="176"/>
      <c r="AO74" s="176"/>
      <c r="AP74" s="176"/>
    </row>
    <row r="75" spans="2:42">
      <c r="B75" s="148"/>
      <c r="C75" s="119"/>
      <c r="D75" s="119"/>
      <c r="E75" s="174"/>
      <c r="F75" s="174"/>
      <c r="G75" s="174"/>
      <c r="H75" s="174"/>
      <c r="I75" s="119"/>
      <c r="J75" s="174"/>
      <c r="K75" s="174"/>
      <c r="L75" s="174"/>
      <c r="M75" s="174"/>
      <c r="N75" s="119"/>
      <c r="O75" s="174"/>
      <c r="P75" s="174"/>
      <c r="Q75" s="174"/>
      <c r="R75" s="174"/>
      <c r="S75" s="119"/>
      <c r="T75" s="174"/>
      <c r="U75" s="174"/>
      <c r="V75" s="174"/>
      <c r="W75" s="174"/>
      <c r="X75" s="119"/>
      <c r="Y75" s="174"/>
      <c r="Z75" s="174"/>
      <c r="AA75" s="174"/>
      <c r="AB75" s="174"/>
      <c r="AC75" s="119"/>
      <c r="AD75" s="174"/>
      <c r="AE75" s="174"/>
      <c r="AF75" s="174"/>
      <c r="AG75" s="174"/>
      <c r="AH75" s="119"/>
      <c r="AI75" s="174"/>
      <c r="AJ75" s="174"/>
      <c r="AK75" s="174"/>
      <c r="AL75" s="174"/>
      <c r="AM75" s="119"/>
      <c r="AN75" s="119"/>
      <c r="AO75" s="119"/>
      <c r="AP75" s="119"/>
    </row>
    <row r="76" spans="2:42">
      <c r="B76" s="148"/>
      <c r="C76" s="119" t="str">
        <f>TEXT(Forward_Year_2,"yyyy-mm-dd")&amp;" "&amp;C7</f>
        <v>2026-12-31 Revenue</v>
      </c>
      <c r="D76" s="119"/>
      <c r="E76" s="174"/>
      <c r="F76" s="174"/>
      <c r="G76" s="174"/>
      <c r="H76" s="177">
        <f>F7</f>
        <v>467.07840000000004</v>
      </c>
      <c r="I76" s="119"/>
      <c r="J76" s="174"/>
      <c r="K76" s="174"/>
      <c r="L76" s="174"/>
      <c r="M76" s="177">
        <f>K7</f>
        <v>4476</v>
      </c>
      <c r="N76" s="119"/>
      <c r="O76" s="174"/>
      <c r="P76" s="174"/>
      <c r="Q76" s="174"/>
      <c r="R76" s="177">
        <f>P7</f>
        <v>985</v>
      </c>
      <c r="S76" s="119"/>
      <c r="T76" s="174"/>
      <c r="U76" s="174"/>
      <c r="V76" s="174"/>
      <c r="W76" s="177">
        <f>U7</f>
        <v>832</v>
      </c>
      <c r="X76" s="119"/>
      <c r="Y76" s="174"/>
      <c r="Z76" s="174"/>
      <c r="AA76" s="174"/>
      <c r="AB76" s="177">
        <f>Z7</f>
        <v>608</v>
      </c>
      <c r="AC76" s="119"/>
      <c r="AD76" s="174"/>
      <c r="AE76" s="174"/>
      <c r="AF76" s="174"/>
      <c r="AG76" s="177">
        <f>AE7</f>
        <v>966</v>
      </c>
      <c r="AH76" s="177"/>
      <c r="AI76" s="174"/>
      <c r="AJ76" s="174"/>
      <c r="AK76" s="174"/>
      <c r="AL76" s="177">
        <f>AJ7</f>
        <v>1198</v>
      </c>
      <c r="AM76" s="177"/>
      <c r="AN76" s="177"/>
      <c r="AO76" s="177"/>
      <c r="AP76" s="177"/>
    </row>
    <row r="77" spans="2:42">
      <c r="B77" s="148"/>
      <c r="C77" s="119" t="str">
        <f>TEXT(Forward_Year_2,"yyyy-mm-dd")&amp;" "&amp;C18</f>
        <v>2026-12-31 R&amp;D expense</v>
      </c>
      <c r="D77" s="119"/>
      <c r="E77" s="174"/>
      <c r="F77" s="174"/>
      <c r="G77" s="174"/>
      <c r="H77" s="176">
        <f>F18</f>
        <v>5.4648172800000001</v>
      </c>
      <c r="I77" s="119"/>
      <c r="J77" s="174"/>
      <c r="K77" s="174"/>
      <c r="L77" s="174"/>
      <c r="M77" s="176">
        <f>K18</f>
        <v>831</v>
      </c>
      <c r="N77" s="119"/>
      <c r="O77" s="174"/>
      <c r="P77" s="174"/>
      <c r="Q77" s="174"/>
      <c r="R77" s="176">
        <f>P18</f>
        <v>501</v>
      </c>
      <c r="S77" s="119"/>
      <c r="T77" s="174"/>
      <c r="U77" s="174"/>
      <c r="V77" s="174"/>
      <c r="W77" s="176">
        <f>U18</f>
        <v>129</v>
      </c>
      <c r="X77" s="119"/>
      <c r="Y77" s="174"/>
      <c r="Z77" s="174"/>
      <c r="AA77" s="174"/>
      <c r="AB77" s="176">
        <f>Z18</f>
        <v>19</v>
      </c>
      <c r="AC77" s="119"/>
      <c r="AD77" s="174"/>
      <c r="AE77" s="174"/>
      <c r="AF77" s="174"/>
      <c r="AG77" s="176">
        <f>AE18</f>
        <v>222</v>
      </c>
      <c r="AH77" s="176"/>
      <c r="AI77" s="174"/>
      <c r="AJ77" s="174"/>
      <c r="AK77" s="174"/>
      <c r="AL77" s="176">
        <f>AJ18</f>
        <v>93</v>
      </c>
      <c r="AM77" s="176"/>
      <c r="AN77" s="176"/>
      <c r="AO77" s="176"/>
      <c r="AP77" s="176"/>
    </row>
    <row r="78" spans="2:42">
      <c r="B78" s="148"/>
      <c r="C78" s="119"/>
      <c r="D78" s="119"/>
      <c r="E78" s="174"/>
      <c r="F78" s="174"/>
      <c r="G78" s="174"/>
      <c r="H78" s="174"/>
      <c r="I78" s="119"/>
      <c r="J78" s="174"/>
      <c r="K78" s="174"/>
      <c r="L78" s="174"/>
      <c r="M78" s="174"/>
      <c r="N78" s="119"/>
      <c r="O78" s="174"/>
      <c r="P78" s="174"/>
      <c r="Q78" s="174"/>
      <c r="R78" s="174"/>
      <c r="S78" s="119"/>
      <c r="T78" s="174"/>
      <c r="U78" s="174"/>
      <c r="V78" s="174"/>
      <c r="W78" s="174"/>
      <c r="X78" s="119"/>
      <c r="Y78" s="174"/>
      <c r="Z78" s="174"/>
      <c r="AA78" s="174"/>
      <c r="AB78" s="174"/>
      <c r="AC78" s="119"/>
      <c r="AD78" s="174"/>
      <c r="AE78" s="174"/>
      <c r="AF78" s="174"/>
      <c r="AG78" s="174"/>
      <c r="AH78" s="119"/>
      <c r="AI78" s="174"/>
      <c r="AJ78" s="174"/>
      <c r="AK78" s="174"/>
      <c r="AL78" s="174"/>
      <c r="AM78" s="119"/>
      <c r="AN78" s="119"/>
      <c r="AO78" s="119"/>
      <c r="AP78" s="119"/>
    </row>
    <row r="79" spans="2:42">
      <c r="B79" s="148"/>
      <c r="C79" s="119" t="str">
        <f>TEXT(Forward_Year_3,"yyyy-mm-dd")&amp;" "&amp;C7</f>
        <v>2027-12-31 Revenue</v>
      </c>
      <c r="D79" s="119"/>
      <c r="E79" s="174"/>
      <c r="F79" s="174"/>
      <c r="G79" s="174"/>
      <c r="H79" s="176">
        <f>G7</f>
        <v>665.59781540194535</v>
      </c>
      <c r="I79" s="119"/>
      <c r="J79" s="174"/>
      <c r="K79" s="174"/>
      <c r="L79" s="174"/>
      <c r="M79" s="176">
        <f>L7</f>
        <v>4620</v>
      </c>
      <c r="N79" s="119"/>
      <c r="O79" s="174"/>
      <c r="P79" s="174"/>
      <c r="Q79" s="174"/>
      <c r="R79" s="176">
        <f>Q7</f>
        <v>1133</v>
      </c>
      <c r="S79" s="119"/>
      <c r="T79" s="174"/>
      <c r="U79" s="174"/>
      <c r="V79" s="174"/>
      <c r="W79" s="176">
        <f>V7</f>
        <v>976</v>
      </c>
      <c r="X79" s="119"/>
      <c r="Y79" s="174"/>
      <c r="Z79" s="174"/>
      <c r="AA79" s="174"/>
      <c r="AB79" s="176">
        <f>AA7</f>
        <v>674</v>
      </c>
      <c r="AC79" s="119"/>
      <c r="AD79" s="174"/>
      <c r="AE79" s="174"/>
      <c r="AF79" s="174"/>
      <c r="AG79" s="176">
        <f>AF7</f>
        <v>1547</v>
      </c>
      <c r="AH79" s="176"/>
      <c r="AI79" s="174"/>
      <c r="AJ79" s="174"/>
      <c r="AK79" s="174"/>
      <c r="AL79" s="176">
        <f>AK7</f>
        <v>1355</v>
      </c>
      <c r="AM79" s="176"/>
      <c r="AN79" s="176"/>
      <c r="AO79" s="176"/>
      <c r="AP79" s="176"/>
    </row>
    <row r="80" spans="2:42">
      <c r="B80" s="148"/>
      <c r="C80" s="119" t="str">
        <f>TEXT(Forward_Year_3,"yyyy-mm-dd")&amp;" "&amp;C18</f>
        <v>2027-12-31 R&amp;D expense</v>
      </c>
      <c r="D80" s="119"/>
      <c r="E80" s="174"/>
      <c r="F80" s="174"/>
      <c r="G80" s="174"/>
      <c r="H80" s="176">
        <f>G18</f>
        <v>5.3247825232155641</v>
      </c>
      <c r="I80" s="119"/>
      <c r="J80" s="174"/>
      <c r="K80" s="174"/>
      <c r="L80" s="174"/>
      <c r="M80" s="176">
        <f>L18</f>
        <v>878</v>
      </c>
      <c r="N80" s="119"/>
      <c r="O80" s="174"/>
      <c r="P80" s="174"/>
      <c r="Q80" s="174"/>
      <c r="R80" s="176">
        <f>Q18</f>
        <v>566</v>
      </c>
      <c r="S80" s="119"/>
      <c r="T80" s="174"/>
      <c r="U80" s="174"/>
      <c r="V80" s="174"/>
      <c r="W80" s="176">
        <f>V18</f>
        <v>132</v>
      </c>
      <c r="X80" s="119"/>
      <c r="Y80" s="174"/>
      <c r="Z80" s="174"/>
      <c r="AA80" s="174"/>
      <c r="AB80" s="176">
        <f>AA18</f>
        <v>21</v>
      </c>
      <c r="AC80" s="119"/>
      <c r="AD80" s="174"/>
      <c r="AE80" s="174"/>
      <c r="AF80" s="174"/>
      <c r="AG80" s="176">
        <f>AF18</f>
        <v>227</v>
      </c>
      <c r="AH80" s="176"/>
      <c r="AI80" s="174"/>
      <c r="AJ80" s="174"/>
      <c r="AK80" s="174"/>
      <c r="AL80" s="176">
        <f>AK18</f>
        <v>92</v>
      </c>
      <c r="AM80" s="176"/>
      <c r="AN80" s="176"/>
      <c r="AO80" s="176"/>
      <c r="AP80" s="176"/>
    </row>
    <row r="81" spans="2:42">
      <c r="B81" s="148"/>
      <c r="C81" s="119"/>
      <c r="D81" s="119"/>
      <c r="E81" s="174"/>
      <c r="F81" s="174"/>
      <c r="G81" s="174"/>
      <c r="H81" s="174"/>
      <c r="I81" s="119"/>
      <c r="J81" s="174"/>
      <c r="K81" s="174"/>
      <c r="L81" s="174"/>
      <c r="M81" s="174"/>
      <c r="N81" s="119"/>
      <c r="O81" s="174"/>
      <c r="P81" s="174"/>
      <c r="Q81" s="174"/>
      <c r="R81" s="174"/>
      <c r="S81" s="119"/>
      <c r="T81" s="174"/>
      <c r="U81" s="174"/>
      <c r="V81" s="174"/>
      <c r="W81" s="174"/>
      <c r="X81" s="119"/>
      <c r="Y81" s="174"/>
      <c r="Z81" s="174"/>
      <c r="AA81" s="174"/>
      <c r="AB81" s="174"/>
      <c r="AC81" s="119"/>
      <c r="AD81" s="174"/>
      <c r="AE81" s="174"/>
      <c r="AF81" s="174"/>
      <c r="AG81" s="174"/>
      <c r="AH81" s="119"/>
      <c r="AI81" s="174"/>
      <c r="AJ81" s="174"/>
      <c r="AK81" s="174"/>
      <c r="AL81" s="174"/>
      <c r="AM81" s="119"/>
      <c r="AN81" s="119"/>
      <c r="AO81" s="119"/>
      <c r="AP81" s="119"/>
    </row>
    <row r="82" spans="2:42">
      <c r="B82" s="148"/>
      <c r="C82" s="119" t="s">
        <v>172</v>
      </c>
      <c r="D82" s="119"/>
      <c r="E82" s="174"/>
      <c r="F82" s="174"/>
      <c r="G82" s="174"/>
      <c r="H82" s="178">
        <f>IFERROR(+H76/H72-1,"N/A")</f>
        <v>0.36000000000000032</v>
      </c>
      <c r="I82" s="119"/>
      <c r="J82" s="174"/>
      <c r="K82" s="174"/>
      <c r="L82" s="174"/>
      <c r="M82" s="178">
        <f>IFERROR(+M76/M72-1,"N/A")</f>
        <v>6.1418069717808832E-2</v>
      </c>
      <c r="N82" s="119"/>
      <c r="O82" s="174"/>
      <c r="P82" s="174"/>
      <c r="Q82" s="174"/>
      <c r="R82" s="178">
        <f>IFERROR(+R76/R72-1,"N/A")</f>
        <v>0.17401668653158531</v>
      </c>
      <c r="S82" s="119"/>
      <c r="T82" s="174"/>
      <c r="U82" s="174"/>
      <c r="V82" s="174"/>
      <c r="W82" s="178">
        <f>IFERROR(+W76/W72-1,"N/A")</f>
        <v>0.20231213872832376</v>
      </c>
      <c r="X82" s="119"/>
      <c r="Y82" s="174"/>
      <c r="Z82" s="174"/>
      <c r="AA82" s="174"/>
      <c r="AB82" s="178">
        <f>IFERROR(+AB76/AB72-1,"N/A")</f>
        <v>8.1850533807829251E-2</v>
      </c>
      <c r="AC82" s="119"/>
      <c r="AD82" s="174"/>
      <c r="AE82" s="174"/>
      <c r="AF82" s="174"/>
      <c r="AG82" s="178">
        <f>IFERROR(+AG76/AG72-1,"N/A")</f>
        <v>0.55555555555555558</v>
      </c>
      <c r="AH82" s="178"/>
      <c r="AI82" s="174"/>
      <c r="AJ82" s="174"/>
      <c r="AK82" s="174"/>
      <c r="AL82" s="178">
        <f>IFERROR(+AL76/AL72-1,"N/A")</f>
        <v>0.11858076563958919</v>
      </c>
      <c r="AM82" s="178"/>
      <c r="AN82" s="178"/>
      <c r="AO82" s="178"/>
      <c r="AP82" s="178"/>
    </row>
    <row r="83" spans="2:42">
      <c r="B83" s="148"/>
      <c r="C83" s="119" t="s">
        <v>424</v>
      </c>
      <c r="D83" s="119"/>
      <c r="E83" s="174"/>
      <c r="F83" s="174"/>
      <c r="G83" s="174"/>
      <c r="H83" s="178">
        <f>H74/H77-1</f>
        <v>-3.2176973353443938E-2</v>
      </c>
      <c r="I83" s="119"/>
      <c r="J83" s="174"/>
      <c r="K83" s="174"/>
      <c r="L83" s="174"/>
      <c r="M83" s="178">
        <f>M74/M77-1</f>
        <v>-8.5439229843562003E-2</v>
      </c>
      <c r="N83" s="119"/>
      <c r="O83" s="174"/>
      <c r="P83" s="174"/>
      <c r="Q83" s="174"/>
      <c r="R83" s="178">
        <f>R74/R77-1</f>
        <v>-0.11976047904191611</v>
      </c>
      <c r="S83" s="119"/>
      <c r="T83" s="174"/>
      <c r="U83" s="174"/>
      <c r="V83" s="174"/>
      <c r="W83" s="178">
        <f>W74/W77-1</f>
        <v>-0.10077519379844957</v>
      </c>
      <c r="X83" s="119"/>
      <c r="Y83" s="174"/>
      <c r="Z83" s="174"/>
      <c r="AA83" s="174"/>
      <c r="AB83" s="178">
        <f>AB74/AB77-1</f>
        <v>-5.2631578947368474E-2</v>
      </c>
      <c r="AC83" s="119"/>
      <c r="AD83" s="174"/>
      <c r="AE83" s="174"/>
      <c r="AF83" s="174"/>
      <c r="AG83" s="178">
        <f>AG74/AG77-1</f>
        <v>-9.0090090090090058E-2</v>
      </c>
      <c r="AH83" s="178"/>
      <c r="AI83" s="174"/>
      <c r="AJ83" s="174"/>
      <c r="AK83" s="174"/>
      <c r="AL83" s="178">
        <f>AL74/AL77-1</f>
        <v>-6.4516129032258118E-2</v>
      </c>
      <c r="AM83" s="178"/>
      <c r="AN83" s="178"/>
      <c r="AO83" s="178"/>
      <c r="AP83" s="178"/>
    </row>
    <row r="84" spans="2:42">
      <c r="B84" s="148"/>
      <c r="C84" s="119"/>
      <c r="D84" s="119"/>
      <c r="E84" s="174"/>
      <c r="F84" s="174"/>
      <c r="G84" s="174"/>
      <c r="H84" s="174"/>
      <c r="I84" s="119"/>
      <c r="J84" s="174"/>
      <c r="K84" s="174"/>
      <c r="L84" s="174"/>
      <c r="M84" s="174"/>
      <c r="N84" s="119"/>
      <c r="O84" s="174"/>
      <c r="P84" s="174"/>
      <c r="Q84" s="174"/>
      <c r="R84" s="174"/>
      <c r="S84" s="119"/>
      <c r="T84" s="174"/>
      <c r="U84" s="174"/>
      <c r="V84" s="174"/>
      <c r="W84" s="174"/>
      <c r="X84" s="119"/>
      <c r="Y84" s="174"/>
      <c r="Z84" s="174"/>
      <c r="AA84" s="174"/>
      <c r="AB84" s="174"/>
      <c r="AC84" s="119"/>
      <c r="AD84" s="174"/>
      <c r="AE84" s="174"/>
      <c r="AF84" s="174"/>
      <c r="AG84" s="174"/>
      <c r="AH84" s="119"/>
      <c r="AI84" s="174"/>
      <c r="AJ84" s="174"/>
      <c r="AK84" s="174"/>
      <c r="AL84" s="174"/>
      <c r="AM84" s="119"/>
      <c r="AN84" s="119"/>
      <c r="AO84" s="119"/>
      <c r="AP84" s="119"/>
    </row>
    <row r="85" spans="2:42">
      <c r="B85" s="148"/>
      <c r="C85" s="119"/>
      <c r="D85" s="119"/>
      <c r="E85" s="174"/>
      <c r="F85" s="174"/>
      <c r="G85" s="174"/>
      <c r="H85" s="174"/>
      <c r="I85" s="119"/>
      <c r="J85" s="174"/>
      <c r="K85" s="174"/>
      <c r="L85" s="174"/>
      <c r="M85" s="174"/>
      <c r="N85" s="119"/>
      <c r="O85" s="174"/>
      <c r="P85" s="174"/>
      <c r="Q85" s="174"/>
      <c r="R85" s="174"/>
      <c r="S85" s="119"/>
      <c r="T85" s="174"/>
      <c r="U85" s="174"/>
      <c r="V85" s="174"/>
      <c r="W85" s="174"/>
      <c r="X85" s="119"/>
      <c r="Y85" s="174"/>
      <c r="Z85" s="174"/>
      <c r="AA85" s="174"/>
      <c r="AB85" s="174"/>
      <c r="AC85" s="119"/>
      <c r="AD85" s="174"/>
      <c r="AE85" s="174"/>
      <c r="AF85" s="174"/>
      <c r="AG85" s="174"/>
      <c r="AH85" s="119"/>
      <c r="AI85" s="174"/>
      <c r="AJ85" s="174"/>
      <c r="AK85" s="174"/>
      <c r="AL85" s="174"/>
      <c r="AM85" s="119"/>
      <c r="AN85" s="119"/>
      <c r="AO85" s="119"/>
      <c r="AP85" s="119"/>
    </row>
    <row r="86" spans="2:42">
      <c r="B86" s="148"/>
      <c r="C86" s="119" t="str">
        <f>TEXT(Forward_Year_1,"mm/dd/yyyy")&amp;" "&amp;C66</f>
        <v>12/31/2025 Peak Sales EV/rNPV</v>
      </c>
      <c r="D86" s="119"/>
      <c r="E86" s="174"/>
      <c r="F86" s="174"/>
      <c r="G86" s="174"/>
      <c r="H86" s="173">
        <f>+E66</f>
        <v>6.9227430688454756</v>
      </c>
      <c r="I86" s="119"/>
      <c r="J86" s="174"/>
      <c r="K86" s="174"/>
      <c r="L86" s="174"/>
      <c r="M86" s="173">
        <f>+J66</f>
        <v>24.39460815533981</v>
      </c>
      <c r="N86" s="119"/>
      <c r="O86" s="174"/>
      <c r="P86" s="174"/>
      <c r="Q86" s="174"/>
      <c r="R86" s="173">
        <f>+O66</f>
        <v>4.4872710497572825</v>
      </c>
      <c r="S86" s="119"/>
      <c r="T86" s="174"/>
      <c r="U86" s="174"/>
      <c r="V86" s="174"/>
      <c r="W86" s="173">
        <f>+T66</f>
        <v>12.598551480890892</v>
      </c>
      <c r="X86" s="119"/>
      <c r="Y86" s="174"/>
      <c r="Z86" s="174"/>
      <c r="AA86" s="174"/>
      <c r="AB86" s="173">
        <f>+Y66</f>
        <v>17.559567995482762</v>
      </c>
      <c r="AC86" s="119"/>
      <c r="AD86" s="174"/>
      <c r="AE86" s="174"/>
      <c r="AF86" s="174"/>
      <c r="AG86" s="173">
        <f>+AD66</f>
        <v>12.51593811877547</v>
      </c>
      <c r="AH86" s="173"/>
      <c r="AI86" s="174"/>
      <c r="AJ86" s="174"/>
      <c r="AK86" s="174"/>
      <c r="AL86" s="173">
        <f>+AI66</f>
        <v>65.659659419014091</v>
      </c>
      <c r="AM86" s="173"/>
      <c r="AN86" s="173"/>
      <c r="AO86" s="173"/>
      <c r="AP86" s="173"/>
    </row>
    <row r="87" spans="2:42">
      <c r="B87" s="148"/>
      <c r="C87" s="119" t="str">
        <f>TEXT(Forward_Year_1,"mm/dd/yyyy")&amp;" "&amp;C67</f>
        <v>12/31/2025 EV/R&amp;D</v>
      </c>
      <c r="D87" s="119"/>
      <c r="E87" s="174"/>
      <c r="F87" s="174"/>
      <c r="G87" s="174"/>
      <c r="H87" s="173">
        <f>+E67</f>
        <v>271.03488463551361</v>
      </c>
      <c r="I87" s="119"/>
      <c r="J87" s="174"/>
      <c r="K87" s="174"/>
      <c r="L87" s="174"/>
      <c r="M87" s="173">
        <f>+J67</f>
        <v>15.027778947368422</v>
      </c>
      <c r="N87" s="119"/>
      <c r="O87" s="174"/>
      <c r="P87" s="174"/>
      <c r="Q87" s="174"/>
      <c r="R87" s="173">
        <f>+O67</f>
        <v>2.8633219954648523</v>
      </c>
      <c r="S87" s="119"/>
      <c r="T87" s="174"/>
      <c r="U87" s="174"/>
      <c r="V87" s="174"/>
      <c r="W87" s="173">
        <f>+T67</f>
        <v>17.754362068965516</v>
      </c>
      <c r="X87" s="119"/>
      <c r="Y87" s="174"/>
      <c r="Z87" s="174"/>
      <c r="AA87" s="174"/>
      <c r="AB87" s="173">
        <f>+Y67</f>
        <v>99.695999999999998</v>
      </c>
      <c r="AC87" s="119"/>
      <c r="AD87" s="174"/>
      <c r="AE87" s="174"/>
      <c r="AF87" s="174"/>
      <c r="AG87" s="173">
        <f>+AD67</f>
        <v>29.236920792079207</v>
      </c>
      <c r="AH87" s="173"/>
      <c r="AI87" s="174"/>
      <c r="AJ87" s="174"/>
      <c r="AK87" s="174"/>
      <c r="AL87" s="173">
        <f>+AI67</f>
        <v>45.089735632183903</v>
      </c>
      <c r="AM87" s="173"/>
      <c r="AN87" s="173"/>
      <c r="AO87" s="173"/>
      <c r="AP87" s="173"/>
    </row>
    <row r="88" spans="2:42">
      <c r="B88" s="148"/>
      <c r="C88" s="119" t="str">
        <f>TEXT(Forward_Year_1,"mm/dd/yyyy")&amp;" "&amp;C68</f>
        <v>12/31/2025 Forward EV/Rev</v>
      </c>
      <c r="D88" s="119"/>
      <c r="E88" s="174"/>
      <c r="F88" s="174"/>
      <c r="G88" s="174"/>
      <c r="H88" s="173">
        <f>+E68</f>
        <v>4.1739372233869094</v>
      </c>
      <c r="I88" s="119"/>
      <c r="J88" s="174"/>
      <c r="K88" s="174"/>
      <c r="L88" s="174"/>
      <c r="M88" s="173">
        <f>+J68</f>
        <v>2.7083500118567705</v>
      </c>
      <c r="N88" s="119"/>
      <c r="O88" s="174"/>
      <c r="P88" s="174"/>
      <c r="Q88" s="174"/>
      <c r="R88" s="173">
        <f>+O68</f>
        <v>1.5050357568533967</v>
      </c>
      <c r="S88" s="119"/>
      <c r="T88" s="174"/>
      <c r="U88" s="174"/>
      <c r="V88" s="174"/>
      <c r="W88" s="173">
        <f>+T68</f>
        <v>2.9761647398843927</v>
      </c>
      <c r="X88" s="119"/>
      <c r="Y88" s="174"/>
      <c r="Z88" s="174"/>
      <c r="AA88" s="174"/>
      <c r="AB88" s="173">
        <f>+Y68</f>
        <v>3.1931103202846973</v>
      </c>
      <c r="AC88" s="119"/>
      <c r="AD88" s="174"/>
      <c r="AE88" s="174"/>
      <c r="AF88" s="174"/>
      <c r="AG88" s="173">
        <f>+AD68</f>
        <v>9.5102383252818044</v>
      </c>
      <c r="AH88" s="173"/>
      <c r="AI88" s="174"/>
      <c r="AJ88" s="174"/>
      <c r="AK88" s="174"/>
      <c r="AL88" s="173">
        <f>+AI68</f>
        <v>3.6627516339869279</v>
      </c>
      <c r="AM88" s="173"/>
      <c r="AN88" s="173"/>
      <c r="AO88" s="173"/>
      <c r="AP88" s="173"/>
    </row>
    <row r="89" spans="2:42">
      <c r="B89" s="148"/>
      <c r="C89" s="119"/>
      <c r="D89" s="119"/>
      <c r="E89" s="174"/>
      <c r="F89" s="174"/>
      <c r="G89" s="174"/>
      <c r="H89" s="174"/>
      <c r="I89" s="119"/>
      <c r="J89" s="174"/>
      <c r="K89" s="174"/>
      <c r="L89" s="174"/>
      <c r="M89" s="174"/>
      <c r="N89" s="119"/>
      <c r="O89" s="174"/>
      <c r="P89" s="174"/>
      <c r="Q89" s="174"/>
      <c r="R89" s="174"/>
      <c r="S89" s="119"/>
      <c r="T89" s="174"/>
      <c r="U89" s="174"/>
      <c r="V89" s="174"/>
      <c r="W89" s="174"/>
      <c r="X89" s="119"/>
      <c r="Y89" s="174"/>
      <c r="Z89" s="174"/>
      <c r="AA89" s="174"/>
      <c r="AB89" s="174"/>
      <c r="AC89" s="119"/>
      <c r="AD89" s="174"/>
      <c r="AE89" s="174"/>
      <c r="AF89" s="174"/>
      <c r="AG89" s="174"/>
      <c r="AH89" s="119"/>
      <c r="AI89" s="174"/>
      <c r="AJ89" s="174"/>
      <c r="AK89" s="174"/>
      <c r="AL89" s="174"/>
      <c r="AM89" s="119"/>
      <c r="AN89" s="119"/>
      <c r="AO89" s="119"/>
      <c r="AP89" s="119"/>
    </row>
    <row r="90" spans="2:42">
      <c r="B90" s="148"/>
      <c r="C90" s="119" t="str">
        <f>TEXT(Forward_Year_2,"yyyy-mm-dd")&amp;" "&amp;C66</f>
        <v>2026-12-31 Peak Sales EV/rNPV</v>
      </c>
      <c r="D90" s="119"/>
      <c r="E90" s="174"/>
      <c r="F90" s="174"/>
      <c r="G90" s="174"/>
      <c r="H90" s="173">
        <f>+F66</f>
        <v>0</v>
      </c>
      <c r="I90" s="119"/>
      <c r="J90" s="174"/>
      <c r="K90" s="174"/>
      <c r="L90" s="174"/>
      <c r="M90" s="173">
        <f>+K66</f>
        <v>0</v>
      </c>
      <c r="N90" s="119"/>
      <c r="O90" s="174"/>
      <c r="P90" s="174"/>
      <c r="Q90" s="174"/>
      <c r="R90" s="173">
        <f>+P66</f>
        <v>0</v>
      </c>
      <c r="S90" s="119"/>
      <c r="T90" s="174"/>
      <c r="U90" s="174"/>
      <c r="V90" s="174"/>
      <c r="W90" s="173">
        <f>+U66</f>
        <v>0</v>
      </c>
      <c r="X90" s="119"/>
      <c r="Y90" s="174"/>
      <c r="Z90" s="174"/>
      <c r="AA90" s="174"/>
      <c r="AB90" s="173">
        <f>+Z66</f>
        <v>0</v>
      </c>
      <c r="AC90" s="119"/>
      <c r="AD90" s="174"/>
      <c r="AE90" s="174"/>
      <c r="AF90" s="174"/>
      <c r="AG90" s="173">
        <f>+AE66</f>
        <v>0</v>
      </c>
      <c r="AH90" s="173"/>
      <c r="AI90" s="174"/>
      <c r="AJ90" s="174"/>
      <c r="AK90" s="174"/>
      <c r="AL90" s="173">
        <f>+AJ66</f>
        <v>0</v>
      </c>
      <c r="AM90" s="173"/>
      <c r="AN90" s="173"/>
      <c r="AO90" s="173"/>
      <c r="AP90" s="173"/>
    </row>
    <row r="91" spans="2:42">
      <c r="B91" s="148"/>
      <c r="C91" s="119" t="str">
        <f>TEXT(Forward_Year_2,"yyyy-mm-dd")&amp;" "&amp;C67</f>
        <v>2026-12-31 EV/R&amp;D</v>
      </c>
      <c r="D91" s="119"/>
      <c r="E91" s="174"/>
      <c r="F91" s="174"/>
      <c r="G91" s="174"/>
      <c r="H91" s="173">
        <f>+F67</f>
        <v>262.31380237474292</v>
      </c>
      <c r="I91" s="119"/>
      <c r="J91" s="174"/>
      <c r="K91" s="174"/>
      <c r="L91" s="174"/>
      <c r="M91" s="173">
        <f>+K67</f>
        <v>13.74381708784597</v>
      </c>
      <c r="N91" s="119"/>
      <c r="O91" s="174"/>
      <c r="P91" s="174"/>
      <c r="Q91" s="174"/>
      <c r="R91" s="173">
        <f>+P67</f>
        <v>2.5204091816367264</v>
      </c>
      <c r="S91" s="119"/>
      <c r="T91" s="174"/>
      <c r="U91" s="174"/>
      <c r="V91" s="174"/>
      <c r="W91" s="173">
        <f>+U67</f>
        <v>15.965162790697674</v>
      </c>
      <c r="X91" s="119"/>
      <c r="Y91" s="174"/>
      <c r="Z91" s="174"/>
      <c r="AA91" s="174"/>
      <c r="AB91" s="173">
        <f>+Z67</f>
        <v>94.448842105263154</v>
      </c>
      <c r="AC91" s="119"/>
      <c r="AD91" s="174"/>
      <c r="AE91" s="174"/>
      <c r="AF91" s="174"/>
      <c r="AG91" s="173">
        <f>+AE67</f>
        <v>26.602963963963965</v>
      </c>
      <c r="AH91" s="173"/>
      <c r="AI91" s="174"/>
      <c r="AJ91" s="174"/>
      <c r="AK91" s="174"/>
      <c r="AL91" s="173">
        <f>+AJ67</f>
        <v>42.180720430107527</v>
      </c>
      <c r="AM91" s="173"/>
      <c r="AN91" s="173"/>
      <c r="AO91" s="173"/>
      <c r="AP91" s="173"/>
    </row>
    <row r="92" spans="2:42">
      <c r="B92" s="148"/>
      <c r="C92" s="119" t="str">
        <f>TEXT(Forward_Year_2,"yyyy-mm-dd")&amp;" "&amp;C68</f>
        <v>2026-12-31 Forward EV/Rev</v>
      </c>
      <c r="D92" s="119"/>
      <c r="E92" s="174"/>
      <c r="F92" s="174"/>
      <c r="G92" s="174"/>
      <c r="H92" s="173">
        <f>+F68</f>
        <v>3.0690714877844916</v>
      </c>
      <c r="I92" s="119"/>
      <c r="J92" s="174"/>
      <c r="K92" s="174"/>
      <c r="L92" s="174"/>
      <c r="M92" s="173">
        <f>+K68</f>
        <v>2.5516336014298484</v>
      </c>
      <c r="N92" s="119"/>
      <c r="O92" s="174"/>
      <c r="P92" s="174"/>
      <c r="Q92" s="174"/>
      <c r="R92" s="173">
        <f>+P68</f>
        <v>1.2819543147208121</v>
      </c>
      <c r="S92" s="119"/>
      <c r="T92" s="174"/>
      <c r="U92" s="174"/>
      <c r="V92" s="174"/>
      <c r="W92" s="173">
        <f>+U68</f>
        <v>2.4753677884615382</v>
      </c>
      <c r="X92" s="119"/>
      <c r="Y92" s="174"/>
      <c r="Z92" s="174"/>
      <c r="AA92" s="174"/>
      <c r="AB92" s="173">
        <f>+Z68</f>
        <v>2.9515263157894736</v>
      </c>
      <c r="AC92" s="119"/>
      <c r="AD92" s="174"/>
      <c r="AE92" s="174"/>
      <c r="AF92" s="174"/>
      <c r="AG92" s="173">
        <f>+AE68</f>
        <v>6.1137246376811598</v>
      </c>
      <c r="AH92" s="173"/>
      <c r="AI92" s="174"/>
      <c r="AJ92" s="174"/>
      <c r="AK92" s="174"/>
      <c r="AL92" s="173">
        <f>+AJ68</f>
        <v>3.2744632721202001</v>
      </c>
      <c r="AM92" s="173"/>
      <c r="AN92" s="173"/>
      <c r="AO92" s="173"/>
      <c r="AP92" s="173"/>
    </row>
    <row r="93" spans="2:42">
      <c r="B93" s="148"/>
      <c r="C93" s="119"/>
      <c r="D93" s="119"/>
      <c r="E93" s="174"/>
      <c r="F93" s="174"/>
      <c r="G93" s="174"/>
      <c r="H93" s="174"/>
      <c r="I93" s="119"/>
      <c r="J93" s="174"/>
      <c r="K93" s="174"/>
      <c r="L93" s="174"/>
      <c r="M93" s="174"/>
      <c r="N93" s="119"/>
      <c r="O93" s="174"/>
      <c r="P93" s="174"/>
      <c r="Q93" s="174"/>
      <c r="R93" s="174"/>
      <c r="S93" s="119"/>
      <c r="T93" s="174"/>
      <c r="U93" s="174"/>
      <c r="V93" s="174"/>
      <c r="W93" s="174"/>
      <c r="X93" s="119"/>
      <c r="Y93" s="174"/>
      <c r="Z93" s="174"/>
      <c r="AA93" s="174"/>
      <c r="AB93" s="174"/>
      <c r="AC93" s="119"/>
      <c r="AD93" s="174"/>
      <c r="AE93" s="174"/>
      <c r="AF93" s="174"/>
      <c r="AG93" s="174"/>
      <c r="AH93" s="119"/>
      <c r="AI93" s="174"/>
      <c r="AJ93" s="174"/>
      <c r="AK93" s="174"/>
      <c r="AL93" s="174"/>
      <c r="AM93" s="119"/>
      <c r="AN93" s="119"/>
      <c r="AO93" s="119"/>
      <c r="AP93" s="119"/>
    </row>
    <row r="94" spans="2:42">
      <c r="B94" s="148"/>
      <c r="C94" s="119" t="str">
        <f>TEXT(Forward_Year_3,"yyyy-mm-dd")&amp;" "&amp;C66</f>
        <v>2027-12-31 Peak Sales EV/rNPV</v>
      </c>
      <c r="D94" s="119"/>
      <c r="E94" s="174"/>
      <c r="F94" s="174"/>
      <c r="G94" s="174"/>
      <c r="H94" s="173">
        <f>+G66</f>
        <v>0</v>
      </c>
      <c r="I94" s="119"/>
      <c r="J94" s="174"/>
      <c r="K94" s="174"/>
      <c r="L94" s="174"/>
      <c r="M94" s="173">
        <f>+L66</f>
        <v>0</v>
      </c>
      <c r="N94" s="119"/>
      <c r="O94" s="174"/>
      <c r="P94" s="174"/>
      <c r="Q94" s="174"/>
      <c r="R94" s="173">
        <f>+Q66</f>
        <v>0</v>
      </c>
      <c r="S94" s="119"/>
      <c r="T94" s="174"/>
      <c r="U94" s="174"/>
      <c r="V94" s="174"/>
      <c r="W94" s="173">
        <f>+V66</f>
        <v>0</v>
      </c>
      <c r="X94" s="119"/>
      <c r="Y94" s="174"/>
      <c r="Z94" s="174"/>
      <c r="AA94" s="174"/>
      <c r="AB94" s="173">
        <f>+AA66</f>
        <v>0</v>
      </c>
      <c r="AC94" s="119"/>
      <c r="AD94" s="174"/>
      <c r="AE94" s="174"/>
      <c r="AF94" s="174"/>
      <c r="AG94" s="173">
        <f>+AF66</f>
        <v>0</v>
      </c>
      <c r="AH94" s="173"/>
      <c r="AI94" s="174"/>
      <c r="AJ94" s="174"/>
      <c r="AK94" s="174"/>
      <c r="AL94" s="173">
        <f>+AK66</f>
        <v>0</v>
      </c>
      <c r="AM94" s="173"/>
      <c r="AN94" s="173"/>
      <c r="AO94" s="173"/>
      <c r="AP94" s="173"/>
    </row>
    <row r="95" spans="2:42">
      <c r="B95" s="148"/>
      <c r="C95" s="119" t="str">
        <f>TEXT(Forward_Year_3,"yyyy-mm-dd")&amp;" "&amp;C67</f>
        <v>2027-12-31 EV/R&amp;D</v>
      </c>
      <c r="D95" s="119"/>
      <c r="E95" s="174"/>
      <c r="F95" s="174"/>
      <c r="G95" s="174"/>
      <c r="H95" s="173">
        <f>+G67</f>
        <v>269.21230937603264</v>
      </c>
      <c r="I95" s="119"/>
      <c r="J95" s="174"/>
      <c r="K95" s="174"/>
      <c r="L95" s="174"/>
      <c r="M95" s="173">
        <f>+L67</f>
        <v>13.008100227790434</v>
      </c>
      <c r="N95" s="119"/>
      <c r="O95" s="174"/>
      <c r="P95" s="174"/>
      <c r="Q95" s="174"/>
      <c r="R95" s="173">
        <f>+Q67</f>
        <v>2.2309628975265015</v>
      </c>
      <c r="S95" s="119"/>
      <c r="T95" s="174"/>
      <c r="U95" s="174"/>
      <c r="V95" s="174"/>
      <c r="W95" s="173">
        <f>+V67</f>
        <v>15.60231818181818</v>
      </c>
      <c r="X95" s="119"/>
      <c r="Y95" s="174"/>
      <c r="Z95" s="174"/>
      <c r="AA95" s="174"/>
      <c r="AB95" s="173">
        <f>+AA67</f>
        <v>85.453714285714284</v>
      </c>
      <c r="AC95" s="119"/>
      <c r="AD95" s="174"/>
      <c r="AE95" s="174"/>
      <c r="AF95" s="174"/>
      <c r="AG95" s="173">
        <f>+AF67</f>
        <v>26.016995594713656</v>
      </c>
      <c r="AH95" s="173"/>
      <c r="AI95" s="174"/>
      <c r="AJ95" s="174"/>
      <c r="AK95" s="174"/>
      <c r="AL95" s="173">
        <f>+AK67</f>
        <v>42.639206521739126</v>
      </c>
      <c r="AM95" s="173"/>
      <c r="AN95" s="173"/>
      <c r="AO95" s="173"/>
      <c r="AP95" s="173"/>
    </row>
    <row r="96" spans="2:42">
      <c r="B96" s="148"/>
      <c r="C96" s="119" t="str">
        <f>TEXT(Forward_Year_3,"yyyy-mm-dd")&amp;" "&amp;C68</f>
        <v>2027-12-31 Forward EV/Rev</v>
      </c>
      <c r="D96" s="119"/>
      <c r="E96" s="174"/>
      <c r="F96" s="174"/>
      <c r="G96" s="174"/>
      <c r="H96" s="173">
        <f>+G68</f>
        <v>2.1536984750082615</v>
      </c>
      <c r="I96" s="119"/>
      <c r="J96" s="174"/>
      <c r="K96" s="174"/>
      <c r="L96" s="174"/>
      <c r="M96" s="173">
        <f>+L68</f>
        <v>2.4721021645021648</v>
      </c>
      <c r="N96" s="119"/>
      <c r="O96" s="174"/>
      <c r="P96" s="174"/>
      <c r="Q96" s="174"/>
      <c r="R96" s="173">
        <f>+Q68</f>
        <v>1.114496910856134</v>
      </c>
      <c r="S96" s="119"/>
      <c r="T96" s="174"/>
      <c r="U96" s="174"/>
      <c r="V96" s="174"/>
      <c r="W96" s="173">
        <f>+V68</f>
        <v>2.1101495901639344</v>
      </c>
      <c r="X96" s="119"/>
      <c r="Y96" s="174"/>
      <c r="Z96" s="174"/>
      <c r="AA96" s="174"/>
      <c r="AB96" s="173">
        <f>+AA68</f>
        <v>2.6625044510385756</v>
      </c>
      <c r="AC96" s="119"/>
      <c r="AD96" s="174"/>
      <c r="AE96" s="174"/>
      <c r="AF96" s="174"/>
      <c r="AG96" s="173">
        <f>+AF68</f>
        <v>3.8176199095022625</v>
      </c>
      <c r="AH96" s="173"/>
      <c r="AI96" s="174"/>
      <c r="AJ96" s="174"/>
      <c r="AK96" s="174"/>
      <c r="AL96" s="173">
        <f>+AK68</f>
        <v>2.8950605166051657</v>
      </c>
      <c r="AM96" s="173"/>
      <c r="AN96" s="173"/>
      <c r="AO96" s="173"/>
      <c r="AP96" s="173"/>
    </row>
    <row r="97" spans="2:42">
      <c r="B97" s="148"/>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row>
    <row r="98" spans="2:42">
      <c r="B98" s="148"/>
      <c r="C98" s="179" t="s">
        <v>173</v>
      </c>
      <c r="D98" s="119"/>
      <c r="E98" s="594" t="s">
        <v>283</v>
      </c>
      <c r="F98" s="119"/>
      <c r="G98" s="119"/>
      <c r="H98" s="181"/>
      <c r="I98" s="119"/>
      <c r="J98" s="594" t="s">
        <v>438</v>
      </c>
      <c r="K98" s="119"/>
      <c r="L98" s="119"/>
      <c r="M98" s="181"/>
      <c r="N98" s="119"/>
      <c r="O98" s="594" t="s">
        <v>440</v>
      </c>
      <c r="P98" s="119"/>
      <c r="Q98" s="119"/>
      <c r="R98" s="181"/>
      <c r="S98" s="119"/>
      <c r="T98" s="594" t="s">
        <v>439</v>
      </c>
      <c r="U98" s="119"/>
      <c r="V98" s="119"/>
      <c r="W98" s="181"/>
      <c r="X98" s="119"/>
      <c r="Y98" s="594" t="s">
        <v>441</v>
      </c>
      <c r="Z98" s="119"/>
      <c r="AA98" s="119"/>
      <c r="AB98" s="181"/>
      <c r="AC98" s="119"/>
      <c r="AD98" s="594" t="s">
        <v>442</v>
      </c>
      <c r="AE98" s="119"/>
      <c r="AF98" s="119"/>
      <c r="AG98" s="181"/>
      <c r="AH98" s="182"/>
      <c r="AI98" s="594" t="s">
        <v>443</v>
      </c>
      <c r="AJ98" s="119"/>
      <c r="AK98" s="119"/>
      <c r="AL98" s="181"/>
      <c r="AM98" s="182"/>
      <c r="AN98" s="182"/>
      <c r="AO98" s="182"/>
      <c r="AP98" s="182"/>
    </row>
  </sheetData>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06361-B377-4328-8DE9-DB532ECCEFC5}">
  <dimension ref="B2:R27"/>
  <sheetViews>
    <sheetView showGridLines="0" zoomScale="70" zoomScaleNormal="70" workbookViewId="0">
      <selection activeCell="H21" sqref="H21"/>
    </sheetView>
  </sheetViews>
  <sheetFormatPr defaultRowHeight="14.5"/>
  <cols>
    <col min="2" max="2" width="33.7265625" customWidth="1"/>
    <col min="3" max="3" width="44" customWidth="1"/>
    <col min="4" max="4" width="12.26953125" bestFit="1" customWidth="1"/>
    <col min="5" max="5" width="15.453125" bestFit="1" customWidth="1"/>
    <col min="6" max="7" width="14.26953125" bestFit="1" customWidth="1"/>
    <col min="8" max="8" width="9.7265625" bestFit="1" customWidth="1"/>
    <col min="9" max="9" width="7.7265625" bestFit="1" customWidth="1"/>
    <col min="10" max="11" width="10" bestFit="1" customWidth="1"/>
    <col min="12" max="12" width="10.54296875" bestFit="1" customWidth="1"/>
    <col min="13" max="13" width="10" bestFit="1" customWidth="1"/>
    <col min="14" max="15" width="8.81640625" bestFit="1" customWidth="1"/>
    <col min="16" max="16" width="8.54296875" bestFit="1" customWidth="1"/>
  </cols>
  <sheetData>
    <row r="2" spans="2:18" ht="18.5">
      <c r="B2" s="194" t="s">
        <v>485</v>
      </c>
      <c r="C2" s="195"/>
      <c r="D2" s="195"/>
      <c r="E2" s="196"/>
      <c r="F2" s="196"/>
      <c r="G2" s="196"/>
      <c r="H2" s="196"/>
      <c r="I2" s="196"/>
      <c r="J2" s="196"/>
      <c r="K2" s="196"/>
      <c r="L2" s="196"/>
      <c r="M2" s="196"/>
      <c r="N2" s="196"/>
      <c r="O2" s="196"/>
      <c r="P2" s="196"/>
    </row>
    <row r="3" spans="2:18" ht="18.5">
      <c r="B3" s="194" t="s">
        <v>486</v>
      </c>
      <c r="C3" s="195"/>
      <c r="D3" s="195"/>
      <c r="E3" s="196"/>
      <c r="F3" s="196"/>
      <c r="G3" s="196"/>
      <c r="H3" s="196"/>
      <c r="I3" s="196"/>
      <c r="J3" s="196"/>
      <c r="K3" s="196"/>
      <c r="L3" s="196"/>
      <c r="M3" s="196"/>
      <c r="N3" s="196"/>
      <c r="O3" s="196"/>
      <c r="P3" s="196"/>
    </row>
    <row r="4" spans="2:18" ht="16">
      <c r="B4" s="197" t="s">
        <v>452</v>
      </c>
      <c r="C4" s="196"/>
      <c r="D4" s="196"/>
      <c r="E4" s="196"/>
      <c r="F4" s="196"/>
      <c r="G4" s="196"/>
      <c r="H4" s="196"/>
      <c r="I4" s="196"/>
      <c r="J4" s="196"/>
      <c r="K4" s="196"/>
      <c r="L4" s="196"/>
      <c r="M4" s="196"/>
      <c r="N4" s="196"/>
      <c r="O4" s="196"/>
      <c r="P4" s="196"/>
    </row>
    <row r="5" spans="2:18" ht="16">
      <c r="B5" s="196"/>
      <c r="C5" s="196"/>
      <c r="D5" s="196"/>
      <c r="E5" s="196"/>
      <c r="F5" s="198"/>
      <c r="G5" s="196"/>
      <c r="H5" s="196"/>
      <c r="I5" s="196"/>
      <c r="J5" s="196"/>
      <c r="K5" s="196"/>
      <c r="L5" s="196"/>
      <c r="M5" s="196"/>
      <c r="N5" s="196"/>
      <c r="O5" s="196"/>
      <c r="P5" s="196"/>
    </row>
    <row r="6" spans="2:18" ht="16">
      <c r="B6" s="199" t="str">
        <f>Company_Name&amp;" - Comparable M&amp;A Transactions"</f>
        <v>Avadel Pharmaceuticals, PLC - Comparable M&amp;A Transactions</v>
      </c>
      <c r="C6" s="199"/>
      <c r="D6" s="199"/>
      <c r="E6" s="200"/>
      <c r="F6" s="201" t="s">
        <v>197</v>
      </c>
      <c r="G6" s="202"/>
      <c r="H6" s="201" t="s">
        <v>198</v>
      </c>
      <c r="I6" s="201"/>
      <c r="J6" s="203"/>
      <c r="K6" s="201" t="s">
        <v>199</v>
      </c>
      <c r="L6" s="201"/>
      <c r="M6" s="201"/>
      <c r="N6" s="201" t="s">
        <v>200</v>
      </c>
      <c r="O6" s="201"/>
      <c r="P6" s="201"/>
      <c r="Q6" s="633"/>
    </row>
    <row r="7" spans="2:18" ht="16">
      <c r="B7" s="199"/>
      <c r="C7" s="199"/>
      <c r="D7" s="199"/>
      <c r="E7" s="200" t="s">
        <v>201</v>
      </c>
      <c r="F7" s="201"/>
      <c r="G7" s="202"/>
      <c r="H7" s="200" t="s">
        <v>202</v>
      </c>
      <c r="I7" s="200" t="s">
        <v>202</v>
      </c>
      <c r="J7" s="200"/>
      <c r="K7" s="201"/>
      <c r="L7" s="201"/>
      <c r="M7" s="201"/>
      <c r="N7" s="200"/>
      <c r="O7" s="200"/>
      <c r="P7" s="200"/>
      <c r="Q7" s="633"/>
    </row>
    <row r="8" spans="2:18" ht="16">
      <c r="B8" s="204"/>
      <c r="C8" s="204"/>
      <c r="D8" s="200"/>
      <c r="E8" s="200" t="s">
        <v>203</v>
      </c>
      <c r="F8" s="200" t="s">
        <v>143</v>
      </c>
      <c r="G8" s="200" t="s">
        <v>453</v>
      </c>
      <c r="H8" s="200" t="s">
        <v>143</v>
      </c>
      <c r="I8" s="200" t="s">
        <v>453</v>
      </c>
      <c r="J8" s="200" t="s">
        <v>204</v>
      </c>
      <c r="K8" s="200" t="s">
        <v>205</v>
      </c>
      <c r="L8" s="200" t="s">
        <v>206</v>
      </c>
      <c r="M8" s="200" t="s">
        <v>207</v>
      </c>
      <c r="N8" s="200" t="s">
        <v>205</v>
      </c>
      <c r="O8" s="200" t="s">
        <v>206</v>
      </c>
      <c r="P8" s="200" t="s">
        <v>207</v>
      </c>
      <c r="Q8" s="634"/>
    </row>
    <row r="9" spans="2:18" ht="16">
      <c r="B9" s="205" t="s">
        <v>208</v>
      </c>
      <c r="C9" s="205" t="s">
        <v>209</v>
      </c>
      <c r="D9" s="205" t="s">
        <v>210</v>
      </c>
      <c r="E9" s="205" t="s">
        <v>211</v>
      </c>
      <c r="F9" s="205" t="s">
        <v>212</v>
      </c>
      <c r="G9" s="205" t="s">
        <v>454</v>
      </c>
      <c r="H9" s="205" t="s">
        <v>212</v>
      </c>
      <c r="I9" s="205" t="s">
        <v>454</v>
      </c>
      <c r="J9" s="205" t="s">
        <v>213</v>
      </c>
      <c r="K9" s="205" t="s">
        <v>214</v>
      </c>
      <c r="L9" s="205" t="s">
        <v>214</v>
      </c>
      <c r="M9" s="205" t="s">
        <v>214</v>
      </c>
      <c r="N9" s="205" t="s">
        <v>214</v>
      </c>
      <c r="O9" s="205" t="s">
        <v>214</v>
      </c>
      <c r="P9" s="205" t="s">
        <v>214</v>
      </c>
      <c r="Q9" s="634"/>
    </row>
    <row r="10" spans="2:18" ht="16">
      <c r="B10" s="206"/>
      <c r="C10" s="207"/>
      <c r="D10" s="208"/>
      <c r="E10" s="209"/>
      <c r="F10" s="210"/>
      <c r="G10" s="210"/>
      <c r="H10" s="211"/>
      <c r="I10" s="211"/>
      <c r="J10" s="212"/>
      <c r="K10" s="212"/>
      <c r="L10" s="212"/>
      <c r="M10" s="212"/>
      <c r="N10" s="213"/>
      <c r="O10" s="213"/>
      <c r="P10" s="213"/>
    </row>
    <row r="11" spans="2:18" ht="16">
      <c r="B11" s="206" t="s">
        <v>464</v>
      </c>
      <c r="C11" s="206" t="s">
        <v>465</v>
      </c>
      <c r="D11" s="208">
        <v>44480</v>
      </c>
      <c r="E11" s="215">
        <v>503.23</v>
      </c>
      <c r="F11" s="210">
        <v>88.19</v>
      </c>
      <c r="G11" s="215">
        <v>285</v>
      </c>
      <c r="H11" s="211">
        <f t="shared" ref="H11:H16" si="0">IFERROR(IF(OR(+$E11/F11&lt;0,+$E11/F11&gt;=100),"NM",+$E11/F11),"N/A")</f>
        <v>5.7062025172922102</v>
      </c>
      <c r="I11" s="211">
        <f>E11/G11</f>
        <v>1.765719298245614</v>
      </c>
      <c r="J11" s="212">
        <v>8.1</v>
      </c>
      <c r="K11" s="212">
        <v>4.6100000000000003</v>
      </c>
      <c r="L11" s="212">
        <v>4.6399999999999997</v>
      </c>
      <c r="M11" s="212">
        <v>4.55</v>
      </c>
      <c r="N11" s="213">
        <f t="shared" ref="N11:P11" si="1">IFERROR($J11/K11-1,"N/A")</f>
        <v>0.75704989154013003</v>
      </c>
      <c r="O11" s="213">
        <f t="shared" si="1"/>
        <v>0.74568965517241392</v>
      </c>
      <c r="P11" s="213">
        <f t="shared" si="1"/>
        <v>0.78021978021978011</v>
      </c>
    </row>
    <row r="12" spans="2:18" ht="16">
      <c r="B12" s="214" t="s">
        <v>466</v>
      </c>
      <c r="C12" s="214" t="s">
        <v>467</v>
      </c>
      <c r="D12" s="208">
        <v>44580</v>
      </c>
      <c r="E12" s="215">
        <v>1578.53</v>
      </c>
      <c r="F12" s="210">
        <v>81.69</v>
      </c>
      <c r="G12" s="215">
        <v>800</v>
      </c>
      <c r="H12" s="211">
        <f t="shared" si="0"/>
        <v>19.323417798996207</v>
      </c>
      <c r="I12" s="211">
        <f t="shared" ref="I12:I16" si="2">E12/G12</f>
        <v>1.9731624999999999</v>
      </c>
      <c r="J12" s="212">
        <v>28</v>
      </c>
      <c r="K12" s="212">
        <v>15.64</v>
      </c>
      <c r="L12" s="212">
        <v>15.55</v>
      </c>
      <c r="M12" s="212">
        <v>14.93</v>
      </c>
      <c r="N12" s="213">
        <f t="shared" ref="N12" si="3">IFERROR($J12/K12-1,"N/A")</f>
        <v>0.7902813299232736</v>
      </c>
      <c r="O12" s="213">
        <f t="shared" ref="O12" si="4">IFERROR($J12/L12-1,"N/A")</f>
        <v>0.80064308681672025</v>
      </c>
      <c r="P12" s="213">
        <f t="shared" ref="P12" si="5">IFERROR($J12/M12-1,"N/A")</f>
        <v>0.87541862022772943</v>
      </c>
      <c r="R12" s="589"/>
    </row>
    <row r="13" spans="2:18" ht="16">
      <c r="B13" s="197" t="s">
        <v>468</v>
      </c>
      <c r="C13" s="214" t="s">
        <v>469</v>
      </c>
      <c r="D13" s="208">
        <v>44230</v>
      </c>
      <c r="E13" s="215">
        <v>6784.31</v>
      </c>
      <c r="F13" s="215">
        <v>527.21</v>
      </c>
      <c r="G13" s="215">
        <v>1300</v>
      </c>
      <c r="H13" s="211">
        <f t="shared" si="0"/>
        <v>12.868325714610876</v>
      </c>
      <c r="I13" s="211">
        <f t="shared" si="2"/>
        <v>5.2187000000000001</v>
      </c>
      <c r="J13" s="212">
        <v>220</v>
      </c>
      <c r="K13" s="212">
        <v>146.25</v>
      </c>
      <c r="L13" s="212">
        <v>158.47</v>
      </c>
      <c r="M13" s="212">
        <v>115.21</v>
      </c>
      <c r="N13" s="213">
        <f t="shared" ref="N13:P16" si="6">IFERROR($J13/K13-1,"N/A")</f>
        <v>0.50427350427350426</v>
      </c>
      <c r="O13" s="213">
        <f t="shared" si="6"/>
        <v>0.38827538335331613</v>
      </c>
      <c r="P13" s="213">
        <f t="shared" si="6"/>
        <v>0.90955646211266394</v>
      </c>
      <c r="R13" s="589"/>
    </row>
    <row r="14" spans="2:18" ht="16">
      <c r="B14" s="214" t="s">
        <v>196</v>
      </c>
      <c r="C14" s="214" t="s">
        <v>470</v>
      </c>
      <c r="D14" s="208">
        <v>45135</v>
      </c>
      <c r="E14" s="215">
        <v>7500.62</v>
      </c>
      <c r="F14" s="215">
        <v>23.48</v>
      </c>
      <c r="G14" s="215">
        <v>2200</v>
      </c>
      <c r="H14" s="211">
        <f>IFERROR(IF(OR(+$E14/F14,+$E14/F14),+$E14/F14),"N/A")</f>
        <v>319.44718909710389</v>
      </c>
      <c r="I14" s="211">
        <f t="shared" si="2"/>
        <v>3.4093727272727272</v>
      </c>
      <c r="J14" s="212">
        <v>172.5</v>
      </c>
      <c r="K14" s="212">
        <v>108.55</v>
      </c>
      <c r="L14" s="212">
        <v>110.86</v>
      </c>
      <c r="M14" s="212">
        <v>98.83</v>
      </c>
      <c r="N14" s="213">
        <f t="shared" si="6"/>
        <v>0.58912943344081081</v>
      </c>
      <c r="O14" s="213">
        <f t="shared" si="6"/>
        <v>0.55601659751037347</v>
      </c>
      <c r="P14" s="213">
        <f t="shared" si="6"/>
        <v>0.74542143073965406</v>
      </c>
      <c r="R14" s="589"/>
    </row>
    <row r="15" spans="2:18" ht="16">
      <c r="B15" s="214" t="s">
        <v>455</v>
      </c>
      <c r="C15" s="214" t="s">
        <v>471</v>
      </c>
      <c r="D15" s="208">
        <v>44691</v>
      </c>
      <c r="E15" s="215">
        <v>12269.2</v>
      </c>
      <c r="F15" s="215">
        <v>737.54</v>
      </c>
      <c r="G15" s="215">
        <v>6000</v>
      </c>
      <c r="H15" s="211">
        <f>$E15/F15</f>
        <v>16.635301136209563</v>
      </c>
      <c r="I15" s="211">
        <f t="shared" si="2"/>
        <v>2.0448666666666666</v>
      </c>
      <c r="J15" s="212">
        <v>148.5</v>
      </c>
      <c r="K15" s="212">
        <v>83.14</v>
      </c>
      <c r="L15" s="212">
        <v>90.1</v>
      </c>
      <c r="M15" s="212">
        <v>118.48</v>
      </c>
      <c r="N15" s="213">
        <f t="shared" si="6"/>
        <v>0.78614385374067841</v>
      </c>
      <c r="O15" s="213">
        <f t="shared" si="6"/>
        <v>0.64816870144284144</v>
      </c>
      <c r="P15" s="213">
        <f t="shared" si="6"/>
        <v>0.25337609723160015</v>
      </c>
      <c r="R15" s="589"/>
    </row>
    <row r="16" spans="2:18" ht="16">
      <c r="B16" s="214" t="s">
        <v>456</v>
      </c>
      <c r="C16" s="214" t="s">
        <v>457</v>
      </c>
      <c r="D16" s="208">
        <v>44783</v>
      </c>
      <c r="E16" s="215">
        <v>1200</v>
      </c>
      <c r="F16" s="215">
        <v>75.77</v>
      </c>
      <c r="G16" s="215">
        <v>235</v>
      </c>
      <c r="H16" s="211">
        <f t="shared" si="0"/>
        <v>15.837402665962783</v>
      </c>
      <c r="I16" s="211">
        <f t="shared" si="2"/>
        <v>5.1063829787234045</v>
      </c>
      <c r="J16" s="212">
        <v>9.1</v>
      </c>
      <c r="K16" s="212">
        <v>4.82</v>
      </c>
      <c r="L16" s="212">
        <v>5.17</v>
      </c>
      <c r="M16" s="212">
        <v>4.26</v>
      </c>
      <c r="N16" s="213">
        <f t="shared" si="6"/>
        <v>0.88796680497925284</v>
      </c>
      <c r="O16" s="213">
        <f t="shared" si="6"/>
        <v>0.76015473887814311</v>
      </c>
      <c r="P16" s="213">
        <f t="shared" si="6"/>
        <v>1.136150234741784</v>
      </c>
      <c r="R16" s="589"/>
    </row>
    <row r="17" spans="2:18" ht="16">
      <c r="B17" s="214"/>
      <c r="C17" s="214"/>
      <c r="D17" s="208"/>
      <c r="E17" s="215"/>
      <c r="F17" s="215"/>
      <c r="G17" s="215"/>
      <c r="H17" s="211"/>
      <c r="I17" s="211"/>
      <c r="J17" s="212"/>
      <c r="K17" s="212"/>
      <c r="L17" s="212"/>
      <c r="M17" s="212"/>
      <c r="N17" s="213"/>
      <c r="O17" s="213"/>
      <c r="P17" s="213"/>
      <c r="R17" s="571"/>
    </row>
    <row r="18" spans="2:18" ht="16">
      <c r="B18" s="216"/>
      <c r="C18" s="216"/>
      <c r="D18" s="217"/>
      <c r="E18" s="218"/>
      <c r="F18" s="218"/>
      <c r="G18" s="218"/>
      <c r="H18" s="219"/>
      <c r="I18" s="219"/>
      <c r="J18" s="219"/>
      <c r="K18" s="219"/>
      <c r="L18" s="219"/>
      <c r="M18" s="219"/>
      <c r="N18" s="219"/>
      <c r="O18" s="219"/>
      <c r="P18" s="219"/>
    </row>
    <row r="19" spans="2:18" ht="16">
      <c r="B19" s="220" t="s">
        <v>215</v>
      </c>
      <c r="C19" s="221"/>
      <c r="D19" s="222"/>
      <c r="E19" s="223">
        <f>MAX(E11:E17)</f>
        <v>12269.2</v>
      </c>
      <c r="F19" s="223">
        <f>MAX(F11:F17)</f>
        <v>737.54</v>
      </c>
      <c r="G19" s="223">
        <f>MAX(G11:G17)</f>
        <v>6000</v>
      </c>
      <c r="H19" s="224">
        <f>MAX(H11:H18)</f>
        <v>319.44718909710389</v>
      </c>
      <c r="I19" s="224">
        <f>MAX(I11:I18)</f>
        <v>5.2187000000000001</v>
      </c>
      <c r="J19" s="225"/>
      <c r="K19" s="225"/>
      <c r="L19" s="225"/>
      <c r="M19" s="225"/>
      <c r="N19" s="226">
        <f>MAX(N11:N17)</f>
        <v>0.88796680497925284</v>
      </c>
      <c r="O19" s="226">
        <f>MAX(O11:O17)</f>
        <v>0.80064308681672025</v>
      </c>
      <c r="P19" s="227">
        <f>MAX(P11:P17)</f>
        <v>1.136150234741784</v>
      </c>
    </row>
    <row r="20" spans="2:18" ht="16">
      <c r="B20" s="228" t="s">
        <v>216</v>
      </c>
      <c r="C20" s="229"/>
      <c r="D20" s="230"/>
      <c r="E20" s="231">
        <f>QUARTILE(E11:E17,3)</f>
        <v>7321.5424999999996</v>
      </c>
      <c r="F20" s="231">
        <f>QUARTILE(F11:F17,3)</f>
        <v>417.45500000000004</v>
      </c>
      <c r="G20" s="231">
        <f>QUARTILE(G11:G17,3)</f>
        <v>1975</v>
      </c>
      <c r="H20" s="232">
        <f t="shared" ref="H20:I20" si="7">QUARTILE(H12:H17,3)</f>
        <v>19.323417798996207</v>
      </c>
      <c r="I20" s="232">
        <f t="shared" si="7"/>
        <v>5.1063829787234045</v>
      </c>
      <c r="J20" s="233"/>
      <c r="K20" s="233"/>
      <c r="L20" s="233"/>
      <c r="M20" s="233"/>
      <c r="N20" s="234">
        <f>QUARTILE(N11:N17,3)</f>
        <v>0.7892469608776248</v>
      </c>
      <c r="O20" s="234">
        <f>QUARTILE(O11:O17,3)</f>
        <v>0.75653846795171087</v>
      </c>
      <c r="P20" s="235">
        <f>QUARTILE(P11:P17,3)</f>
        <v>0.90102200164143031</v>
      </c>
    </row>
    <row r="21" spans="2:18" ht="16">
      <c r="B21" s="236" t="s">
        <v>217</v>
      </c>
      <c r="C21" s="237"/>
      <c r="D21" s="238"/>
      <c r="E21" s="239">
        <f>MEDIAN(E11:E17)</f>
        <v>4181.42</v>
      </c>
      <c r="F21" s="239">
        <f>MEDIAN(F11:F17)</f>
        <v>84.94</v>
      </c>
      <c r="G21" s="239">
        <f>MEDIAN(G11:G17)</f>
        <v>1050</v>
      </c>
      <c r="H21" s="240">
        <f>MEDIAN(H11:H17)</f>
        <v>16.236351901086174</v>
      </c>
      <c r="I21" s="240">
        <f>MEDIAN(I11:I17)</f>
        <v>2.7271196969696971</v>
      </c>
      <c r="J21" s="240"/>
      <c r="K21" s="240"/>
      <c r="L21" s="240"/>
      <c r="M21" s="240"/>
      <c r="N21" s="241">
        <f>MEDIAN(N11:N17)</f>
        <v>0.77159687264040422</v>
      </c>
      <c r="O21" s="241">
        <f>MEDIAN(O11:O17)</f>
        <v>0.69692917830762768</v>
      </c>
      <c r="P21" s="242">
        <f>MEDIAN(P11:P17)</f>
        <v>0.82781920022375477</v>
      </c>
    </row>
    <row r="22" spans="2:18" ht="16">
      <c r="B22" s="228" t="s">
        <v>218</v>
      </c>
      <c r="C22" s="229"/>
      <c r="D22" s="230"/>
      <c r="E22" s="231">
        <f>QUARTILE(E11:E17,1)</f>
        <v>1294.6324999999999</v>
      </c>
      <c r="F22" s="231">
        <f>QUARTILE(F11:F17,1)</f>
        <v>77.25</v>
      </c>
      <c r="G22" s="231">
        <f>QUARTILE(G11:G17,1)</f>
        <v>413.75</v>
      </c>
      <c r="H22" s="232">
        <f t="shared" ref="H22:I22" si="8">QUARTILE(H12:H17,1)</f>
        <v>15.837402665962783</v>
      </c>
      <c r="I22" s="232">
        <f t="shared" si="8"/>
        <v>2.0448666666666666</v>
      </c>
      <c r="J22" s="233"/>
      <c r="K22" s="233"/>
      <c r="L22" s="233"/>
      <c r="M22" s="233"/>
      <c r="N22" s="234">
        <f>QUARTILE(N11:N17,1)</f>
        <v>0.63110954796564056</v>
      </c>
      <c r="O22" s="234">
        <f>QUARTILE(O11:O17,1)</f>
        <v>0.57905462349349046</v>
      </c>
      <c r="P22" s="235">
        <f>QUARTILE(P11:P17,1)</f>
        <v>0.75412101810968557</v>
      </c>
    </row>
    <row r="23" spans="2:18" ht="16">
      <c r="B23" s="243" t="s">
        <v>219</v>
      </c>
      <c r="C23" s="244"/>
      <c r="D23" s="245"/>
      <c r="E23" s="246">
        <f>MIN(E11:E17)</f>
        <v>503.23</v>
      </c>
      <c r="F23" s="246">
        <f>MIN(F11:F17)</f>
        <v>23.48</v>
      </c>
      <c r="G23" s="246">
        <f>MIN(G11:G17)</f>
        <v>235</v>
      </c>
      <c r="H23" s="247">
        <f t="shared" ref="H23:I23" si="9">MIN(H12:H17)</f>
        <v>12.868325714610876</v>
      </c>
      <c r="I23" s="247">
        <f t="shared" si="9"/>
        <v>1.9731624999999999</v>
      </c>
      <c r="J23" s="248"/>
      <c r="K23" s="248"/>
      <c r="L23" s="248"/>
      <c r="M23" s="248"/>
      <c r="N23" s="249">
        <f>MIN(N11:N17)</f>
        <v>0.50427350427350426</v>
      </c>
      <c r="O23" s="249">
        <f>MIN(O11:O17)</f>
        <v>0.38827538335331613</v>
      </c>
      <c r="P23" s="250">
        <f>MIN(P11:P17)</f>
        <v>0.25337609723160015</v>
      </c>
    </row>
    <row r="25" spans="2:18">
      <c r="E25" s="251"/>
    </row>
    <row r="26" spans="2:18">
      <c r="E26" s="251"/>
    </row>
    <row r="27" spans="2:18">
      <c r="E27" s="252"/>
    </row>
  </sheetData>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D1DDA-0619-4737-AC41-F5DB4725E3A9}">
  <dimension ref="B2:AG67"/>
  <sheetViews>
    <sheetView showGridLines="0" zoomScale="60" workbookViewId="0">
      <selection activeCell="AB2" sqref="AB2:AG6"/>
    </sheetView>
  </sheetViews>
  <sheetFormatPr defaultRowHeight="14.5"/>
  <cols>
    <col min="2" max="2" width="12.1796875" bestFit="1" customWidth="1"/>
    <col min="3" max="3" width="8.08984375" bestFit="1" customWidth="1"/>
    <col min="4" max="4" width="7.7265625" bestFit="1" customWidth="1"/>
    <col min="5" max="5" width="8.08984375" bestFit="1" customWidth="1"/>
    <col min="6" max="9" width="7.7265625" bestFit="1" customWidth="1"/>
    <col min="10" max="14" width="7.08984375" bestFit="1" customWidth="1"/>
    <col min="15" max="16" width="5.08984375" bestFit="1" customWidth="1"/>
    <col min="17" max="18" width="6.1796875" bestFit="1" customWidth="1"/>
    <col min="19" max="19" width="7.90625" customWidth="1"/>
    <col min="20" max="20" width="19.81640625" bestFit="1" customWidth="1"/>
    <col min="21" max="21" width="11.26953125" bestFit="1" customWidth="1"/>
    <col min="22" max="22" width="12.08984375" bestFit="1" customWidth="1"/>
    <col min="23" max="23" width="8.08984375" bestFit="1" customWidth="1"/>
    <col min="24" max="24" width="9.1796875" bestFit="1" customWidth="1"/>
    <col min="25" max="25" width="8.08984375" bestFit="1" customWidth="1"/>
    <col min="26" max="26" width="6.90625" bestFit="1" customWidth="1"/>
    <col min="28" max="28" width="22" bestFit="1" customWidth="1"/>
    <col min="29" max="30" width="9.453125" bestFit="1" customWidth="1"/>
    <col min="31" max="31" width="10.54296875" bestFit="1" customWidth="1"/>
    <col min="32" max="33" width="9.453125" bestFit="1" customWidth="1"/>
  </cols>
  <sheetData>
    <row r="2" spans="2:33" ht="16">
      <c r="B2" s="1"/>
      <c r="C2" s="2"/>
      <c r="D2" s="2"/>
      <c r="E2" s="2"/>
      <c r="F2" s="2"/>
      <c r="G2" s="3"/>
      <c r="H2" s="2"/>
      <c r="I2" s="2"/>
      <c r="J2" s="2"/>
      <c r="K2" s="2"/>
      <c r="L2" s="2"/>
      <c r="M2" s="2"/>
      <c r="N2" s="2"/>
      <c r="O2" s="2"/>
      <c r="S2" s="679" t="s">
        <v>512</v>
      </c>
      <c r="T2" s="679"/>
      <c r="U2" s="679"/>
      <c r="V2" s="679"/>
      <c r="W2" s="679"/>
      <c r="X2" s="679"/>
      <c r="Y2" s="679"/>
      <c r="Z2" s="679"/>
      <c r="AB2" s="674" t="str">
        <f>Company_Name&amp;" - M&amp;A Implied Offer Prices"</f>
        <v>Avadel Pharmaceuticals, PLC - M&amp;A Implied Offer Prices</v>
      </c>
      <c r="AC2" s="674"/>
      <c r="AD2" s="674"/>
      <c r="AE2" s="674"/>
      <c r="AF2" s="674"/>
      <c r="AG2" s="674"/>
    </row>
    <row r="3" spans="2:33" ht="16">
      <c r="B3" s="8"/>
      <c r="C3" s="8">
        <v>45838</v>
      </c>
      <c r="D3" s="8">
        <v>46203</v>
      </c>
      <c r="E3" s="8">
        <v>46568</v>
      </c>
      <c r="F3" s="8">
        <v>46934</v>
      </c>
      <c r="G3" s="8">
        <v>47299</v>
      </c>
      <c r="H3" s="8">
        <f t="shared" ref="H3:O3" si="0">EOMONTH(G3,12)</f>
        <v>47664</v>
      </c>
      <c r="I3" s="8">
        <f t="shared" si="0"/>
        <v>48029</v>
      </c>
      <c r="J3" s="8">
        <f t="shared" si="0"/>
        <v>48395</v>
      </c>
      <c r="K3" s="8">
        <f t="shared" si="0"/>
        <v>48760</v>
      </c>
      <c r="L3" s="8">
        <f t="shared" si="0"/>
        <v>49125</v>
      </c>
      <c r="M3" s="8">
        <f t="shared" si="0"/>
        <v>49490</v>
      </c>
      <c r="N3" s="8">
        <f t="shared" si="0"/>
        <v>49856</v>
      </c>
      <c r="O3" s="8">
        <f t="shared" si="0"/>
        <v>50221</v>
      </c>
      <c r="R3" s="675"/>
      <c r="S3" s="674"/>
      <c r="T3" s="674"/>
      <c r="U3" s="674"/>
      <c r="V3" s="674" t="s">
        <v>508</v>
      </c>
      <c r="W3" s="674"/>
      <c r="X3" s="674"/>
      <c r="Y3" s="674" t="s">
        <v>507</v>
      </c>
      <c r="Z3" s="674"/>
      <c r="AB3" s="674"/>
      <c r="AC3" s="674" t="s">
        <v>416</v>
      </c>
      <c r="AD3" s="674"/>
      <c r="AE3" s="689" t="s">
        <v>246</v>
      </c>
      <c r="AF3" s="689" t="s">
        <v>217</v>
      </c>
      <c r="AG3" s="689" t="s">
        <v>245</v>
      </c>
    </row>
    <row r="4" spans="2:33" ht="16">
      <c r="C4" s="46"/>
      <c r="D4" s="46"/>
      <c r="E4" s="46"/>
      <c r="F4" s="46"/>
      <c r="G4" s="46"/>
      <c r="H4" s="46"/>
      <c r="I4" s="46"/>
      <c r="J4" s="46"/>
      <c r="K4" s="46"/>
      <c r="L4" s="46"/>
      <c r="M4" s="46"/>
      <c r="N4" s="46"/>
      <c r="O4" s="46"/>
      <c r="R4" s="675"/>
      <c r="S4" s="674"/>
      <c r="T4" s="674"/>
      <c r="U4" s="689" t="s">
        <v>102</v>
      </c>
      <c r="V4" s="689" t="s">
        <v>96</v>
      </c>
      <c r="W4" s="689" t="s">
        <v>101</v>
      </c>
      <c r="X4" s="689" t="s">
        <v>102</v>
      </c>
      <c r="Y4" s="689" t="s">
        <v>96</v>
      </c>
      <c r="Z4" s="689" t="s">
        <v>101</v>
      </c>
      <c r="AB4" s="674" t="s">
        <v>518</v>
      </c>
      <c r="AD4" s="289"/>
      <c r="AE4" s="705">
        <v>2.0448666666666666</v>
      </c>
      <c r="AF4" s="705">
        <v>2.7271196969696971</v>
      </c>
      <c r="AG4" s="705">
        <v>5.1063829787234045</v>
      </c>
    </row>
    <row r="5" spans="2:33" ht="16">
      <c r="B5" s="189" t="s">
        <v>395</v>
      </c>
      <c r="P5" s="562"/>
      <c r="Q5" s="562"/>
      <c r="R5" s="675"/>
      <c r="S5" s="674" t="s">
        <v>504</v>
      </c>
      <c r="T5" s="674"/>
      <c r="U5" s="668">
        <v>33.204784833595021</v>
      </c>
      <c r="V5" s="668">
        <v>44.41267503356756</v>
      </c>
      <c r="W5" s="668">
        <v>51.718318503177024</v>
      </c>
      <c r="X5" s="668">
        <v>33.248001898767889</v>
      </c>
      <c r="Y5" s="668">
        <v>43.914564077202883</v>
      </c>
      <c r="Z5" s="668">
        <v>50.847264394710891</v>
      </c>
      <c r="AB5" s="674" t="s">
        <v>93</v>
      </c>
      <c r="AC5" s="702">
        <v>1210.2371035644185</v>
      </c>
      <c r="AD5" s="289"/>
      <c r="AE5" s="704">
        <v>25.666599376084772</v>
      </c>
      <c r="AF5" s="704">
        <v>34.230050229559026</v>
      </c>
      <c r="AG5" s="704">
        <v>64.093903192914965</v>
      </c>
    </row>
    <row r="6" spans="2:33" ht="16">
      <c r="B6" s="42" t="s">
        <v>367</v>
      </c>
      <c r="C6" s="36">
        <v>3710.0000000000005</v>
      </c>
      <c r="D6" s="36">
        <v>5189.76</v>
      </c>
      <c r="E6" s="36">
        <v>5955.2496000000001</v>
      </c>
      <c r="F6" s="36">
        <v>6580.5508080000009</v>
      </c>
      <c r="G6" s="36">
        <v>6941.6374420800003</v>
      </c>
      <c r="H6" s="36">
        <v>7138.9864734912007</v>
      </c>
      <c r="I6" s="36">
        <v>7341.4528111820164</v>
      </c>
      <c r="J6" s="36">
        <v>7734.190693276144</v>
      </c>
      <c r="K6" s="36">
        <v>8043.5583210071891</v>
      </c>
      <c r="L6" s="36">
        <v>8392.2206272605254</v>
      </c>
      <c r="M6" s="36">
        <v>8602.026142942037</v>
      </c>
      <c r="N6" s="36">
        <v>8774.0666658008777</v>
      </c>
      <c r="O6" s="36">
        <v>8790.9128737992141</v>
      </c>
      <c r="R6" s="675"/>
      <c r="S6" s="674"/>
      <c r="T6" s="680" t="s">
        <v>506</v>
      </c>
      <c r="U6" s="677">
        <v>1.2077649490422222</v>
      </c>
      <c r="V6" s="677">
        <v>1.9529704144659283</v>
      </c>
      <c r="W6" s="677">
        <v>2.4387179855835788</v>
      </c>
      <c r="X6" s="677">
        <v>1.2106384241202055</v>
      </c>
      <c r="Y6" s="677">
        <v>1.9198513349204047</v>
      </c>
      <c r="Z6" s="677">
        <v>2.3808021539036499</v>
      </c>
      <c r="AB6" s="674" t="s">
        <v>517</v>
      </c>
      <c r="AC6" s="702">
        <v>2367.2120760465014</v>
      </c>
      <c r="AD6" s="289"/>
      <c r="AE6" s="704">
        <v>50.203620278347742</v>
      </c>
      <c r="AF6" s="704">
        <v>66.953647370783472</v>
      </c>
      <c r="AG6" s="704">
        <v>125.36705509388455</v>
      </c>
    </row>
    <row r="7" spans="2:33" ht="16">
      <c r="B7" s="42" t="s">
        <v>368</v>
      </c>
      <c r="C7" s="36">
        <v>0</v>
      </c>
      <c r="D7" s="36">
        <v>0</v>
      </c>
      <c r="E7" s="36">
        <v>740.13895669808835</v>
      </c>
      <c r="F7" s="36">
        <v>2035.6114094715888</v>
      </c>
      <c r="G7" s="36">
        <v>2961.1116535847068</v>
      </c>
      <c r="H7" s="36">
        <v>3405.6619221091369</v>
      </c>
      <c r="I7" s="36">
        <v>3665.2010740977198</v>
      </c>
      <c r="J7" s="36">
        <v>3776.5512449769021</v>
      </c>
      <c r="K7" s="36">
        <v>3851.0348142862499</v>
      </c>
      <c r="L7" s="36">
        <v>3888.5017580746489</v>
      </c>
      <c r="M7" s="36">
        <v>3888.9395702448205</v>
      </c>
      <c r="N7" s="36">
        <v>3852.3357418831138</v>
      </c>
      <c r="O7" s="36">
        <v>3815.723621663476</v>
      </c>
      <c r="R7" s="675"/>
      <c r="S7" s="674"/>
      <c r="T7" s="680" t="s">
        <v>373</v>
      </c>
      <c r="U7" s="678">
        <v>0.8</v>
      </c>
      <c r="V7" s="678">
        <v>0.8</v>
      </c>
      <c r="W7" s="678">
        <v>0.8</v>
      </c>
      <c r="X7" s="678">
        <v>0.8</v>
      </c>
      <c r="Y7" s="678">
        <v>0.8</v>
      </c>
      <c r="Z7" s="678">
        <v>0.8</v>
      </c>
      <c r="AB7" s="675"/>
      <c r="AE7" s="703"/>
      <c r="AF7" s="703"/>
      <c r="AG7" s="703"/>
    </row>
    <row r="8" spans="2:33" ht="16">
      <c r="B8" s="536"/>
      <c r="C8" s="562"/>
      <c r="D8" s="562"/>
      <c r="E8" s="562"/>
      <c r="F8" s="562"/>
      <c r="G8" s="562"/>
      <c r="H8" s="562"/>
      <c r="I8" s="562"/>
      <c r="J8" s="562"/>
      <c r="K8" s="562"/>
      <c r="L8" s="562"/>
      <c r="M8" s="562"/>
      <c r="N8" s="562"/>
      <c r="O8" s="562"/>
      <c r="R8" s="675"/>
      <c r="S8" s="674" t="s">
        <v>488</v>
      </c>
      <c r="T8" s="680"/>
      <c r="U8" s="668">
        <v>33.359926090595636</v>
      </c>
      <c r="V8" s="668">
        <v>44.601060845639743</v>
      </c>
      <c r="W8" s="668">
        <v>51.928867351963589</v>
      </c>
      <c r="X8" s="668">
        <v>35.341015971050297</v>
      </c>
      <c r="Y8" s="668">
        <v>46.566994226306193</v>
      </c>
      <c r="Z8" s="668">
        <v>53.854382202562462</v>
      </c>
      <c r="AB8" s="675"/>
      <c r="AE8" s="703"/>
      <c r="AF8" s="703"/>
      <c r="AG8" s="703"/>
    </row>
    <row r="9" spans="2:33" ht="16">
      <c r="B9" s="189" t="s">
        <v>396</v>
      </c>
      <c r="C9" s="562"/>
      <c r="D9" s="562"/>
      <c r="E9" s="562"/>
      <c r="F9" s="562"/>
      <c r="G9" s="562"/>
      <c r="H9" s="562"/>
      <c r="I9" s="562"/>
      <c r="J9" s="562"/>
      <c r="K9" s="562"/>
      <c r="L9" s="562"/>
      <c r="M9" s="562"/>
      <c r="N9" s="562"/>
      <c r="O9" s="562"/>
      <c r="R9" s="675"/>
      <c r="S9" s="674"/>
      <c r="T9" s="680" t="s">
        <v>506</v>
      </c>
      <c r="U9" s="677">
        <v>1.2180801921938587</v>
      </c>
      <c r="V9" s="677">
        <v>1.9654960668643446</v>
      </c>
      <c r="W9" s="677">
        <v>2.4527172441465153</v>
      </c>
      <c r="X9" s="677">
        <v>1.3498015938198336</v>
      </c>
      <c r="Y9" s="677">
        <v>2.096209722493763</v>
      </c>
      <c r="Z9" s="677">
        <v>2.5807434975108023</v>
      </c>
    </row>
    <row r="10" spans="2:33" ht="16">
      <c r="B10" s="42" t="s">
        <v>367</v>
      </c>
      <c r="C10" s="36">
        <v>0</v>
      </c>
      <c r="D10" s="36">
        <v>0</v>
      </c>
      <c r="E10" s="36">
        <v>275.70600000000002</v>
      </c>
      <c r="F10" s="36">
        <v>1687.3207200000002</v>
      </c>
      <c r="G10" s="36">
        <v>3155.2897464000002</v>
      </c>
      <c r="H10" s="36">
        <v>4213.1723450112004</v>
      </c>
      <c r="I10" s="36">
        <v>5013.6750905633289</v>
      </c>
      <c r="J10" s="36">
        <v>5613.5255031842971</v>
      </c>
      <c r="K10" s="36">
        <v>6032.6687407553918</v>
      </c>
      <c r="L10" s="36">
        <v>6445.2254417360837</v>
      </c>
      <c r="M10" s="36">
        <v>6881.6209143536298</v>
      </c>
      <c r="N10" s="36">
        <v>7089.44586596711</v>
      </c>
      <c r="O10" s="36">
        <v>7089.4458659671091</v>
      </c>
      <c r="R10" s="675"/>
      <c r="S10" s="674"/>
      <c r="T10" s="680" t="s">
        <v>373</v>
      </c>
      <c r="U10" s="678">
        <v>0.8</v>
      </c>
      <c r="V10" s="678">
        <v>0.8</v>
      </c>
      <c r="W10" s="678">
        <v>0.8</v>
      </c>
      <c r="X10" s="678">
        <v>0.8</v>
      </c>
      <c r="Y10" s="678">
        <v>0.8</v>
      </c>
      <c r="Z10" s="678">
        <v>0.8</v>
      </c>
    </row>
    <row r="11" spans="2:33" ht="16">
      <c r="B11" s="42" t="s">
        <v>368</v>
      </c>
      <c r="C11" s="36">
        <v>0</v>
      </c>
      <c r="D11" s="36">
        <v>0</v>
      </c>
      <c r="E11" s="36">
        <v>111.02084350471324</v>
      </c>
      <c r="F11" s="36">
        <v>925.2779133961767</v>
      </c>
      <c r="G11" s="36">
        <v>1739.6530964810154</v>
      </c>
      <c r="H11" s="36">
        <v>2443.1922484695983</v>
      </c>
      <c r="I11" s="36">
        <v>2887.7341795921425</v>
      </c>
      <c r="J11" s="36">
        <v>3147.1260374807521</v>
      </c>
      <c r="K11" s="36">
        <v>3221.5387388740742</v>
      </c>
      <c r="L11" s="36">
        <v>3295.9681568442261</v>
      </c>
      <c r="M11" s="36">
        <v>3333.3767744955603</v>
      </c>
      <c r="N11" s="36">
        <v>3333.7520843219254</v>
      </c>
      <c r="O11" s="36">
        <v>3297.0815760004793</v>
      </c>
      <c r="R11" s="675"/>
      <c r="S11" s="675"/>
      <c r="T11" s="675"/>
      <c r="U11" s="10"/>
      <c r="V11" s="10"/>
      <c r="W11" s="10"/>
    </row>
    <row r="12" spans="2:33">
      <c r="R12" s="675"/>
      <c r="S12" s="675"/>
      <c r="T12" s="675"/>
    </row>
    <row r="13" spans="2:33" ht="16">
      <c r="B13" s="674"/>
      <c r="C13" s="673"/>
      <c r="D13" s="673"/>
      <c r="E13" s="607" t="s">
        <v>463</v>
      </c>
      <c r="F13" s="607"/>
      <c r="G13" s="607" t="s">
        <v>444</v>
      </c>
      <c r="H13" s="642"/>
      <c r="I13" s="259" t="s">
        <v>463</v>
      </c>
      <c r="J13" s="673"/>
      <c r="R13" s="675"/>
      <c r="S13" s="510" t="s">
        <v>411</v>
      </c>
      <c r="T13" s="58"/>
      <c r="U13" s="58"/>
    </row>
    <row r="14" spans="2:33" ht="16">
      <c r="B14" s="674" t="s">
        <v>509</v>
      </c>
      <c r="C14" s="673"/>
      <c r="D14" s="673"/>
      <c r="E14" s="607" t="s">
        <v>212</v>
      </c>
      <c r="F14" s="259"/>
      <c r="G14" s="607" t="s">
        <v>377</v>
      </c>
      <c r="H14" s="263"/>
      <c r="I14" s="607" t="s">
        <v>180</v>
      </c>
      <c r="J14" s="673"/>
      <c r="R14" s="675"/>
      <c r="S14" s="10"/>
      <c r="T14" s="10"/>
      <c r="U14" s="10"/>
    </row>
    <row r="15" spans="2:33" ht="16">
      <c r="B15" s="673"/>
      <c r="C15" s="673"/>
      <c r="D15" s="611">
        <v>46022</v>
      </c>
      <c r="E15" s="611">
        <v>46387</v>
      </c>
      <c r="F15" s="611">
        <v>46752</v>
      </c>
      <c r="G15" s="611"/>
      <c r="H15" s="611">
        <v>46022</v>
      </c>
      <c r="I15" s="611">
        <v>46387</v>
      </c>
      <c r="J15" s="611">
        <v>46752</v>
      </c>
      <c r="R15" s="675"/>
      <c r="S15" s="10" t="s">
        <v>373</v>
      </c>
      <c r="T15" s="10"/>
      <c r="U15" s="664">
        <v>0.8</v>
      </c>
    </row>
    <row r="16" spans="2:33" ht="16">
      <c r="B16" s="197" t="s">
        <v>194</v>
      </c>
      <c r="C16" t="s">
        <v>193</v>
      </c>
      <c r="D16" s="623">
        <v>2.7083500118567705</v>
      </c>
      <c r="E16" s="623">
        <v>2.5516336014298484</v>
      </c>
      <c r="F16" s="623">
        <v>2.4721021645021648</v>
      </c>
      <c r="G16" s="623">
        <v>24.39460815533981</v>
      </c>
      <c r="H16" s="623">
        <v>15.027778947368422</v>
      </c>
      <c r="I16" s="623">
        <v>13.74381708784597</v>
      </c>
      <c r="J16" s="623">
        <v>13.008100227790434</v>
      </c>
      <c r="S16" s="42" t="s">
        <v>374</v>
      </c>
      <c r="T16" s="10"/>
      <c r="U16" s="662">
        <v>4262121.6467365846</v>
      </c>
    </row>
    <row r="17" spans="2:21" ht="16">
      <c r="B17" s="197" t="s">
        <v>433</v>
      </c>
      <c r="C17" t="s">
        <v>425</v>
      </c>
      <c r="D17" s="623">
        <v>1.5050357568533967</v>
      </c>
      <c r="E17" s="623">
        <v>1.2819543147208121</v>
      </c>
      <c r="F17" s="623">
        <v>1.114496910856134</v>
      </c>
      <c r="G17" s="623">
        <v>4.4872710497572825</v>
      </c>
      <c r="H17" s="623">
        <v>2.8633219954648523</v>
      </c>
      <c r="I17" s="623">
        <v>2.5204091816367264</v>
      </c>
      <c r="J17" s="623">
        <v>2.2309628975265015</v>
      </c>
      <c r="S17" s="512" t="s">
        <v>375</v>
      </c>
      <c r="T17" s="10"/>
      <c r="U17" s="663">
        <v>96420</v>
      </c>
    </row>
    <row r="18" spans="2:21" ht="16">
      <c r="B18" s="197" t="s">
        <v>432</v>
      </c>
      <c r="C18" t="s">
        <v>426</v>
      </c>
      <c r="D18" s="623">
        <v>2.9761647398843927</v>
      </c>
      <c r="E18" s="623">
        <v>2.4753677884615382</v>
      </c>
      <c r="F18" s="623">
        <v>2.1101495901639344</v>
      </c>
      <c r="G18" s="623">
        <v>12.598551480890892</v>
      </c>
      <c r="H18" s="623">
        <v>17.754362068965516</v>
      </c>
      <c r="I18" s="623">
        <v>15.965162790697674</v>
      </c>
      <c r="J18" s="623">
        <v>15.60231818181818</v>
      </c>
      <c r="S18" s="27" t="s">
        <v>376</v>
      </c>
      <c r="T18" s="10"/>
      <c r="U18" s="665">
        <v>44.203709258832035</v>
      </c>
    </row>
    <row r="19" spans="2:21" ht="16">
      <c r="B19" s="197" t="s">
        <v>431</v>
      </c>
      <c r="C19" t="s">
        <v>221</v>
      </c>
      <c r="D19" s="623">
        <v>3.1931103202846973</v>
      </c>
      <c r="E19" s="623">
        <v>2.9515263157894736</v>
      </c>
      <c r="F19" s="623">
        <v>2.6625044510385756</v>
      </c>
      <c r="G19" s="623">
        <v>17.559567995482762</v>
      </c>
      <c r="H19" s="623">
        <v>99.695999999999998</v>
      </c>
      <c r="I19" s="623">
        <v>94.448842105263154</v>
      </c>
      <c r="J19" s="623">
        <v>85.453714285714284</v>
      </c>
      <c r="S19" s="10" t="s">
        <v>127</v>
      </c>
      <c r="T19" s="10"/>
      <c r="U19" s="672">
        <v>1.9390764134861729</v>
      </c>
    </row>
    <row r="20" spans="2:21" ht="16">
      <c r="B20" s="197" t="s">
        <v>430</v>
      </c>
      <c r="C20" t="s">
        <v>427</v>
      </c>
      <c r="D20" s="623">
        <v>9.5102383252818044</v>
      </c>
      <c r="E20" s="623">
        <v>6.1137246376811598</v>
      </c>
      <c r="F20" s="623">
        <v>3.8176199095022625</v>
      </c>
      <c r="G20" s="623">
        <v>12.51593811877547</v>
      </c>
      <c r="H20" s="623">
        <v>29.236920792079207</v>
      </c>
      <c r="I20" s="623">
        <v>26.602963963963965</v>
      </c>
      <c r="J20" s="623">
        <v>26.016995594713656</v>
      </c>
      <c r="S20" s="10"/>
      <c r="T20" s="10"/>
      <c r="U20" s="10"/>
    </row>
    <row r="21" spans="2:21" ht="16">
      <c r="B21" s="197" t="s">
        <v>429</v>
      </c>
      <c r="C21" t="s">
        <v>428</v>
      </c>
      <c r="D21" s="623">
        <v>3.6627516339869279</v>
      </c>
      <c r="E21" s="623">
        <v>3.2744632721202001</v>
      </c>
      <c r="F21" s="623">
        <v>2.8950605166051657</v>
      </c>
      <c r="G21" s="623">
        <v>65.659659419014091</v>
      </c>
      <c r="H21" s="623">
        <v>45.089735632183903</v>
      </c>
      <c r="I21" s="623">
        <v>42.180720430107527</v>
      </c>
      <c r="J21" s="623">
        <v>42.639206521739126</v>
      </c>
      <c r="S21" s="510" t="s">
        <v>410</v>
      </c>
      <c r="T21" s="58"/>
      <c r="U21" s="666"/>
    </row>
    <row r="22" spans="2:21" ht="16">
      <c r="B22" s="683" t="s">
        <v>217</v>
      </c>
      <c r="C22" s="684"/>
      <c r="D22" s="685">
        <f>MEDIAN(D16:D21)</f>
        <v>3.084637530084545</v>
      </c>
      <c r="E22" s="685">
        <f t="shared" ref="E22:J22" si="1">MEDIAN(E16:E21)</f>
        <v>2.751579958609661</v>
      </c>
      <c r="F22" s="685">
        <f t="shared" si="1"/>
        <v>2.56730330777037</v>
      </c>
      <c r="G22" s="685">
        <f t="shared" si="1"/>
        <v>15.079059738186828</v>
      </c>
      <c r="H22" s="685">
        <f t="shared" si="1"/>
        <v>23.495641430522362</v>
      </c>
      <c r="I22" s="685">
        <f t="shared" si="1"/>
        <v>21.284063377330821</v>
      </c>
      <c r="J22" s="685">
        <f t="shared" si="1"/>
        <v>20.80965688826592</v>
      </c>
      <c r="S22" s="10"/>
      <c r="T22" s="10"/>
      <c r="U22" s="575"/>
    </row>
    <row r="23" spans="2:21" ht="16">
      <c r="I23" s="10"/>
      <c r="J23" s="10"/>
      <c r="K23" s="10"/>
      <c r="S23" s="42" t="s">
        <v>374</v>
      </c>
      <c r="T23" s="10"/>
      <c r="U23" s="662">
        <v>4211560.9183239024</v>
      </c>
    </row>
    <row r="24" spans="2:21" ht="16">
      <c r="B24" s="682" t="s">
        <v>138</v>
      </c>
      <c r="C24" s="366" t="s">
        <v>23</v>
      </c>
      <c r="D24" s="682">
        <v>4.293192572626535</v>
      </c>
      <c r="E24" s="682">
        <v>3.0690714877844916</v>
      </c>
      <c r="F24" s="682">
        <v>2.1536984750082615</v>
      </c>
      <c r="G24" s="682">
        <v>6.9547552590492261</v>
      </c>
      <c r="H24" s="682">
        <v>85.863851452530682</v>
      </c>
      <c r="I24" s="682">
        <v>87.68775679384261</v>
      </c>
      <c r="J24" s="682">
        <v>86.147939000330467</v>
      </c>
      <c r="S24" s="512" t="s">
        <v>375</v>
      </c>
      <c r="T24" s="10"/>
      <c r="U24" s="663">
        <v>96420</v>
      </c>
    </row>
    <row r="25" spans="2:21" ht="16">
      <c r="I25" s="10"/>
      <c r="J25" s="10"/>
      <c r="K25" s="10"/>
      <c r="S25" s="27" t="s">
        <v>376</v>
      </c>
      <c r="T25" s="10"/>
      <c r="U25" s="665">
        <v>43.679329167433131</v>
      </c>
    </row>
    <row r="26" spans="2:21" ht="16">
      <c r="I26" s="10"/>
      <c r="J26" s="10"/>
      <c r="K26" s="10"/>
      <c r="S26" s="10" t="s">
        <v>127</v>
      </c>
      <c r="T26" s="10"/>
      <c r="U26" s="672">
        <v>1.9042107159197563</v>
      </c>
    </row>
    <row r="27" spans="2:21" ht="16">
      <c r="B27" s="199" t="s">
        <v>510</v>
      </c>
      <c r="C27" s="199"/>
      <c r="D27" s="199"/>
      <c r="E27" s="202"/>
      <c r="F27" s="200" t="s">
        <v>202</v>
      </c>
      <c r="G27" s="200" t="s">
        <v>202</v>
      </c>
      <c r="H27" s="673"/>
      <c r="I27" s="200" t="s">
        <v>511</v>
      </c>
      <c r="J27" s="200"/>
    </row>
    <row r="28" spans="2:21" ht="16">
      <c r="B28" s="204"/>
      <c r="C28" s="204"/>
      <c r="D28" s="200"/>
      <c r="E28" s="200" t="s">
        <v>453</v>
      </c>
      <c r="F28" s="200" t="s">
        <v>143</v>
      </c>
      <c r="G28" s="200" t="s">
        <v>453</v>
      </c>
      <c r="H28" s="200" t="s">
        <v>205</v>
      </c>
      <c r="I28" s="200" t="s">
        <v>206</v>
      </c>
      <c r="J28" s="200" t="s">
        <v>207</v>
      </c>
    </row>
    <row r="29" spans="2:21" ht="16">
      <c r="B29" s="200" t="s">
        <v>208</v>
      </c>
      <c r="C29" s="200" t="s">
        <v>209</v>
      </c>
      <c r="D29" s="200" t="s">
        <v>210</v>
      </c>
      <c r="E29" s="200" t="s">
        <v>454</v>
      </c>
      <c r="F29" s="200" t="s">
        <v>212</v>
      </c>
      <c r="G29" s="200" t="s">
        <v>454</v>
      </c>
      <c r="H29" s="200" t="s">
        <v>214</v>
      </c>
      <c r="I29" s="200" t="s">
        <v>214</v>
      </c>
      <c r="J29" s="200" t="s">
        <v>214</v>
      </c>
    </row>
    <row r="30" spans="2:21" ht="16">
      <c r="B30" s="206"/>
      <c r="C30" s="207"/>
      <c r="D30" s="208"/>
      <c r="E30" s="210"/>
      <c r="F30" s="211"/>
      <c r="G30" s="211"/>
      <c r="H30" s="213"/>
      <c r="I30" s="213"/>
      <c r="J30" s="213"/>
    </row>
    <row r="31" spans="2:21" ht="16">
      <c r="B31" s="206" t="s">
        <v>464</v>
      </c>
      <c r="C31" s="206" t="s">
        <v>465</v>
      </c>
      <c r="D31" s="208">
        <v>44480</v>
      </c>
      <c r="E31" s="215">
        <v>285</v>
      </c>
      <c r="F31" s="211">
        <v>5.7062025172922102</v>
      </c>
      <c r="G31" s="211">
        <v>1.765719298245614</v>
      </c>
      <c r="H31" s="213">
        <v>0.75704989154013003</v>
      </c>
      <c r="I31" s="213">
        <v>0.74568965517241392</v>
      </c>
      <c r="J31" s="213">
        <v>0.78021978021978011</v>
      </c>
    </row>
    <row r="32" spans="2:21" ht="16">
      <c r="B32" s="214" t="s">
        <v>466</v>
      </c>
      <c r="C32" s="214" t="s">
        <v>467</v>
      </c>
      <c r="D32" s="208">
        <v>44580</v>
      </c>
      <c r="E32" s="215">
        <v>800</v>
      </c>
      <c r="F32" s="211">
        <v>19.323417798996207</v>
      </c>
      <c r="G32" s="211">
        <v>1.9731624999999999</v>
      </c>
      <c r="H32" s="213">
        <v>0.7902813299232736</v>
      </c>
      <c r="I32" s="213">
        <v>0.80064308681672025</v>
      </c>
      <c r="J32" s="213">
        <v>0.87541862022772943</v>
      </c>
    </row>
    <row r="33" spans="2:14" ht="16">
      <c r="B33" s="197" t="s">
        <v>468</v>
      </c>
      <c r="C33" s="214" t="s">
        <v>469</v>
      </c>
      <c r="D33" s="208">
        <v>44230</v>
      </c>
      <c r="E33" s="215">
        <v>1300</v>
      </c>
      <c r="F33" s="211">
        <v>12.868325714610876</v>
      </c>
      <c r="G33" s="211">
        <v>5.2187000000000001</v>
      </c>
      <c r="H33" s="213">
        <v>0.50427350427350426</v>
      </c>
      <c r="I33" s="213">
        <v>0.38827538335331613</v>
      </c>
      <c r="J33" s="213">
        <v>0.90955646211266394</v>
      </c>
    </row>
    <row r="34" spans="2:14" ht="16">
      <c r="B34" s="214" t="s">
        <v>196</v>
      </c>
      <c r="C34" s="214" t="s">
        <v>470</v>
      </c>
      <c r="D34" s="208">
        <v>45135</v>
      </c>
      <c r="E34" s="215">
        <v>2200</v>
      </c>
      <c r="F34" s="211">
        <v>319.44718909710389</v>
      </c>
      <c r="G34" s="211">
        <v>3.4093727272727272</v>
      </c>
      <c r="H34" s="213">
        <v>0.58912943344081081</v>
      </c>
      <c r="I34" s="213">
        <v>0.55601659751037347</v>
      </c>
      <c r="J34" s="213">
        <v>0.74542143073965406</v>
      </c>
    </row>
    <row r="35" spans="2:14" ht="16">
      <c r="B35" s="214" t="s">
        <v>455</v>
      </c>
      <c r="C35" s="214" t="s">
        <v>471</v>
      </c>
      <c r="D35" s="208">
        <v>44691</v>
      </c>
      <c r="E35" s="215">
        <v>6000</v>
      </c>
      <c r="F35" s="211">
        <v>16.635301136209563</v>
      </c>
      <c r="G35" s="211">
        <v>2.0448666666666666</v>
      </c>
      <c r="H35" s="213">
        <v>0.78614385374067841</v>
      </c>
      <c r="I35" s="213">
        <v>0.64816870144284144</v>
      </c>
      <c r="J35" s="213">
        <v>0.25337609723160015</v>
      </c>
    </row>
    <row r="36" spans="2:14" ht="16">
      <c r="B36" s="214" t="s">
        <v>456</v>
      </c>
      <c r="C36" s="214" t="s">
        <v>457</v>
      </c>
      <c r="D36" s="208">
        <v>44783</v>
      </c>
      <c r="E36" s="215">
        <v>235</v>
      </c>
      <c r="F36" s="211">
        <v>15.837402665962783</v>
      </c>
      <c r="G36" s="211">
        <v>5.1063829787234045</v>
      </c>
      <c r="H36" s="213">
        <v>0.88796680497925284</v>
      </c>
      <c r="I36" s="213">
        <v>0.76015473887814311</v>
      </c>
      <c r="J36" s="213">
        <v>1.136150234741784</v>
      </c>
    </row>
    <row r="37" spans="2:14" ht="16">
      <c r="B37" s="683" t="s">
        <v>217</v>
      </c>
      <c r="C37" s="684"/>
      <c r="D37" s="685"/>
      <c r="E37" s="686">
        <f t="shared" ref="E37" si="2">MEDIAN(E31:E36)</f>
        <v>1050</v>
      </c>
      <c r="F37" s="687">
        <f t="shared" ref="F37" si="3">MEDIAN(F31:F36)</f>
        <v>16.236351901086174</v>
      </c>
      <c r="G37" s="687">
        <f t="shared" ref="G37" si="4">MEDIAN(G31:G36)</f>
        <v>2.7271196969696971</v>
      </c>
      <c r="H37" s="688">
        <f t="shared" ref="H37" si="5">MEDIAN(H31:H36)</f>
        <v>0.77159687264040422</v>
      </c>
      <c r="I37" s="688">
        <f t="shared" ref="I37" si="6">MEDIAN(I31:I36)</f>
        <v>0.69692917830762768</v>
      </c>
      <c r="J37" s="688">
        <f t="shared" ref="J37" si="7">MEDIAN(J31:J36)</f>
        <v>0.82781920022375477</v>
      </c>
    </row>
    <row r="40" spans="2:14" ht="18.5">
      <c r="B40" s="673"/>
      <c r="C40" s="673"/>
      <c r="D40" s="673"/>
      <c r="E40" s="673"/>
      <c r="F40" s="673"/>
      <c r="G40" s="673"/>
      <c r="H40" s="698" t="s">
        <v>516</v>
      </c>
      <c r="I40" s="673"/>
      <c r="J40" s="673"/>
      <c r="K40" s="673"/>
      <c r="L40" s="673"/>
      <c r="M40" s="673"/>
      <c r="N40" s="673"/>
    </row>
    <row r="41" spans="2:14">
      <c r="B41" s="673"/>
      <c r="C41" s="673"/>
      <c r="D41" s="673"/>
      <c r="E41" s="673"/>
      <c r="F41" s="673"/>
      <c r="G41" s="673"/>
      <c r="H41" s="673"/>
      <c r="I41" s="673"/>
      <c r="J41" s="673"/>
      <c r="K41" s="673"/>
      <c r="L41" s="673"/>
      <c r="M41" s="673"/>
      <c r="N41" s="673"/>
    </row>
    <row r="42" spans="2:14" ht="16">
      <c r="B42" s="1"/>
      <c r="C42" s="690"/>
      <c r="D42" s="690"/>
      <c r="E42" s="690"/>
      <c r="F42" s="690"/>
      <c r="G42" s="690"/>
      <c r="H42" s="691"/>
      <c r="I42" s="692" t="s">
        <v>136</v>
      </c>
      <c r="J42" s="690"/>
      <c r="K42" s="690"/>
      <c r="L42" s="690"/>
      <c r="M42" s="690"/>
      <c r="N42" s="690"/>
    </row>
    <row r="43" spans="2:14" ht="16">
      <c r="B43" s="1"/>
      <c r="C43" s="693">
        <v>43.679329167433131</v>
      </c>
      <c r="D43" s="101">
        <v>0.125</v>
      </c>
      <c r="E43" s="102">
        <v>0.12</v>
      </c>
      <c r="F43" s="102">
        <v>0.11499999999999999</v>
      </c>
      <c r="G43" s="102">
        <v>0.10999999999999999</v>
      </c>
      <c r="H43" s="102">
        <v>0.10499999999999998</v>
      </c>
      <c r="I43" s="102">
        <v>9.9999999999999978E-2</v>
      </c>
      <c r="J43" s="102">
        <v>9.4999999999999973E-2</v>
      </c>
      <c r="K43" s="102">
        <v>8.9999999999999969E-2</v>
      </c>
      <c r="L43" s="102">
        <v>8.4999999999999964E-2</v>
      </c>
      <c r="M43" s="102">
        <v>7.999999999999996E-2</v>
      </c>
      <c r="N43" s="102">
        <v>7.4999999999999956E-2</v>
      </c>
    </row>
    <row r="44" spans="2:14" ht="16">
      <c r="B44" s="1"/>
      <c r="C44" s="694">
        <v>0.15</v>
      </c>
      <c r="D44" s="44">
        <v>31.527824293122688</v>
      </c>
      <c r="E44" s="44">
        <v>32.488927565216677</v>
      </c>
      <c r="F44" s="44">
        <v>33.490094331796136</v>
      </c>
      <c r="G44" s="44">
        <v>34.533348910138457</v>
      </c>
      <c r="H44" s="44">
        <v>35.62083342487044</v>
      </c>
      <c r="I44" s="103">
        <v>36.754815488133858</v>
      </c>
      <c r="J44" s="44">
        <v>37.937696431022871</v>
      </c>
      <c r="K44" s="44">
        <v>39.172020129349917</v>
      </c>
      <c r="L44" s="44">
        <v>40.460482470424218</v>
      </c>
      <c r="M44" s="44">
        <v>41.80594151148226</v>
      </c>
      <c r="N44" s="44">
        <v>43.211428384723753</v>
      </c>
    </row>
    <row r="45" spans="2:14" ht="16">
      <c r="B45" s="1"/>
      <c r="C45" s="695">
        <v>0.14499999999999999</v>
      </c>
      <c r="D45" s="44">
        <v>31.797489485122622</v>
      </c>
      <c r="E45" s="44">
        <v>32.766111484947693</v>
      </c>
      <c r="F45" s="44">
        <v>33.775106443401256</v>
      </c>
      <c r="G45" s="44">
        <v>34.826514486065669</v>
      </c>
      <c r="H45" s="44">
        <v>35.922494484033386</v>
      </c>
      <c r="I45" s="103">
        <v>37.065331796622615</v>
      </c>
      <c r="J45" s="44">
        <v>38.25744656995856</v>
      </c>
      <c r="K45" s="44">
        <v>39.501402634843345</v>
      </c>
      <c r="L45" s="44">
        <v>40.799917050997472</v>
      </c>
      <c r="M45" s="44">
        <v>42.1558703487446</v>
      </c>
      <c r="N45" s="44">
        <v>43.572317523564088</v>
      </c>
    </row>
    <row r="46" spans="2:14" ht="16">
      <c r="B46" s="1"/>
      <c r="C46" s="695">
        <v>0.13999999999999999</v>
      </c>
      <c r="D46" s="44">
        <v>32.067154677122545</v>
      </c>
      <c r="E46" s="44">
        <v>33.043295404678702</v>
      </c>
      <c r="F46" s="44">
        <v>34.060118555006376</v>
      </c>
      <c r="G46" s="44">
        <v>35.119680061992881</v>
      </c>
      <c r="H46" s="44">
        <v>36.224155543196325</v>
      </c>
      <c r="I46" s="103">
        <v>37.375848105111373</v>
      </c>
      <c r="J46" s="44">
        <v>38.577196708894249</v>
      </c>
      <c r="K46" s="44">
        <v>39.830785140336793</v>
      </c>
      <c r="L46" s="44">
        <v>41.139351631570712</v>
      </c>
      <c r="M46" s="44">
        <v>42.505799186006918</v>
      </c>
      <c r="N46" s="44">
        <v>43.93320666240443</v>
      </c>
    </row>
    <row r="47" spans="2:14" ht="16">
      <c r="B47" s="1"/>
      <c r="C47" s="695">
        <v>0.13499999999999998</v>
      </c>
      <c r="D47" s="44">
        <v>32.336819869122472</v>
      </c>
      <c r="E47" s="44">
        <v>33.320479324409725</v>
      </c>
      <c r="F47" s="44">
        <v>34.345130666611496</v>
      </c>
      <c r="G47" s="44">
        <v>35.412845637920107</v>
      </c>
      <c r="H47" s="44">
        <v>36.525816602359264</v>
      </c>
      <c r="I47" s="103">
        <v>37.686364413600131</v>
      </c>
      <c r="J47" s="44">
        <v>38.896946847829938</v>
      </c>
      <c r="K47" s="44">
        <v>40.160167645830235</v>
      </c>
      <c r="L47" s="44">
        <v>41.478786212143966</v>
      </c>
      <c r="M47" s="44">
        <v>42.855728023269243</v>
      </c>
      <c r="N47" s="44">
        <v>44.294095801244772</v>
      </c>
    </row>
    <row r="48" spans="2:14" ht="16">
      <c r="B48" s="6" t="s">
        <v>401</v>
      </c>
      <c r="C48" s="695">
        <v>0.12999999999999998</v>
      </c>
      <c r="D48" s="44">
        <v>32.606485061122399</v>
      </c>
      <c r="E48" s="44">
        <v>33.597663244140733</v>
      </c>
      <c r="F48" s="44">
        <v>34.630142778216616</v>
      </c>
      <c r="G48" s="44">
        <v>35.706011213847312</v>
      </c>
      <c r="H48" s="44">
        <v>36.827477661522202</v>
      </c>
      <c r="I48" s="103">
        <v>37.996880722088889</v>
      </c>
      <c r="J48" s="44">
        <v>39.216696986765626</v>
      </c>
      <c r="K48" s="44">
        <v>40.48955015132367</v>
      </c>
      <c r="L48" s="44">
        <v>41.818220792717213</v>
      </c>
      <c r="M48" s="44">
        <v>43.205656860531569</v>
      </c>
      <c r="N48" s="44">
        <v>44.654984940085114</v>
      </c>
    </row>
    <row r="49" spans="2:14" ht="16">
      <c r="B49" s="1"/>
      <c r="C49" s="695">
        <v>0.12499999999999997</v>
      </c>
      <c r="D49" s="103">
        <v>32.876150253122333</v>
      </c>
      <c r="E49" s="103">
        <v>33.874847163871756</v>
      </c>
      <c r="F49" s="103">
        <v>34.915154889821736</v>
      </c>
      <c r="G49" s="103">
        <v>35.999176789774523</v>
      </c>
      <c r="H49" s="103">
        <v>37.129138720685141</v>
      </c>
      <c r="I49" s="103">
        <v>38.307397030577647</v>
      </c>
      <c r="J49" s="103">
        <v>39.536447125701322</v>
      </c>
      <c r="K49" s="103">
        <v>40.818932656817118</v>
      </c>
      <c r="L49" s="103">
        <v>42.157655373290467</v>
      </c>
      <c r="M49" s="103">
        <v>43.555585697793887</v>
      </c>
      <c r="N49" s="103">
        <v>45.015874078925449</v>
      </c>
    </row>
    <row r="50" spans="2:14" ht="16">
      <c r="B50" s="1"/>
      <c r="C50" s="695">
        <v>0.11999999999999997</v>
      </c>
      <c r="D50" s="44">
        <v>33.14581544512226</v>
      </c>
      <c r="E50" s="44">
        <v>34.152031083602765</v>
      </c>
      <c r="F50" s="44">
        <v>35.200167001426856</v>
      </c>
      <c r="G50" s="44">
        <v>36.292342365701749</v>
      </c>
      <c r="H50" s="44">
        <v>37.430799779848087</v>
      </c>
      <c r="I50" s="103">
        <v>38.617913339066398</v>
      </c>
      <c r="J50" s="44">
        <v>39.856197264637011</v>
      </c>
      <c r="K50" s="44">
        <v>41.14831516231056</v>
      </c>
      <c r="L50" s="44">
        <v>42.497089953863707</v>
      </c>
      <c r="M50" s="44">
        <v>43.90551453505622</v>
      </c>
      <c r="N50" s="44">
        <v>45.376763217765784</v>
      </c>
    </row>
    <row r="51" spans="2:14" ht="16">
      <c r="B51" s="1"/>
      <c r="C51" s="695">
        <v>0.11499999999999996</v>
      </c>
      <c r="D51" s="44">
        <v>33.415480637122187</v>
      </c>
      <c r="E51" s="44">
        <v>34.42921500333378</v>
      </c>
      <c r="F51" s="44">
        <v>35.485179113031975</v>
      </c>
      <c r="G51" s="44">
        <v>36.585507941628961</v>
      </c>
      <c r="H51" s="44">
        <v>37.732460839011019</v>
      </c>
      <c r="I51" s="103">
        <v>38.928429647555156</v>
      </c>
      <c r="J51" s="44">
        <v>40.1759474035727</v>
      </c>
      <c r="K51" s="44">
        <v>41.477697667803994</v>
      </c>
      <c r="L51" s="44">
        <v>42.836524534436961</v>
      </c>
      <c r="M51" s="44">
        <v>44.255443372318545</v>
      </c>
      <c r="N51" s="44">
        <v>45.737652356606127</v>
      </c>
    </row>
    <row r="52" spans="2:14" ht="16">
      <c r="B52" s="1"/>
      <c r="C52" s="695">
        <v>0.10999999999999996</v>
      </c>
      <c r="D52" s="44">
        <v>33.685145829122114</v>
      </c>
      <c r="E52" s="44">
        <v>34.706398923064796</v>
      </c>
      <c r="F52" s="44">
        <v>35.770191224637088</v>
      </c>
      <c r="G52" s="44">
        <v>36.87867351755618</v>
      </c>
      <c r="H52" s="44">
        <v>38.034121898173957</v>
      </c>
      <c r="I52" s="103">
        <v>39.238945956043921</v>
      </c>
      <c r="J52" s="44">
        <v>40.495697542508388</v>
      </c>
      <c r="K52" s="44">
        <v>41.807080173297443</v>
      </c>
      <c r="L52" s="44">
        <v>43.175959115010208</v>
      </c>
      <c r="M52" s="44">
        <v>44.605372209580871</v>
      </c>
      <c r="N52" s="44">
        <v>46.098541495446469</v>
      </c>
    </row>
    <row r="53" spans="2:14" ht="16">
      <c r="B53" s="1"/>
      <c r="C53" s="695">
        <v>0.10499999999999995</v>
      </c>
      <c r="D53" s="44">
        <v>33.95481102112204</v>
      </c>
      <c r="E53" s="44">
        <v>34.983582842795812</v>
      </c>
      <c r="F53" s="44">
        <v>36.055203336242215</v>
      </c>
      <c r="G53" s="44">
        <v>37.171839093483392</v>
      </c>
      <c r="H53" s="44">
        <v>38.335782957336903</v>
      </c>
      <c r="I53" s="103">
        <v>39.549462264532671</v>
      </c>
      <c r="J53" s="44">
        <v>40.815447681444077</v>
      </c>
      <c r="K53" s="44">
        <v>42.136462678790878</v>
      </c>
      <c r="L53" s="44">
        <v>43.515393695583448</v>
      </c>
      <c r="M53" s="44">
        <v>44.955301046843196</v>
      </c>
      <c r="N53" s="44">
        <v>46.459430634286804</v>
      </c>
    </row>
    <row r="54" spans="2:14" ht="16">
      <c r="B54" s="1"/>
      <c r="C54" s="695">
        <v>9.999999999999995E-2</v>
      </c>
      <c r="D54" s="44">
        <v>34.224476213121974</v>
      </c>
      <c r="E54" s="44">
        <v>35.260766762526835</v>
      </c>
      <c r="F54" s="44">
        <v>36.340215447847335</v>
      </c>
      <c r="G54" s="44">
        <v>37.465004669410604</v>
      </c>
      <c r="H54" s="44">
        <v>38.637444016499842</v>
      </c>
      <c r="I54" s="103">
        <v>39.859978573021429</v>
      </c>
      <c r="J54" s="44">
        <v>41.135197820379773</v>
      </c>
      <c r="K54" s="44">
        <v>42.465845184284319</v>
      </c>
      <c r="L54" s="44">
        <v>43.854828276156702</v>
      </c>
      <c r="M54" s="44">
        <v>45.305229884105529</v>
      </c>
      <c r="N54" s="44">
        <v>46.820319773127153</v>
      </c>
    </row>
    <row r="55" spans="2:14" ht="16">
      <c r="B55" s="1"/>
      <c r="C55" s="690"/>
      <c r="D55" s="690"/>
      <c r="E55" s="690"/>
      <c r="F55" s="690"/>
      <c r="G55" s="690"/>
      <c r="H55" s="691"/>
      <c r="I55" s="692" t="s">
        <v>136</v>
      </c>
      <c r="J55" s="690"/>
      <c r="K55" s="690"/>
      <c r="L55" s="690"/>
      <c r="M55" s="690"/>
      <c r="N55" s="690"/>
    </row>
    <row r="56" spans="2:14" ht="16">
      <c r="B56" s="1"/>
      <c r="C56" s="693">
        <v>44.203709258832035</v>
      </c>
      <c r="D56" s="101">
        <v>0.125</v>
      </c>
      <c r="E56" s="102">
        <v>0.12</v>
      </c>
      <c r="F56" s="102">
        <v>0.11499999999999999</v>
      </c>
      <c r="G56" s="102">
        <v>0.10999999999999999</v>
      </c>
      <c r="H56" s="102">
        <v>0.10499999999999998</v>
      </c>
      <c r="I56" s="102">
        <v>9.9999999999999978E-2</v>
      </c>
      <c r="J56" s="102">
        <v>9.4999999999999973E-2</v>
      </c>
      <c r="K56" s="102">
        <v>8.9999999999999969E-2</v>
      </c>
      <c r="L56" s="102">
        <v>8.4999999999999964E-2</v>
      </c>
      <c r="M56" s="102">
        <v>7.999999999999996E-2</v>
      </c>
      <c r="N56" s="102">
        <v>7.4999999999999956E-2</v>
      </c>
    </row>
    <row r="57" spans="2:14" ht="16">
      <c r="B57" s="1"/>
      <c r="C57" s="696">
        <v>0.7</v>
      </c>
      <c r="D57" s="44">
        <v>32.430104581823251</v>
      </c>
      <c r="E57" s="44">
        <v>33.569092172480829</v>
      </c>
      <c r="F57" s="44">
        <v>34.760454139036291</v>
      </c>
      <c r="G57" s="44">
        <v>36.007046662976983</v>
      </c>
      <c r="H57" s="44">
        <v>37.311902987393772</v>
      </c>
      <c r="I57" s="103">
        <v>38.678245601478025</v>
      </c>
      <c r="J57" s="44">
        <v>40.109499341786396</v>
      </c>
      <c r="K57" s="44">
        <v>41.609305484907665</v>
      </c>
      <c r="L57" s="44">
        <v>43.181536912689744</v>
      </c>
      <c r="M57" s="44">
        <v>44.830314438317409</v>
      </c>
      <c r="N57" s="44">
        <v>46.560024389332597</v>
      </c>
    </row>
    <row r="58" spans="2:14" ht="16">
      <c r="B58" s="1"/>
      <c r="C58" s="697">
        <v>0.72</v>
      </c>
      <c r="D58" s="44">
        <v>33.356678998446775</v>
      </c>
      <c r="E58" s="44">
        <v>34.528209091694571</v>
      </c>
      <c r="F58" s="44">
        <v>35.753609971580183</v>
      </c>
      <c r="G58" s="44">
        <v>37.035819424776335</v>
      </c>
      <c r="H58" s="44">
        <v>38.377957358462169</v>
      </c>
      <c r="I58" s="103">
        <v>39.78333833294883</v>
      </c>
      <c r="J58" s="44">
        <v>41.255485037266006</v>
      </c>
      <c r="K58" s="44">
        <v>42.798142784476454</v>
      </c>
      <c r="L58" s="44">
        <v>44.415295110195167</v>
      </c>
      <c r="M58" s="44">
        <v>46.111180565126475</v>
      </c>
      <c r="N58" s="44">
        <v>47.890310800456383</v>
      </c>
    </row>
    <row r="59" spans="2:14" ht="16">
      <c r="B59" s="1"/>
      <c r="C59" s="697">
        <v>0.74</v>
      </c>
      <c r="D59" s="44">
        <v>34.283253415070298</v>
      </c>
      <c r="E59" s="44">
        <v>35.487326010908305</v>
      </c>
      <c r="F59" s="44">
        <v>36.746765804124074</v>
      </c>
      <c r="G59" s="44">
        <v>38.064592186575673</v>
      </c>
      <c r="H59" s="44">
        <v>39.444011729530558</v>
      </c>
      <c r="I59" s="103">
        <v>40.888431064419628</v>
      </c>
      <c r="J59" s="44">
        <v>42.401470732745622</v>
      </c>
      <c r="K59" s="44">
        <v>43.98698008404525</v>
      </c>
      <c r="L59" s="44">
        <v>45.649053307700591</v>
      </c>
      <c r="M59" s="44">
        <v>47.392046691935555</v>
      </c>
      <c r="N59" s="44">
        <v>49.220597211580177</v>
      </c>
    </row>
    <row r="60" spans="2:14" ht="16">
      <c r="B60" s="6" t="s">
        <v>513</v>
      </c>
      <c r="C60" s="697">
        <v>0.76</v>
      </c>
      <c r="D60" s="44">
        <v>35.209827831693815</v>
      </c>
      <c r="E60" s="44">
        <v>36.446442930122046</v>
      </c>
      <c r="F60" s="44">
        <v>37.739921636667972</v>
      </c>
      <c r="G60" s="44">
        <v>39.093364948375019</v>
      </c>
      <c r="H60" s="44">
        <v>40.510066100598962</v>
      </c>
      <c r="I60" s="103">
        <v>41.993523795890432</v>
      </c>
      <c r="J60" s="44">
        <v>43.547456428225239</v>
      </c>
      <c r="K60" s="44">
        <v>45.175817383614046</v>
      </c>
      <c r="L60" s="44">
        <v>46.882811505206014</v>
      </c>
      <c r="M60" s="44">
        <v>48.672912818744621</v>
      </c>
      <c r="N60" s="44">
        <v>50.550883622703971</v>
      </c>
    </row>
    <row r="61" spans="2:14" ht="16">
      <c r="B61" s="6" t="s">
        <v>514</v>
      </c>
      <c r="C61" s="697">
        <v>0.78</v>
      </c>
      <c r="D61" s="44">
        <v>36.136402248317339</v>
      </c>
      <c r="E61" s="44">
        <v>37.405559849335788</v>
      </c>
      <c r="F61" s="44">
        <v>38.733077469211871</v>
      </c>
      <c r="G61" s="44">
        <v>40.122137710174357</v>
      </c>
      <c r="H61" s="44">
        <v>41.576120471667352</v>
      </c>
      <c r="I61" s="103">
        <v>43.09861652736123</v>
      </c>
      <c r="J61" s="44">
        <v>44.693442123704841</v>
      </c>
      <c r="K61" s="44">
        <v>46.364654683182827</v>
      </c>
      <c r="L61" s="44">
        <v>48.116569702711431</v>
      </c>
      <c r="M61" s="44">
        <v>49.953778945553687</v>
      </c>
      <c r="N61" s="44">
        <v>51.88117003382775</v>
      </c>
    </row>
    <row r="62" spans="2:14" ht="16">
      <c r="B62" s="6" t="s">
        <v>515</v>
      </c>
      <c r="C62" s="697">
        <v>0.8</v>
      </c>
      <c r="D62" s="103">
        <v>37.062976664940862</v>
      </c>
      <c r="E62" s="103">
        <v>38.364676768549529</v>
      </c>
      <c r="F62" s="103">
        <v>39.726233301755762</v>
      </c>
      <c r="G62" s="103">
        <v>41.150910471973702</v>
      </c>
      <c r="H62" s="103">
        <v>42.642174842735749</v>
      </c>
      <c r="I62" s="103">
        <v>44.203709258832035</v>
      </c>
      <c r="J62" s="103">
        <v>45.839427819184458</v>
      </c>
      <c r="K62" s="103">
        <v>47.553491982751623</v>
      </c>
      <c r="L62" s="103">
        <v>49.350327900216854</v>
      </c>
      <c r="M62" s="103">
        <v>51.23464507236276</v>
      </c>
      <c r="N62" s="103">
        <v>53.211456444951544</v>
      </c>
    </row>
    <row r="63" spans="2:14" ht="16">
      <c r="B63" s="1"/>
      <c r="C63" s="697">
        <v>0.82000000000000006</v>
      </c>
      <c r="D63" s="44">
        <v>37.989551081564386</v>
      </c>
      <c r="E63" s="44">
        <v>39.323793687763263</v>
      </c>
      <c r="F63" s="44">
        <v>40.719389134299661</v>
      </c>
      <c r="G63" s="44">
        <v>42.179683233773048</v>
      </c>
      <c r="H63" s="44">
        <v>43.708229213804145</v>
      </c>
      <c r="I63" s="103">
        <v>45.30880199030284</v>
      </c>
      <c r="J63" s="44">
        <v>46.985413514664074</v>
      </c>
      <c r="K63" s="44">
        <v>48.742329282320412</v>
      </c>
      <c r="L63" s="44">
        <v>50.584086097722277</v>
      </c>
      <c r="M63" s="44">
        <v>52.515511199171826</v>
      </c>
      <c r="N63" s="44">
        <v>54.541742856075338</v>
      </c>
    </row>
    <row r="64" spans="2:14" ht="16">
      <c r="B64" s="1"/>
      <c r="C64" s="697">
        <v>0.84000000000000008</v>
      </c>
      <c r="D64" s="44">
        <v>38.91612549818791</v>
      </c>
      <c r="E64" s="44">
        <v>40.282910606976998</v>
      </c>
      <c r="F64" s="44">
        <v>41.712544966843552</v>
      </c>
      <c r="G64" s="44">
        <v>43.208455995572393</v>
      </c>
      <c r="H64" s="44">
        <v>44.774283584872535</v>
      </c>
      <c r="I64" s="103">
        <v>46.413894721773644</v>
      </c>
      <c r="J64" s="44">
        <v>48.131399210143684</v>
      </c>
      <c r="K64" s="44">
        <v>49.931166581889208</v>
      </c>
      <c r="L64" s="44">
        <v>51.817844295227701</v>
      </c>
      <c r="M64" s="44">
        <v>53.796377325980892</v>
      </c>
      <c r="N64" s="44">
        <v>55.872029267199132</v>
      </c>
    </row>
    <row r="65" spans="2:14" ht="16">
      <c r="B65" s="1"/>
      <c r="C65" s="697">
        <v>0.8600000000000001</v>
      </c>
      <c r="D65" s="44">
        <v>39.842699914811433</v>
      </c>
      <c r="E65" s="44">
        <v>41.242027526190739</v>
      </c>
      <c r="F65" s="44">
        <v>42.705700799387444</v>
      </c>
      <c r="G65" s="44">
        <v>44.237228757371739</v>
      </c>
      <c r="H65" s="44">
        <v>45.840337955940932</v>
      </c>
      <c r="I65" s="103">
        <v>47.518987453244435</v>
      </c>
      <c r="J65" s="44">
        <v>49.277384905623293</v>
      </c>
      <c r="K65" s="44">
        <v>51.120003881458004</v>
      </c>
      <c r="L65" s="44">
        <v>53.051602492733124</v>
      </c>
      <c r="M65" s="44">
        <v>55.077243452789972</v>
      </c>
      <c r="N65" s="44">
        <v>57.202315678322911</v>
      </c>
    </row>
    <row r="66" spans="2:14" ht="16">
      <c r="B66" s="1"/>
      <c r="C66" s="697">
        <v>0.88000000000000012</v>
      </c>
      <c r="D66" s="44">
        <v>40.76927433143495</v>
      </c>
      <c r="E66" s="44">
        <v>42.201144445404481</v>
      </c>
      <c r="F66" s="44">
        <v>43.698856631931342</v>
      </c>
      <c r="G66" s="44">
        <v>45.266001519171084</v>
      </c>
      <c r="H66" s="44">
        <v>46.906392327009328</v>
      </c>
      <c r="I66" s="103">
        <v>48.62408018471524</v>
      </c>
      <c r="J66" s="44">
        <v>50.42337060110291</v>
      </c>
      <c r="K66" s="44">
        <v>52.308841181026793</v>
      </c>
      <c r="L66" s="44">
        <v>54.285360690238548</v>
      </c>
      <c r="M66" s="44">
        <v>56.358109579599038</v>
      </c>
      <c r="N66" s="44">
        <v>58.532602089446705</v>
      </c>
    </row>
    <row r="67" spans="2:14" ht="16">
      <c r="B67" s="1"/>
      <c r="C67" s="697">
        <v>0.90000000000000013</v>
      </c>
      <c r="D67" s="44">
        <v>41.695848748058474</v>
      </c>
      <c r="E67" s="44">
        <v>43.160261364618222</v>
      </c>
      <c r="F67" s="44">
        <v>44.692012464475233</v>
      </c>
      <c r="G67" s="44">
        <v>46.294774280970415</v>
      </c>
      <c r="H67" s="44">
        <v>47.972446698077718</v>
      </c>
      <c r="I67" s="103">
        <v>49.729172916186045</v>
      </c>
      <c r="J67" s="44">
        <v>51.569356296582519</v>
      </c>
      <c r="K67" s="44">
        <v>53.497678480595582</v>
      </c>
      <c r="L67" s="44">
        <v>55.519118887743964</v>
      </c>
      <c r="M67" s="44">
        <v>57.638975706408111</v>
      </c>
      <c r="N67" s="44">
        <v>59.862888500570499</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38AA6-AC14-45BB-9F1D-70CE5809716F}">
  <dimension ref="B2:R36"/>
  <sheetViews>
    <sheetView showGridLines="0" topLeftCell="A10" zoomScale="64" workbookViewId="0">
      <selection activeCell="L6" sqref="L6"/>
    </sheetView>
  </sheetViews>
  <sheetFormatPr defaultRowHeight="14.5"/>
  <cols>
    <col min="2" max="2" width="38.1796875" bestFit="1" customWidth="1"/>
    <col min="6" max="8" width="9.81640625" bestFit="1" customWidth="1"/>
    <col min="9" max="10" width="10.90625" bestFit="1" customWidth="1"/>
    <col min="11" max="13" width="10.26953125" bestFit="1" customWidth="1"/>
    <col min="14" max="16" width="11.90625" bestFit="1" customWidth="1"/>
    <col min="18" max="18" width="9.7265625" bestFit="1" customWidth="1"/>
  </cols>
  <sheetData>
    <row r="2" spans="2:18" ht="16">
      <c r="B2" s="434"/>
      <c r="C2" s="434"/>
      <c r="D2" s="435"/>
      <c r="E2" s="435"/>
      <c r="F2" s="436" t="s">
        <v>361</v>
      </c>
      <c r="G2" s="436"/>
      <c r="H2" s="436"/>
      <c r="I2" s="436"/>
      <c r="J2" s="436"/>
      <c r="K2" s="652"/>
      <c r="L2" s="655"/>
      <c r="M2" s="652"/>
      <c r="N2" s="652"/>
      <c r="O2" s="436" t="s">
        <v>1</v>
      </c>
      <c r="P2" s="6"/>
      <c r="Q2" s="438"/>
      <c r="R2" s="437" t="s">
        <v>226</v>
      </c>
    </row>
    <row r="3" spans="2:18" ht="16">
      <c r="B3" s="5" t="s">
        <v>316</v>
      </c>
      <c r="C3" s="5"/>
      <c r="D3" s="439" t="s">
        <v>2</v>
      </c>
      <c r="E3" s="439"/>
      <c r="F3" s="305">
        <f>Model!G17</f>
        <v>43646</v>
      </c>
      <c r="G3" s="305">
        <f>Model!H17</f>
        <v>44012</v>
      </c>
      <c r="H3" s="305">
        <f>Model!I17</f>
        <v>44377</v>
      </c>
      <c r="I3" s="305">
        <f>Model!J17</f>
        <v>44742</v>
      </c>
      <c r="J3" s="305">
        <f>Model!K17</f>
        <v>45107</v>
      </c>
      <c r="K3" s="305">
        <f>Model!L17</f>
        <v>45473</v>
      </c>
      <c r="L3" s="700">
        <f>Model!M17</f>
        <v>45838</v>
      </c>
      <c r="M3" s="699">
        <f>Model!N17</f>
        <v>46203</v>
      </c>
      <c r="N3" s="305">
        <f>Model!O17</f>
        <v>46568</v>
      </c>
      <c r="O3" s="305">
        <f>Model!P17</f>
        <v>46934</v>
      </c>
      <c r="P3" s="305">
        <f>Model!Q17</f>
        <v>47299</v>
      </c>
      <c r="Q3" s="438"/>
      <c r="R3" s="305" t="s">
        <v>317</v>
      </c>
    </row>
    <row r="4" spans="2:18" ht="16">
      <c r="B4" s="47"/>
      <c r="C4" s="47"/>
      <c r="D4" s="445"/>
      <c r="E4" s="445"/>
      <c r="F4" s="445"/>
      <c r="G4" s="446"/>
      <c r="H4" s="446"/>
      <c r="I4" s="446"/>
      <c r="J4" s="446"/>
      <c r="K4" s="446"/>
      <c r="L4" s="446"/>
      <c r="M4" s="446"/>
      <c r="N4" s="446"/>
      <c r="O4" s="446"/>
      <c r="P4" s="446"/>
      <c r="Q4" s="417"/>
      <c r="R4" s="446"/>
    </row>
    <row r="5" spans="2:18" ht="16">
      <c r="B5" s="15" t="s">
        <v>329</v>
      </c>
      <c r="C5" s="447"/>
      <c r="D5" s="440" t="s">
        <v>94</v>
      </c>
      <c r="E5" s="440"/>
      <c r="F5" s="448">
        <f t="shared" ref="F5:K5" si="0">INDEX(Model_Range,MATCH($B5,Model_Params,0),MATCH(F$3,Model_Years,0))</f>
        <v>59215</v>
      </c>
      <c r="G5" s="448">
        <f t="shared" si="0"/>
        <v>22334</v>
      </c>
      <c r="H5" s="448">
        <f t="shared" si="0"/>
        <v>0</v>
      </c>
      <c r="I5" s="448">
        <f t="shared" si="0"/>
        <v>0</v>
      </c>
      <c r="J5" s="448">
        <f t="shared" si="0"/>
        <v>27963</v>
      </c>
      <c r="K5" s="448">
        <f t="shared" si="0"/>
        <v>169117</v>
      </c>
      <c r="L5" s="448">
        <f>Drivers!N75</f>
        <v>264448.8</v>
      </c>
      <c r="M5" s="448">
        <f>Drivers!O75</f>
        <v>364321.152</v>
      </c>
      <c r="N5" s="448">
        <f>Drivers!P75</f>
        <v>532478.25232155633</v>
      </c>
      <c r="O5" s="448">
        <f>Drivers!Q75</f>
        <v>916063.01737108361</v>
      </c>
      <c r="P5" s="448">
        <f>Drivers!R75</f>
        <v>1269902.1834320638</v>
      </c>
      <c r="Q5" s="417"/>
      <c r="R5" s="441">
        <f>(P5/J5)^(1/YEARFRAC(J$3,P$3,))-1</f>
        <v>0.88885122088473301</v>
      </c>
    </row>
    <row r="6" spans="2:18" ht="16">
      <c r="B6" s="442" t="s">
        <v>318</v>
      </c>
      <c r="C6" s="449"/>
      <c r="D6" s="440" t="s">
        <v>15</v>
      </c>
      <c r="E6" s="440"/>
      <c r="F6" s="461">
        <f>INDEX(Model_Range,MATCH($B6,Model_Params,0),MATCH(F$3,Model_Years,0))</f>
        <v>-0.42659462181293517</v>
      </c>
      <c r="G6" s="461">
        <f>INDEX(Model_Range,MATCH($B6,Model_Params,0),MATCH(G$3,Model_Years,0))</f>
        <v>-0.62283205268935238</v>
      </c>
      <c r="H6" s="467" t="s">
        <v>142</v>
      </c>
      <c r="I6" s="467" t="s">
        <v>142</v>
      </c>
      <c r="J6" s="467" t="s">
        <v>142</v>
      </c>
      <c r="K6" s="461">
        <f>K5/J5-1</f>
        <v>5.0478847047884701</v>
      </c>
      <c r="L6" s="461">
        <f t="shared" ref="L6:P6" si="1">L5/K5-1</f>
        <v>0.56370323503846453</v>
      </c>
      <c r="M6" s="461">
        <f t="shared" si="1"/>
        <v>0.37766233766233781</v>
      </c>
      <c r="N6" s="461">
        <f t="shared" si="1"/>
        <v>0.46156282554123096</v>
      </c>
      <c r="O6" s="461">
        <f t="shared" si="1"/>
        <v>0.72037639730286251</v>
      </c>
      <c r="P6" s="461">
        <f t="shared" si="1"/>
        <v>0.3862607259011801</v>
      </c>
      <c r="Q6" s="417"/>
      <c r="R6" s="417"/>
    </row>
    <row r="7" spans="2:18" ht="16">
      <c r="B7" s="450"/>
      <c r="C7" s="451"/>
      <c r="D7" s="451"/>
      <c r="E7" s="451"/>
      <c r="F7" s="448"/>
      <c r="G7" s="448"/>
      <c r="H7" s="448"/>
      <c r="I7" s="448"/>
      <c r="J7" s="448"/>
      <c r="K7" s="448"/>
      <c r="L7" s="448"/>
      <c r="M7" s="448"/>
      <c r="N7" s="448"/>
      <c r="O7" s="448"/>
      <c r="P7" s="448"/>
      <c r="Q7" s="417"/>
      <c r="R7" s="417"/>
    </row>
    <row r="8" spans="2:18" ht="16">
      <c r="B8" s="29" t="s">
        <v>319</v>
      </c>
      <c r="C8" s="447"/>
      <c r="D8" s="440" t="s">
        <v>94</v>
      </c>
      <c r="E8" s="440"/>
      <c r="F8" s="448">
        <f t="shared" ref="F8:P8" si="2">INDEX(Model_Range,MATCH($B8,Model_Params,0),MATCH(F$3,Model_Years,0))</f>
        <v>47090</v>
      </c>
      <c r="G8" s="448">
        <f t="shared" si="2"/>
        <v>16592</v>
      </c>
      <c r="H8" s="448">
        <f t="shared" si="2"/>
        <v>0</v>
      </c>
      <c r="I8" s="448">
        <f t="shared" si="2"/>
        <v>0</v>
      </c>
      <c r="J8" s="448">
        <f t="shared" si="2"/>
        <v>27117</v>
      </c>
      <c r="K8" s="448">
        <f t="shared" si="2"/>
        <v>153840</v>
      </c>
      <c r="L8" s="448">
        <f t="shared" si="2"/>
        <v>224781.47999999998</v>
      </c>
      <c r="M8" s="448">
        <f t="shared" si="2"/>
        <v>309906.5184</v>
      </c>
      <c r="N8" s="448">
        <f t="shared" si="2"/>
        <v>455192.87775552372</v>
      </c>
      <c r="O8" s="448">
        <f t="shared" si="2"/>
        <v>792353.52277731535</v>
      </c>
      <c r="P8" s="448">
        <f t="shared" si="2"/>
        <v>1105953.7614466343</v>
      </c>
      <c r="Q8" s="417"/>
      <c r="R8" s="441">
        <f>(P8/J8)^(1/YEARFRAC(J$3,P$3,))-1</f>
        <v>0.85530744855264662</v>
      </c>
    </row>
    <row r="9" spans="2:18" ht="16">
      <c r="B9" s="442" t="s">
        <v>320</v>
      </c>
      <c r="C9" s="449"/>
      <c r="D9" s="440" t="s">
        <v>15</v>
      </c>
      <c r="E9" s="440"/>
      <c r="F9" s="461">
        <f>INDEX(Model_Range,MATCH($B9,Model_Params,0),MATCH(F$3,Model_Years,0))</f>
        <v>0.79523769315207293</v>
      </c>
      <c r="G9" s="461">
        <f>INDEX(Model_Range,MATCH($B9,Model_Params,0),MATCH(G$3,Model_Years,0))</f>
        <v>0.74290319691949491</v>
      </c>
      <c r="H9" s="467" t="s">
        <v>142</v>
      </c>
      <c r="I9" s="467" t="s">
        <v>142</v>
      </c>
      <c r="J9" s="461">
        <f t="shared" ref="J9:P9" si="3">INDEX(Model_Range,MATCH($B9,Model_Params,0),MATCH(J$3,Model_Years,0))</f>
        <v>0.96974573543611198</v>
      </c>
      <c r="K9" s="461">
        <f t="shared" si="3"/>
        <v>0.9096660891572107</v>
      </c>
      <c r="L9" s="461">
        <f t="shared" si="3"/>
        <v>0.85</v>
      </c>
      <c r="M9" s="461">
        <f t="shared" si="3"/>
        <v>0.85064102564102562</v>
      </c>
      <c r="N9" s="461">
        <f t="shared" si="3"/>
        <v>0.85485721862052488</v>
      </c>
      <c r="O9" s="461">
        <f t="shared" si="3"/>
        <v>0.86495525717347521</v>
      </c>
      <c r="P9" s="461">
        <f t="shared" si="3"/>
        <v>0.87089681069581348</v>
      </c>
      <c r="Q9" s="417"/>
      <c r="R9" s="417"/>
    </row>
    <row r="10" spans="2:18" ht="16">
      <c r="B10" s="450"/>
      <c r="C10" s="451"/>
      <c r="D10" s="451"/>
      <c r="E10" s="451"/>
      <c r="F10" s="448"/>
      <c r="G10" s="448"/>
      <c r="H10" s="448"/>
      <c r="I10" s="448"/>
      <c r="J10" s="448"/>
      <c r="K10" s="448"/>
      <c r="L10" s="448"/>
      <c r="M10" s="448"/>
      <c r="N10" s="448"/>
      <c r="O10" s="448"/>
      <c r="P10" s="448"/>
      <c r="Q10" s="417"/>
      <c r="R10" s="417"/>
    </row>
    <row r="11" spans="2:18" ht="16">
      <c r="B11" s="15" t="s">
        <v>31</v>
      </c>
      <c r="C11" s="447"/>
      <c r="D11" s="440" t="s">
        <v>94</v>
      </c>
      <c r="E11" s="440"/>
      <c r="F11" s="448">
        <f t="shared" ref="F11:P11" si="4">INDEX(Model_Range,MATCH($B11,Model_Params,0),MATCH(F$3,Model_Years,0))</f>
        <v>-34887</v>
      </c>
      <c r="G11" s="448">
        <f t="shared" si="4"/>
        <v>49055</v>
      </c>
      <c r="H11" s="448">
        <f t="shared" si="4"/>
        <v>-77329</v>
      </c>
      <c r="I11" s="448">
        <f t="shared" si="4"/>
        <v>-137464</v>
      </c>
      <c r="J11" s="448">
        <f t="shared" si="4"/>
        <v>-160276</v>
      </c>
      <c r="K11" s="448">
        <f t="shared" si="4"/>
        <v>-48832</v>
      </c>
      <c r="L11" s="448">
        <f t="shared" si="4"/>
        <v>105821.831808</v>
      </c>
      <c r="M11" s="448">
        <f t="shared" si="4"/>
        <v>154904.12255232001</v>
      </c>
      <c r="N11" s="448">
        <f t="shared" si="4"/>
        <v>228049.86038938275</v>
      </c>
      <c r="O11" s="448">
        <f t="shared" si="4"/>
        <v>403031.65886444546</v>
      </c>
      <c r="P11" s="448">
        <f t="shared" si="4"/>
        <v>589932.03502590419</v>
      </c>
      <c r="Q11" s="417"/>
      <c r="R11" s="441">
        <f>(P11/L11)^(1/YEARFRAC(L$3,P$3,))-1</f>
        <v>0.53658530773808355</v>
      </c>
    </row>
    <row r="12" spans="2:18" ht="16">
      <c r="B12" s="18" t="s">
        <v>321</v>
      </c>
      <c r="C12" s="452"/>
      <c r="D12" s="440" t="s">
        <v>322</v>
      </c>
      <c r="E12" s="440"/>
      <c r="F12" s="482"/>
      <c r="G12" s="482"/>
      <c r="H12" s="482"/>
      <c r="I12" s="482"/>
      <c r="J12" s="482"/>
      <c r="K12" s="482"/>
      <c r="L12" s="482"/>
      <c r="M12" s="482"/>
      <c r="N12" s="482"/>
      <c r="O12" s="482"/>
      <c r="P12" s="482"/>
      <c r="Q12" s="417"/>
      <c r="R12" s="441"/>
    </row>
    <row r="13" spans="2:18" ht="16">
      <c r="B13" s="450"/>
      <c r="C13" s="451"/>
      <c r="D13" s="451"/>
      <c r="E13" s="451"/>
      <c r="F13" s="448"/>
      <c r="G13" s="448"/>
      <c r="H13" s="448"/>
      <c r="I13" s="448"/>
      <c r="J13" s="448"/>
      <c r="K13" s="448"/>
      <c r="L13" s="448"/>
      <c r="M13" s="448"/>
      <c r="N13" s="448"/>
      <c r="O13" s="448"/>
      <c r="P13" s="448"/>
      <c r="Q13" s="417"/>
      <c r="R13" s="417"/>
    </row>
    <row r="14" spans="2:18" ht="16">
      <c r="B14" s="32" t="s">
        <v>68</v>
      </c>
      <c r="C14" s="452"/>
      <c r="D14" s="440" t="s">
        <v>94</v>
      </c>
      <c r="E14" s="440"/>
      <c r="F14" s="448">
        <f t="shared" ref="F14:P16" si="5">INDEX(Model_Range,MATCH($B14,Model_Params,0),MATCH(F$3,Model_Years,0))</f>
        <v>-38325</v>
      </c>
      <c r="G14" s="448">
        <f t="shared" si="5"/>
        <v>-48734</v>
      </c>
      <c r="H14" s="448">
        <f t="shared" si="5"/>
        <v>-77310</v>
      </c>
      <c r="I14" s="448">
        <f t="shared" si="5"/>
        <v>-70304</v>
      </c>
      <c r="J14" s="448">
        <f t="shared" si="5"/>
        <v>-128511</v>
      </c>
      <c r="K14" s="448">
        <f t="shared" si="5"/>
        <v>-46907</v>
      </c>
      <c r="L14" s="448">
        <f t="shared" si="5"/>
        <v>111282.05428799998</v>
      </c>
      <c r="M14" s="448">
        <f t="shared" si="5"/>
        <v>168845.73867952003</v>
      </c>
      <c r="N14" s="448">
        <f t="shared" si="5"/>
        <v>244981.39805881531</v>
      </c>
      <c r="O14" s="448">
        <f t="shared" si="5"/>
        <v>430083.69344155112</v>
      </c>
      <c r="P14" s="448">
        <f t="shared" si="5"/>
        <v>625066.66806994472</v>
      </c>
      <c r="Q14" s="417"/>
      <c r="R14" s="441">
        <f>(P14/L14)^(1/YEARFRAC(L$3,P$3,))-1</f>
        <v>0.53948443244423494</v>
      </c>
    </row>
    <row r="15" spans="2:18" ht="16">
      <c r="B15" s="32" t="s">
        <v>81</v>
      </c>
      <c r="C15" s="452"/>
      <c r="D15" s="440" t="s">
        <v>94</v>
      </c>
      <c r="E15" s="440"/>
      <c r="F15" s="448">
        <f t="shared" si="5"/>
        <v>38723</v>
      </c>
      <c r="G15" s="448">
        <f t="shared" si="5"/>
        <v>-69721</v>
      </c>
      <c r="H15" s="448">
        <f t="shared" si="5"/>
        <v>56929</v>
      </c>
      <c r="I15" s="448">
        <f t="shared" si="5"/>
        <v>79698</v>
      </c>
      <c r="J15" s="448">
        <f t="shared" si="5"/>
        <v>-50093</v>
      </c>
      <c r="K15" s="448">
        <f t="shared" si="5"/>
        <v>51780</v>
      </c>
      <c r="L15" s="448">
        <f t="shared" si="5"/>
        <v>22406</v>
      </c>
      <c r="M15" s="448">
        <f t="shared" si="5"/>
        <v>0</v>
      </c>
      <c r="N15" s="448">
        <f t="shared" si="5"/>
        <v>0</v>
      </c>
      <c r="O15" s="448">
        <f t="shared" si="5"/>
        <v>0</v>
      </c>
      <c r="P15" s="448">
        <f t="shared" si="5"/>
        <v>0</v>
      </c>
      <c r="Q15" s="417"/>
      <c r="R15" s="441" t="s">
        <v>142</v>
      </c>
    </row>
    <row r="16" spans="2:18" ht="16">
      <c r="B16" s="32" t="s">
        <v>83</v>
      </c>
      <c r="C16" s="452"/>
      <c r="D16" s="440" t="s">
        <v>94</v>
      </c>
      <c r="E16" s="440"/>
      <c r="F16" s="448">
        <f t="shared" si="5"/>
        <v>-27</v>
      </c>
      <c r="G16" s="448">
        <f t="shared" si="5"/>
        <v>179683</v>
      </c>
      <c r="H16" s="448">
        <f t="shared" si="5"/>
        <v>263</v>
      </c>
      <c r="I16" s="448">
        <f t="shared" si="5"/>
        <v>14543</v>
      </c>
      <c r="J16" s="448">
        <f t="shared" si="5"/>
        <v>135335</v>
      </c>
      <c r="K16" s="448">
        <f t="shared" si="5"/>
        <v>15970</v>
      </c>
      <c r="L16" s="448">
        <f t="shared" si="5"/>
        <v>-33903</v>
      </c>
      <c r="M16" s="448">
        <f t="shared" si="5"/>
        <v>-36339</v>
      </c>
      <c r="N16" s="448">
        <f t="shared" si="5"/>
        <v>0</v>
      </c>
      <c r="O16" s="448">
        <f t="shared" si="5"/>
        <v>0</v>
      </c>
      <c r="P16" s="448">
        <f t="shared" si="5"/>
        <v>0</v>
      </c>
      <c r="Q16" s="417"/>
      <c r="R16" s="441" t="s">
        <v>142</v>
      </c>
    </row>
    <row r="17" spans="2:18" ht="16">
      <c r="B17" s="449"/>
      <c r="C17" s="452"/>
      <c r="D17" s="440"/>
      <c r="E17" s="440"/>
      <c r="F17" s="448"/>
      <c r="G17" s="448"/>
      <c r="H17" s="448"/>
      <c r="I17" s="448"/>
      <c r="J17" s="448"/>
      <c r="K17" s="448"/>
      <c r="L17" s="448"/>
      <c r="M17" s="448"/>
      <c r="N17" s="448"/>
      <c r="O17" s="448"/>
      <c r="P17" s="448"/>
      <c r="Q17" s="417"/>
      <c r="R17" s="441"/>
    </row>
    <row r="18" spans="2:18" ht="16">
      <c r="B18" s="16" t="s">
        <v>323</v>
      </c>
      <c r="C18" s="452"/>
      <c r="D18" s="440" t="s">
        <v>94</v>
      </c>
      <c r="E18" s="440"/>
      <c r="F18" s="448">
        <f t="shared" ref="F18:P20" si="6">INDEX(Model_Range,MATCH($B18,Model_Params,0),MATCH(F$3,Model_Years,0))</f>
        <v>151436</v>
      </c>
      <c r="G18" s="448">
        <f t="shared" si="6"/>
        <v>311637</v>
      </c>
      <c r="H18" s="448">
        <f t="shared" si="6"/>
        <v>247265</v>
      </c>
      <c r="I18" s="448">
        <f t="shared" si="6"/>
        <v>132785</v>
      </c>
      <c r="J18" s="448">
        <f t="shared" si="6"/>
        <v>164698</v>
      </c>
      <c r="K18" s="448">
        <f t="shared" si="6"/>
        <v>164236</v>
      </c>
      <c r="L18" s="448">
        <f t="shared" si="6"/>
        <v>245870.81428799997</v>
      </c>
      <c r="M18" s="448">
        <f t="shared" si="6"/>
        <v>377107.69576752005</v>
      </c>
      <c r="N18" s="448">
        <f t="shared" si="6"/>
        <v>620941.94829033536</v>
      </c>
      <c r="O18" s="448">
        <f t="shared" si="6"/>
        <v>1049974.2196964065</v>
      </c>
      <c r="P18" s="448">
        <f t="shared" si="6"/>
        <v>1673875.6103217329</v>
      </c>
      <c r="Q18" s="417"/>
      <c r="R18" s="441">
        <f>(P18/J18)^(1/YEARFRAC(J$3,P$3,))-1</f>
        <v>0.47176727698822285</v>
      </c>
    </row>
    <row r="19" spans="2:18" ht="16">
      <c r="B19" s="30" t="s">
        <v>324</v>
      </c>
      <c r="C19" s="451"/>
      <c r="D19" s="440" t="s">
        <v>94</v>
      </c>
      <c r="E19" s="440"/>
      <c r="F19" s="448">
        <f t="shared" si="6"/>
        <v>127240</v>
      </c>
      <c r="G19" s="448">
        <f t="shared" si="6"/>
        <v>128210</v>
      </c>
      <c r="H19" s="448">
        <f t="shared" si="6"/>
        <v>142397</v>
      </c>
      <c r="I19" s="448">
        <f t="shared" si="6"/>
        <v>129282</v>
      </c>
      <c r="J19" s="448">
        <f t="shared" si="6"/>
        <v>0</v>
      </c>
      <c r="K19" s="448">
        <f t="shared" si="6"/>
        <v>0</v>
      </c>
      <c r="L19" s="448">
        <f t="shared" si="6"/>
        <v>0</v>
      </c>
      <c r="M19" s="448">
        <f t="shared" si="6"/>
        <v>0</v>
      </c>
      <c r="N19" s="448">
        <f t="shared" si="6"/>
        <v>0</v>
      </c>
      <c r="O19" s="448">
        <f t="shared" si="6"/>
        <v>0</v>
      </c>
      <c r="P19" s="448">
        <f t="shared" si="6"/>
        <v>0</v>
      </c>
      <c r="Q19" s="417"/>
      <c r="R19" s="441"/>
    </row>
    <row r="20" spans="2:18" ht="16">
      <c r="B20" s="16" t="s">
        <v>37</v>
      </c>
      <c r="C20" s="452"/>
      <c r="D20" s="440" t="s">
        <v>94</v>
      </c>
      <c r="E20" s="440"/>
      <c r="F20" s="448">
        <f t="shared" si="6"/>
        <v>9774</v>
      </c>
      <c r="G20" s="448">
        <f t="shared" si="6"/>
        <v>71722</v>
      </c>
      <c r="H20" s="448">
        <f t="shared" si="6"/>
        <v>50708</v>
      </c>
      <c r="I20" s="448">
        <f t="shared" si="6"/>
        <v>73981</v>
      </c>
      <c r="J20" s="448">
        <f t="shared" si="6"/>
        <v>31167</v>
      </c>
      <c r="K20" s="448">
        <f t="shared" si="6"/>
        <v>51371</v>
      </c>
      <c r="L20" s="448">
        <f t="shared" si="6"/>
        <v>150951.254288</v>
      </c>
      <c r="M20" s="448">
        <f t="shared" si="6"/>
        <v>283068.23296752002</v>
      </c>
      <c r="N20" s="448">
        <f t="shared" si="6"/>
        <v>527761.11902633531</v>
      </c>
      <c r="O20" s="448">
        <f t="shared" si="6"/>
        <v>957631.39806788648</v>
      </c>
      <c r="P20" s="448">
        <f t="shared" si="6"/>
        <v>1582350.9688578313</v>
      </c>
      <c r="Q20" s="417"/>
      <c r="R20" s="441">
        <f>(P20/J20)^(1/YEARFRAC(J$3,P$3,))-1</f>
        <v>0.92427868556530179</v>
      </c>
    </row>
    <row r="21" spans="2:18" ht="16">
      <c r="C21" s="449"/>
      <c r="D21" s="440"/>
      <c r="E21" s="440"/>
      <c r="F21" s="448"/>
      <c r="G21" s="448"/>
      <c r="H21" s="448"/>
      <c r="I21" s="448"/>
      <c r="J21" s="448"/>
      <c r="K21" s="448"/>
      <c r="L21" s="448"/>
      <c r="M21" s="448"/>
      <c r="N21" s="448"/>
      <c r="O21" s="448"/>
      <c r="P21" s="448"/>
      <c r="Q21" s="417"/>
      <c r="R21" s="417"/>
    </row>
    <row r="22" spans="2:18" ht="16">
      <c r="B22" s="27" t="s">
        <v>181</v>
      </c>
      <c r="C22" s="451"/>
      <c r="D22" s="440" t="s">
        <v>94</v>
      </c>
      <c r="E22" s="440"/>
      <c r="F22" s="448">
        <f t="shared" ref="F22:P22" si="7">INDEX(Model_Range,MATCH($B22,Model_Params,0),MATCH(F$3,Model_Years,0))</f>
        <v>-24083</v>
      </c>
      <c r="G22" s="448">
        <f t="shared" si="7"/>
        <v>48657</v>
      </c>
      <c r="H22" s="448">
        <f t="shared" si="7"/>
        <v>-84053</v>
      </c>
      <c r="I22" s="448">
        <f t="shared" si="7"/>
        <v>-96795</v>
      </c>
      <c r="J22" s="448">
        <f t="shared" si="7"/>
        <v>-135168</v>
      </c>
      <c r="K22" s="448">
        <f t="shared" si="7"/>
        <v>-42074.55</v>
      </c>
      <c r="L22" s="448">
        <f t="shared" si="7"/>
        <v>108732.2355</v>
      </c>
      <c r="M22" s="448">
        <f t="shared" si="7"/>
        <v>159006.05644500002</v>
      </c>
      <c r="N22" s="448">
        <f t="shared" si="7"/>
        <v>247804.53466886678</v>
      </c>
      <c r="O22" s="448">
        <f t="shared" si="7"/>
        <v>458254.78798968234</v>
      </c>
      <c r="P22" s="448">
        <f t="shared" si="7"/>
        <v>670628.36575460841</v>
      </c>
      <c r="Q22" s="417"/>
      <c r="R22" s="441">
        <f>(P22/L22)^(1/YEARFRAC(L$3,P$3,))-1</f>
        <v>0.57590814613185537</v>
      </c>
    </row>
    <row r="23" spans="2:18" ht="16">
      <c r="B23" s="92" t="s">
        <v>134</v>
      </c>
      <c r="C23" s="452"/>
      <c r="D23" s="440" t="s">
        <v>15</v>
      </c>
      <c r="E23" s="440"/>
      <c r="F23" s="466">
        <f>F22/F5</f>
        <v>-0.40670438233555689</v>
      </c>
      <c r="G23" s="466">
        <f t="shared" ref="G23:P23" si="8">G22/G5</f>
        <v>2.1786066087579474</v>
      </c>
      <c r="H23" s="466" t="e">
        <f t="shared" si="8"/>
        <v>#DIV/0!</v>
      </c>
      <c r="I23" s="466" t="e">
        <f t="shared" si="8"/>
        <v>#DIV/0!</v>
      </c>
      <c r="J23" s="466">
        <f t="shared" si="8"/>
        <v>-4.8338161141508422</v>
      </c>
      <c r="K23" s="466">
        <f t="shared" si="8"/>
        <v>-0.24878959536888665</v>
      </c>
      <c r="L23" s="466">
        <f t="shared" si="8"/>
        <v>0.41116554697922625</v>
      </c>
      <c r="M23" s="466">
        <f t="shared" si="8"/>
        <v>0.43644475642468328</v>
      </c>
      <c r="N23" s="466">
        <f t="shared" si="8"/>
        <v>0.46537963492116674</v>
      </c>
      <c r="O23" s="466">
        <f t="shared" si="8"/>
        <v>0.50024373793058619</v>
      </c>
      <c r="P23" s="466">
        <f t="shared" si="8"/>
        <v>0.52809450562731874</v>
      </c>
      <c r="Q23" s="417"/>
      <c r="R23" s="441"/>
    </row>
    <row r="24" spans="2:18" ht="16">
      <c r="B24" s="450"/>
      <c r="C24" s="452"/>
      <c r="D24" s="440"/>
      <c r="E24" s="440"/>
      <c r="F24" s="444"/>
      <c r="G24" s="444"/>
      <c r="H24" s="444"/>
      <c r="I24" s="444"/>
      <c r="J24" s="444"/>
      <c r="K24" s="444"/>
      <c r="L24" s="444"/>
      <c r="M24" s="444"/>
      <c r="N24" s="444"/>
      <c r="O24" s="444"/>
      <c r="P24" s="444"/>
      <c r="Q24" s="417"/>
      <c r="R24" s="441"/>
    </row>
    <row r="25" spans="2:18" ht="16">
      <c r="B25" s="434"/>
      <c r="C25" s="434"/>
      <c r="D25" s="435"/>
      <c r="E25" s="435"/>
      <c r="F25" s="436"/>
      <c r="G25" s="436"/>
      <c r="H25" s="436"/>
      <c r="I25" s="453"/>
      <c r="J25" s="652"/>
      <c r="K25" s="652" t="s">
        <v>1</v>
      </c>
      <c r="L25" s="652"/>
      <c r="M25" s="653"/>
      <c r="N25" s="653"/>
      <c r="O25" s="481"/>
      <c r="P25" s="481"/>
      <c r="Q25" s="417"/>
      <c r="R25" s="417"/>
    </row>
    <row r="26" spans="2:18" ht="16">
      <c r="B26" s="454" t="s">
        <v>325</v>
      </c>
      <c r="C26" s="454"/>
      <c r="D26" s="455" t="s">
        <v>2</v>
      </c>
      <c r="E26" s="455"/>
      <c r="F26" s="266"/>
      <c r="G26" s="266"/>
      <c r="H26" s="266"/>
      <c r="I26" s="266"/>
      <c r="J26" s="654">
        <f>L3</f>
        <v>45838</v>
      </c>
      <c r="K26" s="266">
        <f t="shared" ref="K26:L26" si="9">M3</f>
        <v>46203</v>
      </c>
      <c r="L26" s="266">
        <f t="shared" si="9"/>
        <v>46568</v>
      </c>
      <c r="M26" s="456"/>
      <c r="N26" s="456"/>
      <c r="O26" s="456"/>
      <c r="P26" s="456"/>
      <c r="Q26" s="417"/>
      <c r="R26" s="417"/>
    </row>
    <row r="27" spans="2:18" ht="16">
      <c r="B27" s="452" t="s">
        <v>326</v>
      </c>
      <c r="D27" s="457" t="s">
        <v>327</v>
      </c>
      <c r="E27" s="457"/>
      <c r="F27" s="458"/>
      <c r="G27" s="458"/>
      <c r="H27" s="458"/>
      <c r="I27" s="458" cm="1">
        <f t="array" ref="I27:K27">PubComps!N36:P36</f>
        <v>3.084637530084545</v>
      </c>
      <c r="J27" s="458">
        <v>2.751579958609661</v>
      </c>
      <c r="K27" s="458">
        <v>2.56730330777037</v>
      </c>
      <c r="L27" s="458"/>
      <c r="M27" s="458"/>
      <c r="N27" s="458"/>
      <c r="O27" s="458"/>
      <c r="P27" s="458"/>
      <c r="Q27" s="417"/>
      <c r="R27" s="417"/>
    </row>
    <row r="28" spans="2:18" ht="16">
      <c r="B28" s="452" t="str">
        <f>"EV / Revenue - "&amp;Company_Name&amp;":"</f>
        <v>EV / Revenue - Avadel Pharmaceuticals, PLC:</v>
      </c>
      <c r="D28" s="457" t="s">
        <v>327</v>
      </c>
      <c r="E28" s="457"/>
      <c r="F28" s="458"/>
      <c r="G28" s="458"/>
      <c r="H28" s="458"/>
      <c r="I28" s="458" cm="1">
        <f t="array" ref="I28:K28">PubComps!N40:P40</f>
        <v>4.1739372233869094</v>
      </c>
      <c r="J28" s="458">
        <v>3.0690714877844916</v>
      </c>
      <c r="K28" s="458">
        <v>2.1536984750082615</v>
      </c>
      <c r="L28" s="458"/>
      <c r="M28" s="458"/>
      <c r="N28" s="458"/>
      <c r="O28" s="458"/>
      <c r="P28" s="458"/>
      <c r="Q28" s="417"/>
      <c r="R28" s="417"/>
    </row>
    <row r="29" spans="2:18" ht="16">
      <c r="B29" s="452" t="s">
        <v>328</v>
      </c>
      <c r="D29" s="440" t="s">
        <v>15</v>
      </c>
      <c r="E29" s="440"/>
      <c r="F29" s="417"/>
      <c r="G29" s="417"/>
      <c r="H29" s="417"/>
      <c r="I29" s="443">
        <f>PubComps!U17</f>
        <v>0.17401668653158531</v>
      </c>
      <c r="J29" s="417"/>
      <c r="K29" s="459"/>
      <c r="L29" s="417"/>
      <c r="M29" s="417"/>
      <c r="N29" s="417"/>
      <c r="O29" s="417"/>
      <c r="P29" s="417"/>
      <c r="Q29" s="417"/>
      <c r="R29" s="417"/>
    </row>
    <row r="30" spans="2:18" ht="16">
      <c r="B30" s="452" t="str">
        <f>"Projected Revenue Growth - "&amp;_xlfn.SINGLE(Company_Name)&amp;":"</f>
        <v>Projected Revenue Growth - Avadel Pharmaceuticals, PLC:</v>
      </c>
      <c r="D30" s="440" t="s">
        <v>15</v>
      </c>
      <c r="E30" s="440"/>
      <c r="F30" s="417"/>
      <c r="G30" s="417"/>
      <c r="H30" s="417"/>
      <c r="I30" s="443">
        <f>PubComps!U21</f>
        <v>0.36000000000000032</v>
      </c>
      <c r="J30" s="417"/>
      <c r="K30" s="459"/>
      <c r="L30" s="417"/>
      <c r="M30" s="417"/>
      <c r="N30" s="417"/>
      <c r="O30" s="417"/>
      <c r="P30" s="417"/>
      <c r="Q30" s="417"/>
      <c r="R30" s="417"/>
    </row>
    <row r="31" spans="2:18" ht="16">
      <c r="B31" s="417"/>
      <c r="D31" s="417"/>
      <c r="E31" s="417"/>
      <c r="F31" s="417"/>
      <c r="G31" s="417"/>
      <c r="H31" s="417"/>
      <c r="I31" s="417"/>
      <c r="J31" s="417"/>
      <c r="K31" s="433"/>
      <c r="L31" s="417"/>
      <c r="M31" s="417"/>
      <c r="N31" s="417"/>
      <c r="O31" s="417"/>
      <c r="P31" s="417"/>
      <c r="Q31" s="417"/>
      <c r="R31" s="417"/>
    </row>
    <row r="32" spans="2:18" ht="16">
      <c r="B32" s="452" t="s">
        <v>480</v>
      </c>
      <c r="D32" s="457" t="s">
        <v>327</v>
      </c>
      <c r="E32" s="457"/>
      <c r="F32" s="458"/>
      <c r="G32" s="458"/>
      <c r="H32" s="458"/>
      <c r="I32" s="458">
        <f>PubComps!Q36</f>
        <v>15.079059738186828</v>
      </c>
      <c r="J32" s="458"/>
      <c r="K32" s="458"/>
      <c r="L32" s="458"/>
      <c r="M32" s="458"/>
      <c r="N32" s="458"/>
      <c r="O32" s="458"/>
      <c r="P32" s="458"/>
      <c r="Q32" s="417"/>
      <c r="R32" s="417"/>
    </row>
    <row r="33" spans="2:18" ht="16">
      <c r="B33" s="452" t="str">
        <f>"TEV / rNPV - "&amp;Company_Name&amp;":"</f>
        <v>TEV / rNPV - Avadel Pharmaceuticals, PLC:</v>
      </c>
      <c r="D33" s="457" t="s">
        <v>327</v>
      </c>
      <c r="E33" s="457"/>
      <c r="F33" s="458"/>
      <c r="G33" s="458"/>
      <c r="H33" s="458"/>
      <c r="I33" s="458">
        <f>PubComps!Q40</f>
        <v>6.9227430688454756</v>
      </c>
      <c r="J33" s="458"/>
      <c r="K33" s="458"/>
      <c r="L33" s="458"/>
      <c r="M33" s="458"/>
      <c r="N33" s="458"/>
      <c r="O33" s="458"/>
      <c r="P33" s="458"/>
      <c r="Q33" s="417"/>
      <c r="R33" s="417"/>
    </row>
    <row r="34" spans="2:18" ht="16">
      <c r="B34" s="417"/>
      <c r="D34" s="417"/>
      <c r="E34" s="417"/>
      <c r="F34" s="417"/>
      <c r="G34" s="417"/>
      <c r="H34" s="417"/>
      <c r="I34" s="417"/>
      <c r="J34" s="417"/>
      <c r="K34" s="433"/>
      <c r="L34" s="417"/>
      <c r="M34" s="417"/>
      <c r="N34" s="417"/>
      <c r="O34" s="417"/>
      <c r="P34" s="417"/>
      <c r="Q34" s="417"/>
      <c r="R34" s="417"/>
    </row>
    <row r="35" spans="2:18" ht="16">
      <c r="B35" s="452" t="s">
        <v>479</v>
      </c>
      <c r="D35" s="457" t="s">
        <v>327</v>
      </c>
      <c r="E35" s="457"/>
      <c r="F35" s="458"/>
      <c r="G35" s="458"/>
      <c r="H35" s="458"/>
      <c r="I35" s="458" cm="1">
        <f t="array" ref="I35:K35">PubComps!R36:T36</f>
        <v>23.495641430522362</v>
      </c>
      <c r="J35" s="458">
        <v>21.284063377330821</v>
      </c>
      <c r="K35" s="458">
        <v>20.80965688826592</v>
      </c>
      <c r="L35" s="458"/>
      <c r="M35" s="458"/>
      <c r="N35" s="458"/>
      <c r="O35" s="458"/>
      <c r="P35" s="458"/>
      <c r="Q35" s="417"/>
      <c r="R35" s="417"/>
    </row>
    <row r="36" spans="2:18" ht="16">
      <c r="B36" s="452" t="str">
        <f>"TEV / R&amp;D - "&amp;Company_Name&amp;":"</f>
        <v>TEV / R&amp;D - Avadel Pharmaceuticals, PLC:</v>
      </c>
      <c r="D36" s="457" t="s">
        <v>327</v>
      </c>
      <c r="E36" s="457"/>
      <c r="F36" s="458"/>
      <c r="G36" s="458"/>
      <c r="H36" s="458"/>
      <c r="I36" s="458" cm="1">
        <f t="array" ref="I36:K36">PubComps!R40:T40</f>
        <v>271.03488463551361</v>
      </c>
      <c r="J36" s="458">
        <v>262.31380237474292</v>
      </c>
      <c r="K36" s="458">
        <v>269.21230937603264</v>
      </c>
      <c r="L36" s="458"/>
      <c r="M36" s="458"/>
      <c r="N36" s="458"/>
      <c r="O36" s="458"/>
      <c r="P36" s="458"/>
      <c r="Q36" s="417"/>
      <c r="R36" s="41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7EA4B-C360-435C-91FD-E42351141737}">
  <dimension ref="B1:AC358"/>
  <sheetViews>
    <sheetView showGridLines="0" zoomScale="63" workbookViewId="0">
      <selection activeCell="T7" sqref="T7"/>
    </sheetView>
  </sheetViews>
  <sheetFormatPr defaultRowHeight="18.5"/>
  <cols>
    <col min="17" max="17" width="24.1796875" bestFit="1" customWidth="1"/>
    <col min="18" max="18" width="20.26953125" style="385" bestFit="1" customWidth="1"/>
    <col min="19" max="19" width="20.26953125" style="477" bestFit="1" customWidth="1"/>
    <col min="20" max="20" width="14.1796875" style="385" bestFit="1" customWidth="1"/>
    <col min="21" max="22" width="19" bestFit="1" customWidth="1"/>
    <col min="24" max="25" width="24.1796875" bestFit="1" customWidth="1"/>
    <col min="27" max="28" width="22.81640625" bestFit="1" customWidth="1"/>
  </cols>
  <sheetData>
    <row r="1" spans="2:20" ht="14.5">
      <c r="R1"/>
      <c r="S1"/>
      <c r="T1"/>
    </row>
    <row r="2" spans="2:20" ht="16">
      <c r="B2" s="407" t="str">
        <f>"Graphs and Analysis of Financial Model Output - "&amp;TEXT(Company_Name,"")</f>
        <v>Graphs and Analysis of Financial Model Output - Avadel Pharmaceuticals, PLC</v>
      </c>
      <c r="C2" s="407"/>
      <c r="D2" s="407"/>
      <c r="E2" s="407"/>
      <c r="F2" s="407"/>
      <c r="G2" s="407"/>
      <c r="H2" s="407"/>
      <c r="I2" s="407"/>
      <c r="J2" s="407"/>
      <c r="K2" s="407"/>
      <c r="L2" s="407"/>
      <c r="M2" s="407"/>
      <c r="N2" s="407"/>
      <c r="O2" s="407"/>
      <c r="P2" s="408"/>
      <c r="R2"/>
      <c r="S2"/>
      <c r="T2"/>
    </row>
    <row r="3" spans="2:20" ht="14.5">
      <c r="R3"/>
      <c r="S3"/>
      <c r="T3"/>
    </row>
    <row r="4" spans="2:20" ht="14.5">
      <c r="R4"/>
      <c r="S4"/>
      <c r="T4"/>
    </row>
    <row r="5" spans="2:20" ht="14.5">
      <c r="R5"/>
      <c r="S5"/>
      <c r="T5"/>
    </row>
    <row r="6" spans="2:20" ht="16">
      <c r="Q6" s="409" t="s">
        <v>303</v>
      </c>
      <c r="R6" s="409" t="s">
        <v>212</v>
      </c>
      <c r="S6" s="409" t="s">
        <v>181</v>
      </c>
      <c r="T6" s="409" t="s">
        <v>232</v>
      </c>
    </row>
    <row r="7" spans="2:20" ht="14.5">
      <c r="Q7" s="410" cm="1">
        <f t="array" ref="Q7:Q17">TRANSPOSE(Model!G17:Q17)</f>
        <v>43646</v>
      </c>
      <c r="R7" s="411" cm="1">
        <f t="array" ref="R7:R17">TRANSPOSE(Model!G60:Q60)</f>
        <v>59215</v>
      </c>
      <c r="S7" s="411" cm="1">
        <f t="array" ref="S7:S17">TRANSPOSE(Model!G87:Q87)</f>
        <v>-24083</v>
      </c>
      <c r="T7" s="412" t="e" cm="1">
        <f t="array" ref="T7">TRANSPOSE(NPV!#REF!)</f>
        <v>#REF!</v>
      </c>
    </row>
    <row r="8" spans="2:20" ht="14.5">
      <c r="Q8" s="410">
        <v>44012</v>
      </c>
      <c r="R8" s="411">
        <v>22334</v>
      </c>
      <c r="S8" s="411">
        <v>48657</v>
      </c>
      <c r="T8" s="412"/>
    </row>
    <row r="9" spans="2:20" ht="14.5">
      <c r="Q9" s="410">
        <v>44377</v>
      </c>
      <c r="R9" s="411">
        <v>0</v>
      </c>
      <c r="S9" s="411">
        <v>-84053</v>
      </c>
      <c r="T9" s="412"/>
    </row>
    <row r="10" spans="2:20" ht="14.5">
      <c r="Q10" s="410">
        <v>44742</v>
      </c>
      <c r="R10" s="411">
        <v>0</v>
      </c>
      <c r="S10" s="411">
        <v>-96795</v>
      </c>
      <c r="T10" s="412"/>
    </row>
    <row r="11" spans="2:20" ht="14.5">
      <c r="Q11" s="410">
        <v>45107</v>
      </c>
      <c r="R11" s="411">
        <v>27963</v>
      </c>
      <c r="S11" s="411">
        <v>-135168</v>
      </c>
      <c r="T11" s="412"/>
    </row>
    <row r="12" spans="2:20" ht="14.5">
      <c r="Q12" s="410">
        <v>45473</v>
      </c>
      <c r="R12" s="411">
        <v>169117</v>
      </c>
      <c r="S12" s="411">
        <v>-42074.55</v>
      </c>
      <c r="T12" s="412"/>
    </row>
    <row r="13" spans="2:20" ht="14.5">
      <c r="Q13" s="410">
        <v>45838</v>
      </c>
      <c r="R13" s="411">
        <v>264448.8</v>
      </c>
      <c r="S13" s="411">
        <v>108732.2355</v>
      </c>
      <c r="T13" s="412"/>
    </row>
    <row r="14" spans="2:20" ht="14.5">
      <c r="Q14" s="410">
        <v>46203</v>
      </c>
      <c r="R14" s="411">
        <v>364321.152</v>
      </c>
      <c r="S14" s="411">
        <v>159006.05644500002</v>
      </c>
      <c r="T14" s="412"/>
    </row>
    <row r="15" spans="2:20" ht="14.5">
      <c r="Q15" s="410">
        <v>46568</v>
      </c>
      <c r="R15" s="411">
        <v>532478.25232155633</v>
      </c>
      <c r="S15" s="411">
        <v>247804.53466886678</v>
      </c>
      <c r="T15" s="412"/>
    </row>
    <row r="16" spans="2:20" ht="14.5">
      <c r="Q16" s="410">
        <v>46934</v>
      </c>
      <c r="R16" s="411">
        <v>916063.01737108361</v>
      </c>
      <c r="S16" s="411">
        <v>458254.78798968234</v>
      </c>
      <c r="T16" s="412"/>
    </row>
    <row r="17" spans="17:27" ht="14.5">
      <c r="Q17" s="410">
        <v>47299</v>
      </c>
      <c r="R17" s="411">
        <v>1269902.1834320638</v>
      </c>
      <c r="S17" s="411">
        <v>670628.36575460841</v>
      </c>
      <c r="T17" s="412"/>
    </row>
    <row r="18" spans="17:27" ht="14.5">
      <c r="Q18" s="413"/>
      <c r="R18" s="414"/>
      <c r="S18"/>
      <c r="T18"/>
    </row>
    <row r="19" spans="17:27" ht="14.5">
      <c r="Q19" s="413"/>
      <c r="R19" s="414"/>
      <c r="S19"/>
      <c r="T19"/>
    </row>
    <row r="20" spans="17:27" ht="16">
      <c r="Q20" s="415" t="s">
        <v>304</v>
      </c>
      <c r="R20" s="416">
        <v>7</v>
      </c>
      <c r="S20" s="417"/>
      <c r="T20" s="417"/>
    </row>
    <row r="21" spans="17:27" ht="16">
      <c r="Q21" s="417"/>
      <c r="R21" s="417"/>
      <c r="S21" s="417"/>
      <c r="T21" s="417"/>
    </row>
    <row r="22" spans="17:27" ht="16">
      <c r="Q22" s="415" t="s">
        <v>305</v>
      </c>
      <c r="R22" s="418"/>
      <c r="S22" s="419" t="b">
        <v>1</v>
      </c>
      <c r="T22" s="420" t="b">
        <v>1</v>
      </c>
    </row>
    <row r="23" spans="17:27" ht="16">
      <c r="Q23" s="409" t="s">
        <v>303</v>
      </c>
      <c r="R23" s="409" t="s">
        <v>212</v>
      </c>
      <c r="S23" s="409" t="s">
        <v>181</v>
      </c>
      <c r="T23" s="409" t="s">
        <v>232</v>
      </c>
    </row>
    <row r="24" spans="17:27" ht="16">
      <c r="Q24" s="421">
        <f>INDEX($Q$6:$Q$17,$R$20+ROWS(Q$23:Q23))</f>
        <v>45838</v>
      </c>
      <c r="R24" s="411">
        <f>INDEX($R$6:$R$17,$R$20+ROWS(R$23:R23))</f>
        <v>264448.8</v>
      </c>
      <c r="S24" s="411">
        <f>INDEX($S$6:$S$17,$R$20+ROWS(S$23:S23))</f>
        <v>108732.2355</v>
      </c>
      <c r="T24" s="412">
        <f>INDEX($T$6:$T$17,$R$20+ROWS(T$23:T23))</f>
        <v>0</v>
      </c>
      <c r="U24" s="421"/>
    </row>
    <row r="25" spans="17:27" ht="16">
      <c r="Q25" s="421">
        <f>INDEX($Q$6:$Q$17,$R$20+ROWS(Q$23:Q24))</f>
        <v>46203</v>
      </c>
      <c r="R25" s="411">
        <f>INDEX($R$6:$R$17,$R$20+ROWS(R$23:R24))</f>
        <v>364321.152</v>
      </c>
      <c r="S25" s="411">
        <f>INDEX($S$6:$S$17,$R$20+ROWS(S$23:S24))</f>
        <v>159006.05644500002</v>
      </c>
      <c r="T25" s="412">
        <f>INDEX($T$6:$T$17,$R$20+ROWS(T$23:T24))</f>
        <v>0</v>
      </c>
    </row>
    <row r="26" spans="17:27" ht="16">
      <c r="Q26" s="421">
        <f>INDEX($Q$6:$Q$17,$R$20+ROWS(Q$23:Q25))</f>
        <v>46568</v>
      </c>
      <c r="R26" s="411">
        <f>INDEX($R$6:$R$17,$R$20+ROWS(R$23:R25))</f>
        <v>532478.25232155633</v>
      </c>
      <c r="S26" s="411">
        <f>INDEX($S$6:$S$17,$R$20+ROWS(S$23:S25))</f>
        <v>247804.53466886678</v>
      </c>
      <c r="T26" s="412">
        <f>INDEX($T$6:$T$17,$R$20+ROWS(T$23:T25))</f>
        <v>0</v>
      </c>
    </row>
    <row r="27" spans="17:27" ht="16">
      <c r="Q27" s="421">
        <f>INDEX($Q$6:$Q$17,$R$20+ROWS(Q$23:Q26))</f>
        <v>46934</v>
      </c>
      <c r="R27" s="411">
        <f>INDEX($R$6:$R$17,$R$20+ROWS(R$23:R26))</f>
        <v>916063.01737108361</v>
      </c>
      <c r="S27" s="411">
        <f>INDEX($S$6:$S$17,$R$20+ROWS(S$23:S26))</f>
        <v>458254.78798968234</v>
      </c>
      <c r="T27" s="412">
        <f>INDEX($T$6:$T$17,$R$20+ROWS(T$23:T26))</f>
        <v>0</v>
      </c>
    </row>
    <row r="28" spans="17:27" ht="14.5">
      <c r="R28"/>
      <c r="S28"/>
      <c r="T28"/>
    </row>
    <row r="29" spans="17:27" ht="14.5">
      <c r="R29"/>
      <c r="S29"/>
      <c r="T29"/>
    </row>
    <row r="30" spans="17:27" ht="16">
      <c r="Q30" s="417" t="str">
        <f>Company_Name&amp;": Revenue, EBITDA, and Margins, FY"&amp;TEXT(Q23,"yy")&amp;" to FY"&amp;TEXT(Q26,"yy")</f>
        <v>Avadel Pharmaceuticals, PLC: Revenue, EBITDA, and Margins, FYYear to FY27</v>
      </c>
      <c r="R30"/>
      <c r="S30"/>
      <c r="T30"/>
    </row>
    <row r="31" spans="17:27" ht="14.5">
      <c r="R31"/>
      <c r="S31"/>
      <c r="T31"/>
    </row>
    <row r="32" spans="17:27" ht="16">
      <c r="R32" s="422" t="s">
        <v>129</v>
      </c>
      <c r="S32" s="423"/>
      <c r="T32" s="417"/>
      <c r="U32" s="422" t="s">
        <v>133</v>
      </c>
      <c r="V32" s="423"/>
      <c r="W32" s="417"/>
      <c r="X32" s="422" t="s">
        <v>306</v>
      </c>
      <c r="Y32" s="423"/>
      <c r="Z32" s="417"/>
      <c r="AA32" s="422" t="s">
        <v>307</v>
      </c>
    </row>
    <row r="33" spans="17:29" ht="16">
      <c r="Q33" s="417"/>
      <c r="R33" s="424" t="e">
        <f>#REF!</f>
        <v>#REF!</v>
      </c>
      <c r="S33" s="424" t="e">
        <f>#REF!</f>
        <v>#REF!</v>
      </c>
      <c r="T33" s="417"/>
      <c r="U33" s="425" t="e">
        <f>#REF!</f>
        <v>#REF!</v>
      </c>
      <c r="V33" s="425" t="e">
        <f>#REF!</f>
        <v>#REF!</v>
      </c>
      <c r="W33" s="417"/>
      <c r="X33" s="425" t="e">
        <f>#REF!</f>
        <v>#REF!</v>
      </c>
      <c r="Y33" s="425" t="e">
        <f>#REF!</f>
        <v>#REF!</v>
      </c>
      <c r="Z33" s="417"/>
      <c r="AA33" s="425" t="e">
        <f>#REF!</f>
        <v>#REF!</v>
      </c>
      <c r="AB33" s="425" t="e">
        <f>#REF!</f>
        <v>#REF!</v>
      </c>
      <c r="AC33" s="417"/>
    </row>
    <row r="34" spans="17:29" ht="16">
      <c r="Q34" s="12" t="s">
        <v>193</v>
      </c>
      <c r="R34" s="426" t="e">
        <f t="shared" ref="R34:S39" si="0">INDEX(Pub_Comps_Range,MATCH(R$33,Pub_Comps_Params,0),MATCH($Q34,Pub_Comps_Tickers,0))</f>
        <v>#REF!</v>
      </c>
      <c r="S34" s="426" t="e">
        <f t="shared" si="0"/>
        <v>#REF!</v>
      </c>
      <c r="T34" s="417"/>
      <c r="U34" s="426" t="e">
        <f t="shared" ref="U34:V39" si="1">INDEX(Pub_Comps_Range,MATCH(U$33,Pub_Comps_Params,0),MATCH($Q34,Pub_Comps_Tickers,0))</f>
        <v>#REF!</v>
      </c>
      <c r="V34" s="426" t="e">
        <f t="shared" si="1"/>
        <v>#REF!</v>
      </c>
      <c r="W34" s="427"/>
      <c r="X34" s="62" t="e">
        <f t="shared" ref="X34:Y39" si="2">INDEX(Pub_Comps_Range,MATCH(X$33,Pub_Comps_Params,0),MATCH($Q34,Pub_Comps_Tickers,0))</f>
        <v>#REF!</v>
      </c>
      <c r="Y34" s="62" t="e">
        <f t="shared" si="2"/>
        <v>#REF!</v>
      </c>
      <c r="Z34" s="417"/>
      <c r="AA34" s="62" t="e">
        <f t="shared" ref="AA34:AB39" si="3">INDEX(Pub_Comps_Range,MATCH(AA$33,Pub_Comps_Params,0),MATCH($Q34,Pub_Comps_Tickers,0))</f>
        <v>#REF!</v>
      </c>
      <c r="AB34" s="62" t="e">
        <f t="shared" si="3"/>
        <v>#REF!</v>
      </c>
      <c r="AC34" s="417"/>
    </row>
    <row r="35" spans="17:29" ht="16">
      <c r="Q35" s="12" t="s">
        <v>195</v>
      </c>
      <c r="R35" s="426" t="e">
        <f t="shared" si="0"/>
        <v>#REF!</v>
      </c>
      <c r="S35" s="426" t="e">
        <f t="shared" si="0"/>
        <v>#REF!</v>
      </c>
      <c r="T35" s="417"/>
      <c r="U35" s="426" t="e">
        <f t="shared" si="1"/>
        <v>#REF!</v>
      </c>
      <c r="V35" s="426" t="e">
        <f t="shared" si="1"/>
        <v>#REF!</v>
      </c>
      <c r="W35" s="427"/>
      <c r="X35" s="62" t="e">
        <f t="shared" si="2"/>
        <v>#REF!</v>
      </c>
      <c r="Y35" s="62" t="e">
        <f t="shared" si="2"/>
        <v>#REF!</v>
      </c>
      <c r="Z35" s="417"/>
      <c r="AA35" s="62" t="e">
        <f t="shared" si="3"/>
        <v>#REF!</v>
      </c>
      <c r="AB35" s="62" t="e">
        <f t="shared" si="3"/>
        <v>#REF!</v>
      </c>
      <c r="AC35" s="417"/>
    </row>
    <row r="36" spans="17:29" ht="16">
      <c r="Q36" s="12" t="s">
        <v>220</v>
      </c>
      <c r="R36" s="426" t="e">
        <f t="shared" si="0"/>
        <v>#REF!</v>
      </c>
      <c r="S36" s="426" t="e">
        <f t="shared" si="0"/>
        <v>#REF!</v>
      </c>
      <c r="T36" s="417"/>
      <c r="U36" s="426" t="e">
        <f t="shared" si="1"/>
        <v>#REF!</v>
      </c>
      <c r="V36" s="426" t="e">
        <f t="shared" si="1"/>
        <v>#REF!</v>
      </c>
      <c r="W36" s="427"/>
      <c r="X36" s="62" t="e">
        <f t="shared" si="2"/>
        <v>#REF!</v>
      </c>
      <c r="Y36" s="62" t="e">
        <f t="shared" si="2"/>
        <v>#REF!</v>
      </c>
      <c r="Z36" s="417"/>
      <c r="AA36" s="62" t="e">
        <f t="shared" si="3"/>
        <v>#REF!</v>
      </c>
      <c r="AB36" s="62" t="e">
        <f t="shared" si="3"/>
        <v>#REF!</v>
      </c>
      <c r="AC36" s="417"/>
    </row>
    <row r="37" spans="17:29" ht="16">
      <c r="Q37" s="12" t="s">
        <v>221</v>
      </c>
      <c r="R37" s="426" t="e">
        <f t="shared" si="0"/>
        <v>#REF!</v>
      </c>
      <c r="S37" s="426" t="e">
        <f t="shared" si="0"/>
        <v>#REF!</v>
      </c>
      <c r="T37" s="417"/>
      <c r="U37" s="426" t="e">
        <f t="shared" si="1"/>
        <v>#REF!</v>
      </c>
      <c r="V37" s="426" t="e">
        <f t="shared" si="1"/>
        <v>#REF!</v>
      </c>
      <c r="W37" s="427"/>
      <c r="X37" s="62" t="e">
        <f t="shared" si="2"/>
        <v>#REF!</v>
      </c>
      <c r="Y37" s="62" t="e">
        <f t="shared" si="2"/>
        <v>#REF!</v>
      </c>
      <c r="Z37" s="417"/>
      <c r="AA37" s="62" t="e">
        <f t="shared" si="3"/>
        <v>#REF!</v>
      </c>
      <c r="AB37" s="62" t="e">
        <f t="shared" si="3"/>
        <v>#REF!</v>
      </c>
      <c r="AC37" s="417"/>
    </row>
    <row r="38" spans="17:29" ht="16">
      <c r="Q38" s="12" t="s">
        <v>222</v>
      </c>
      <c r="R38" s="426" t="e">
        <f t="shared" si="0"/>
        <v>#REF!</v>
      </c>
      <c r="S38" s="426" t="e">
        <f t="shared" si="0"/>
        <v>#REF!</v>
      </c>
      <c r="T38" s="417"/>
      <c r="U38" s="426" t="e">
        <f t="shared" si="1"/>
        <v>#REF!</v>
      </c>
      <c r="V38" s="426" t="e">
        <f t="shared" si="1"/>
        <v>#REF!</v>
      </c>
      <c r="W38" s="427"/>
      <c r="X38" s="62" t="e">
        <f t="shared" si="2"/>
        <v>#REF!</v>
      </c>
      <c r="Y38" s="62" t="e">
        <f t="shared" si="2"/>
        <v>#REF!</v>
      </c>
      <c r="Z38" s="417"/>
      <c r="AA38" s="62" t="e">
        <f t="shared" si="3"/>
        <v>#REF!</v>
      </c>
      <c r="AB38" s="62" t="e">
        <f t="shared" si="3"/>
        <v>#REF!</v>
      </c>
      <c r="AC38" s="417"/>
    </row>
    <row r="39" spans="17:29" ht="16">
      <c r="Q39" s="417" t="s">
        <v>23</v>
      </c>
      <c r="R39" s="426" t="e">
        <f t="shared" si="0"/>
        <v>#REF!</v>
      </c>
      <c r="S39" s="426" t="e">
        <f t="shared" si="0"/>
        <v>#REF!</v>
      </c>
      <c r="T39" s="417"/>
      <c r="U39" s="426" t="e">
        <f t="shared" si="1"/>
        <v>#REF!</v>
      </c>
      <c r="V39" s="426" t="e">
        <f t="shared" si="1"/>
        <v>#REF!</v>
      </c>
      <c r="W39" s="427"/>
      <c r="X39" s="62" t="e">
        <f t="shared" si="2"/>
        <v>#REF!</v>
      </c>
      <c r="Y39" s="62" t="e">
        <f t="shared" si="2"/>
        <v>#REF!</v>
      </c>
      <c r="Z39" s="417"/>
      <c r="AA39" s="62" t="e">
        <f t="shared" si="3"/>
        <v>#REF!</v>
      </c>
      <c r="AB39" s="62" t="e">
        <f t="shared" si="3"/>
        <v>#REF!</v>
      </c>
      <c r="AC39" s="417"/>
    </row>
    <row r="40" spans="17:29" ht="16">
      <c r="Q40" s="417"/>
      <c r="R40" s="417"/>
      <c r="S40" s="417"/>
      <c r="T40" s="417"/>
      <c r="U40" s="417"/>
      <c r="V40" s="417"/>
      <c r="W40" s="417"/>
      <c r="X40" s="417"/>
      <c r="Y40" s="417"/>
      <c r="Z40" s="417"/>
      <c r="AA40" s="417"/>
      <c r="AB40" s="417"/>
      <c r="AC40" s="417"/>
    </row>
    <row r="41" spans="17:29" ht="16">
      <c r="Q41" s="415" t="s">
        <v>308</v>
      </c>
      <c r="R41" s="417"/>
      <c r="S41" s="417"/>
      <c r="T41" s="417"/>
      <c r="U41" s="417"/>
      <c r="V41" s="417"/>
      <c r="W41" s="417"/>
      <c r="X41" s="417"/>
      <c r="Y41" s="417"/>
      <c r="Z41" s="417"/>
      <c r="AA41" s="417"/>
      <c r="AB41" s="417"/>
      <c r="AC41" s="417"/>
    </row>
    <row r="42" spans="17:29" ht="16">
      <c r="Q42" s="417"/>
      <c r="R42" s="422" t="s">
        <v>309</v>
      </c>
      <c r="S42" s="423"/>
      <c r="T42" s="417"/>
      <c r="U42" s="422" t="s">
        <v>310</v>
      </c>
      <c r="V42" s="422"/>
      <c r="W42" s="417"/>
      <c r="X42" s="422" t="s">
        <v>311</v>
      </c>
      <c r="Y42" s="423"/>
      <c r="Z42" s="417"/>
      <c r="AA42" s="422" t="s">
        <v>312</v>
      </c>
      <c r="AB42" s="422"/>
      <c r="AC42" s="417"/>
    </row>
    <row r="43" spans="17:29" ht="16">
      <c r="Q43" s="417"/>
      <c r="R43" s="428" t="e">
        <f>#REF!</f>
        <v>#REF!</v>
      </c>
      <c r="S43" s="429" t="s">
        <v>313</v>
      </c>
      <c r="T43" s="417"/>
      <c r="U43" s="428" t="e">
        <f>#REF!</f>
        <v>#REF!</v>
      </c>
      <c r="V43" s="429">
        <f>$R$100</f>
        <v>0</v>
      </c>
      <c r="W43" s="417"/>
      <c r="X43" s="425" t="e">
        <f>#REF!</f>
        <v>#REF!</v>
      </c>
      <c r="Y43" s="429">
        <f>$R$100</f>
        <v>0</v>
      </c>
      <c r="Z43" s="417"/>
      <c r="AA43" s="425" t="e">
        <f>#REF!</f>
        <v>#REF!</v>
      </c>
      <c r="AB43" s="429">
        <f>$R$100</f>
        <v>0</v>
      </c>
      <c r="AC43" s="417"/>
    </row>
    <row r="44" spans="17:29" ht="16">
      <c r="Q44" s="12" t="s">
        <v>193</v>
      </c>
      <c r="R44" s="430" t="e">
        <f t="shared" ref="R44:R49" si="4">INDEX(Pub_Comps_Range,MATCH(R$43,Pub_Comps_Params,0),MATCH($Q44,Pub_Comps_Tickers,0))</f>
        <v>#REF!</v>
      </c>
      <c r="S44" s="431" t="e">
        <f t="shared" ref="S44:S48" si="5">IF($P44=Ticker,R44,NA())</f>
        <v>#N/A</v>
      </c>
      <c r="T44" s="417"/>
      <c r="U44" s="430" t="e">
        <f t="shared" ref="U44:U49" si="6">INDEX(Pub_Comps_Range,MATCH(U$43,Pub_Comps_Params,0),MATCH($Q44,Pub_Comps_Tickers,0))</f>
        <v>#REF!</v>
      </c>
      <c r="V44" s="431" t="e">
        <f t="shared" ref="V44:V48" si="7">IF($P44=Ticker,U44,NA())</f>
        <v>#N/A</v>
      </c>
      <c r="W44" s="417"/>
      <c r="X44" s="62" t="e">
        <f t="shared" ref="X44:X49" si="8">INDEX(Pub_Comps_Range,MATCH(X$43,Pub_Comps_Params,0),MATCH($Q44,Pub_Comps_Tickers,0))</f>
        <v>#REF!</v>
      </c>
      <c r="Y44" s="432" t="e">
        <f t="shared" ref="Y44:Y48" si="9">IF($P44=Ticker,X44,NA())</f>
        <v>#N/A</v>
      </c>
      <c r="Z44" s="417"/>
      <c r="AA44" s="62" t="e">
        <f t="shared" ref="AA44:AA49" si="10">INDEX(Pub_Comps_Range,MATCH(AA$43,Pub_Comps_Params,0),MATCH($Q44,Pub_Comps_Tickers,0))</f>
        <v>#REF!</v>
      </c>
      <c r="AB44" s="432" t="e">
        <f t="shared" ref="AB44:AB48" si="11">IF($P44=Ticker,AA44,NA())</f>
        <v>#N/A</v>
      </c>
      <c r="AC44" s="417"/>
    </row>
    <row r="45" spans="17:29" ht="16">
      <c r="Q45" s="12" t="s">
        <v>195</v>
      </c>
      <c r="R45" s="430" t="e">
        <f t="shared" si="4"/>
        <v>#REF!</v>
      </c>
      <c r="S45" s="431" t="e">
        <f t="shared" si="5"/>
        <v>#N/A</v>
      </c>
      <c r="T45" s="417"/>
      <c r="U45" s="430" t="e">
        <f t="shared" si="6"/>
        <v>#REF!</v>
      </c>
      <c r="V45" s="431" t="e">
        <f t="shared" si="7"/>
        <v>#N/A</v>
      </c>
      <c r="W45" s="417"/>
      <c r="X45" s="62" t="e">
        <f t="shared" si="8"/>
        <v>#REF!</v>
      </c>
      <c r="Y45" s="432" t="e">
        <f t="shared" si="9"/>
        <v>#N/A</v>
      </c>
      <c r="Z45" s="417"/>
      <c r="AA45" s="62" t="e">
        <f t="shared" si="10"/>
        <v>#REF!</v>
      </c>
      <c r="AB45" s="432" t="e">
        <f t="shared" si="11"/>
        <v>#N/A</v>
      </c>
      <c r="AC45" s="417"/>
    </row>
    <row r="46" spans="17:29" ht="16">
      <c r="Q46" s="12" t="s">
        <v>220</v>
      </c>
      <c r="R46" s="430" t="e">
        <f t="shared" si="4"/>
        <v>#REF!</v>
      </c>
      <c r="S46" s="431" t="e">
        <f t="shared" si="5"/>
        <v>#N/A</v>
      </c>
      <c r="T46" s="417"/>
      <c r="U46" s="430" t="e">
        <f t="shared" si="6"/>
        <v>#REF!</v>
      </c>
      <c r="V46" s="431" t="e">
        <f t="shared" si="7"/>
        <v>#N/A</v>
      </c>
      <c r="W46" s="417"/>
      <c r="X46" s="62" t="e">
        <f t="shared" si="8"/>
        <v>#REF!</v>
      </c>
      <c r="Y46" s="432" t="e">
        <f t="shared" si="9"/>
        <v>#N/A</v>
      </c>
      <c r="Z46" s="417"/>
      <c r="AA46" s="62" t="e">
        <f t="shared" si="10"/>
        <v>#REF!</v>
      </c>
      <c r="AB46" s="432" t="e">
        <f t="shared" si="11"/>
        <v>#N/A</v>
      </c>
      <c r="AC46" s="417"/>
    </row>
    <row r="47" spans="17:29" ht="16">
      <c r="Q47" s="12" t="s">
        <v>221</v>
      </c>
      <c r="R47" s="430" t="e">
        <f t="shared" si="4"/>
        <v>#REF!</v>
      </c>
      <c r="S47" s="431" t="e">
        <f t="shared" si="5"/>
        <v>#N/A</v>
      </c>
      <c r="T47" s="417"/>
      <c r="U47" s="430" t="e">
        <f t="shared" si="6"/>
        <v>#REF!</v>
      </c>
      <c r="V47" s="431" t="e">
        <f t="shared" si="7"/>
        <v>#N/A</v>
      </c>
      <c r="W47" s="417"/>
      <c r="X47" s="62" t="e">
        <f t="shared" si="8"/>
        <v>#REF!</v>
      </c>
      <c r="Y47" s="432" t="e">
        <f t="shared" si="9"/>
        <v>#N/A</v>
      </c>
      <c r="Z47" s="417"/>
      <c r="AA47" s="62" t="e">
        <f t="shared" si="10"/>
        <v>#REF!</v>
      </c>
      <c r="AB47" s="432" t="e">
        <f t="shared" si="11"/>
        <v>#N/A</v>
      </c>
      <c r="AC47" s="417"/>
    </row>
    <row r="48" spans="17:29" ht="16">
      <c r="Q48" s="12" t="s">
        <v>222</v>
      </c>
      <c r="R48" s="430" t="e">
        <f t="shared" si="4"/>
        <v>#REF!</v>
      </c>
      <c r="S48" s="431" t="e">
        <f t="shared" si="5"/>
        <v>#N/A</v>
      </c>
      <c r="T48" s="417"/>
      <c r="U48" s="430" t="e">
        <f t="shared" si="6"/>
        <v>#REF!</v>
      </c>
      <c r="V48" s="431" t="e">
        <f t="shared" si="7"/>
        <v>#N/A</v>
      </c>
      <c r="W48" s="417"/>
      <c r="X48" s="62" t="e">
        <f t="shared" si="8"/>
        <v>#REF!</v>
      </c>
      <c r="Y48" s="432" t="e">
        <f t="shared" si="9"/>
        <v>#N/A</v>
      </c>
      <c r="Z48" s="417"/>
      <c r="AA48" s="62" t="e">
        <f t="shared" si="10"/>
        <v>#REF!</v>
      </c>
      <c r="AB48" s="432" t="e">
        <f t="shared" si="11"/>
        <v>#N/A</v>
      </c>
      <c r="AC48" s="417"/>
    </row>
    <row r="49" spans="17:29" ht="16">
      <c r="Q49" s="417" t="s">
        <v>23</v>
      </c>
      <c r="R49" s="430" t="e">
        <f t="shared" si="4"/>
        <v>#REF!</v>
      </c>
      <c r="S49" s="430">
        <v>9.4999999999999973E-2</v>
      </c>
      <c r="T49" s="417"/>
      <c r="U49" s="430" t="e">
        <f t="shared" si="6"/>
        <v>#REF!</v>
      </c>
      <c r="V49" s="431">
        <v>9.4999999999999973E-2</v>
      </c>
      <c r="W49" s="417"/>
      <c r="X49" s="62" t="e">
        <f t="shared" si="8"/>
        <v>#REF!</v>
      </c>
      <c r="Y49" s="432">
        <v>5.0910208554003713</v>
      </c>
      <c r="Z49" s="417"/>
      <c r="AA49" s="62" t="e">
        <f t="shared" si="10"/>
        <v>#REF!</v>
      </c>
      <c r="AB49" s="432">
        <v>15.909440173126161</v>
      </c>
      <c r="AC49" s="417"/>
    </row>
    <row r="50" spans="17:29" ht="14.5">
      <c r="R50"/>
      <c r="S50"/>
      <c r="T50"/>
    </row>
    <row r="51" spans="17:29" ht="14.5">
      <c r="R51"/>
      <c r="S51"/>
      <c r="T51"/>
    </row>
    <row r="52" spans="17:29" ht="16">
      <c r="Q52" s="417" t="str">
        <f>Company_Name&amp;": Revenue and Operating Margins"</f>
        <v>Avadel Pharmaceuticals, PLC: Revenue and Operating Margins</v>
      </c>
      <c r="R52"/>
      <c r="S52"/>
      <c r="T52"/>
    </row>
    <row r="53" spans="17:29" ht="14.5">
      <c r="R53"/>
      <c r="S53"/>
      <c r="T53"/>
    </row>
    <row r="54" spans="17:29" ht="16">
      <c r="Q54" s="417" t="str">
        <f>"LUMRYZ : Patient Growth"</f>
        <v>LUMRYZ : Patient Growth</v>
      </c>
      <c r="R54"/>
      <c r="S54"/>
      <c r="T54"/>
    </row>
    <row r="55" spans="17:29" ht="14.5">
      <c r="R55"/>
      <c r="S55"/>
      <c r="T55"/>
    </row>
    <row r="56" spans="17:29" ht="16">
      <c r="Q56" s="417" t="str">
        <f>Company_Name&amp;": Revenue and Operating Margins"</f>
        <v>Avadel Pharmaceuticals, PLC: Revenue and Operating Margins</v>
      </c>
      <c r="R56"/>
      <c r="S56"/>
      <c r="T56"/>
    </row>
    <row r="57" spans="17:29" ht="14.5">
      <c r="R57"/>
      <c r="S57"/>
      <c r="T57"/>
    </row>
    <row r="58" spans="17:29" ht="14.5">
      <c r="R58"/>
      <c r="S58"/>
      <c r="T58"/>
    </row>
    <row r="59" spans="17:29" ht="14.5">
      <c r="R59"/>
      <c r="S59"/>
      <c r="T59"/>
    </row>
    <row r="60" spans="17:29" ht="16">
      <c r="Q60" s="417" t="str">
        <f>"Projected Revenue Growth, FY"&amp;TEXT(Forward_Year_1,"yy")&amp;" - FY"&amp;TEXT(Forward_Year_2,"yy")</f>
        <v>Projected Revenue Growth, FY25 - FY26</v>
      </c>
      <c r="R60"/>
      <c r="S60"/>
      <c r="T60"/>
    </row>
    <row r="61" spans="17:29" ht="16">
      <c r="Q61" s="417" t="str">
        <f>"Projected EBITDA Growth, FY"&amp;TEXT(Forward_Year_1,"yy")&amp;" - FY"&amp;TEXT(Forward_Year_2,"yy")</f>
        <v>Projected EBITDA Growth, FY25 - FY26</v>
      </c>
      <c r="R61"/>
      <c r="S61"/>
      <c r="T61"/>
    </row>
    <row r="62" spans="17:29" ht="16">
      <c r="Q62" s="417"/>
      <c r="R62"/>
      <c r="S62"/>
      <c r="T62"/>
    </row>
    <row r="63" spans="17:29" ht="16">
      <c r="Q63" s="417" t="str">
        <f>"FY"&amp;TEXT(Forward_Year_2,"yy")&amp;" Revenue Multiples"</f>
        <v>FY26 Revenue Multiples</v>
      </c>
      <c r="R63"/>
      <c r="S63"/>
      <c r="T63"/>
    </row>
    <row r="64" spans="17:29" ht="16">
      <c r="Q64" s="417" t="str">
        <f>"FY"&amp;TEXT(Forward_Year_2,"yy")&amp;" EBITDA Multiples"</f>
        <v>FY26 EBITDA Multiples</v>
      </c>
      <c r="R64"/>
      <c r="S64"/>
      <c r="T64"/>
    </row>
    <row r="65" customFormat="1" ht="14.5"/>
    <row r="66" customFormat="1" ht="14.5"/>
    <row r="67" customFormat="1" ht="14.5"/>
    <row r="68" customFormat="1" ht="14.5"/>
    <row r="69" customFormat="1" ht="14.5"/>
    <row r="70" customFormat="1" ht="14.5"/>
    <row r="71" customFormat="1" ht="14.5"/>
    <row r="72" customFormat="1" ht="14.5"/>
    <row r="73" customFormat="1" ht="14.5"/>
    <row r="74" customFormat="1" ht="14.5"/>
    <row r="75" customFormat="1" ht="14.5"/>
    <row r="76" customFormat="1" ht="14.5"/>
    <row r="77" customFormat="1" ht="14.5"/>
    <row r="78" customFormat="1" ht="14.5"/>
    <row r="79" customFormat="1" ht="14.5"/>
    <row r="80" customFormat="1" ht="14.5"/>
    <row r="81" customFormat="1" ht="14.5"/>
    <row r="82" customFormat="1" ht="14.5"/>
    <row r="83" customFormat="1" ht="14.5"/>
    <row r="84" customFormat="1" ht="14.5"/>
    <row r="85" customFormat="1" ht="14.5"/>
    <row r="86" customFormat="1" ht="14.5"/>
    <row r="87" customFormat="1" ht="14.5"/>
    <row r="88" customFormat="1" ht="14.5"/>
    <row r="89" customFormat="1" ht="14.5"/>
    <row r="90" customFormat="1" ht="14.5"/>
    <row r="91" customFormat="1" ht="14.5"/>
    <row r="92" customFormat="1" ht="14.5"/>
    <row r="93" customFormat="1" ht="14.5"/>
    <row r="94" customFormat="1" ht="14.5"/>
    <row r="95" customFormat="1" ht="14.5"/>
    <row r="96" customFormat="1" ht="14.5"/>
    <row r="97" spans="18:21" ht="14.5">
      <c r="R97"/>
      <c r="S97"/>
      <c r="T97"/>
    </row>
    <row r="98" spans="18:21" ht="14.5">
      <c r="R98"/>
      <c r="S98"/>
      <c r="T98"/>
    </row>
    <row r="99" spans="18:21" ht="14.5">
      <c r="R99"/>
      <c r="S99"/>
      <c r="T99"/>
    </row>
    <row r="100" spans="18:21" ht="14.5">
      <c r="R100"/>
      <c r="S100"/>
      <c r="T100"/>
    </row>
    <row r="101" spans="18:21" ht="14.5">
      <c r="R101"/>
      <c r="S101"/>
      <c r="T101"/>
    </row>
    <row r="102" spans="18:21" ht="14.5">
      <c r="R102" t="str">
        <f>Company_Name&amp;" - LTM Price / Volume"</f>
        <v>Avadel Pharmaceuticals, PLC - LTM Price / Volume</v>
      </c>
      <c r="S102"/>
      <c r="T102"/>
    </row>
    <row r="103" spans="18:21" ht="14.5">
      <c r="R103"/>
      <c r="S103"/>
      <c r="T103"/>
    </row>
    <row r="104" spans="18:21" ht="14.5">
      <c r="R104"/>
      <c r="S104"/>
      <c r="T104"/>
    </row>
    <row r="105" spans="18:21" ht="14.5">
      <c r="R105"/>
      <c r="S105"/>
      <c r="T105"/>
    </row>
    <row r="106" spans="18:21">
      <c r="R106" s="475" t="s">
        <v>210</v>
      </c>
      <c r="S106" s="475" t="s">
        <v>314</v>
      </c>
      <c r="T106" s="476" t="s">
        <v>315</v>
      </c>
    </row>
    <row r="107" spans="18:21">
      <c r="R107" s="478">
        <v>45686</v>
      </c>
      <c r="S107" s="479">
        <v>7.61</v>
      </c>
      <c r="T107" s="480">
        <v>827987</v>
      </c>
      <c r="U107" s="474"/>
    </row>
    <row r="108" spans="18:21">
      <c r="R108" s="478">
        <v>45685</v>
      </c>
      <c r="S108" s="479">
        <v>7.64</v>
      </c>
      <c r="T108" s="480">
        <v>1001700</v>
      </c>
      <c r="U108" s="474"/>
    </row>
    <row r="109" spans="18:21">
      <c r="R109" s="478">
        <v>45684</v>
      </c>
      <c r="S109" s="479">
        <v>7.49</v>
      </c>
      <c r="T109" s="480">
        <v>1252100</v>
      </c>
      <c r="U109" s="474"/>
    </row>
    <row r="110" spans="18:21">
      <c r="R110" s="478">
        <v>45681</v>
      </c>
      <c r="S110" s="479">
        <v>7.85</v>
      </c>
      <c r="T110" s="480">
        <v>973100</v>
      </c>
      <c r="U110" s="474"/>
    </row>
    <row r="111" spans="18:21">
      <c r="R111" s="478">
        <v>45680</v>
      </c>
      <c r="S111" s="479">
        <v>7.94</v>
      </c>
      <c r="T111" s="480">
        <v>1453100</v>
      </c>
      <c r="U111" s="474"/>
    </row>
    <row r="112" spans="18:21">
      <c r="R112" s="478">
        <v>45679</v>
      </c>
      <c r="S112" s="479">
        <v>8</v>
      </c>
      <c r="T112" s="480">
        <v>1463800</v>
      </c>
      <c r="U112" s="474"/>
    </row>
    <row r="113" spans="18:21">
      <c r="R113" s="478">
        <v>45678</v>
      </c>
      <c r="S113" s="479">
        <v>7.9</v>
      </c>
      <c r="T113" s="480">
        <v>2362900</v>
      </c>
      <c r="U113" s="474"/>
    </row>
    <row r="114" spans="18:21">
      <c r="R114" s="478">
        <v>45674</v>
      </c>
      <c r="S114" s="479">
        <v>7.75</v>
      </c>
      <c r="T114" s="480">
        <v>1139900</v>
      </c>
      <c r="U114" s="474"/>
    </row>
    <row r="115" spans="18:21">
      <c r="R115" s="478">
        <v>45673</v>
      </c>
      <c r="S115" s="479">
        <v>8</v>
      </c>
      <c r="T115" s="480">
        <v>1453800</v>
      </c>
      <c r="U115" s="474"/>
    </row>
    <row r="116" spans="18:21">
      <c r="R116" s="478">
        <v>45672</v>
      </c>
      <c r="S116" s="479">
        <v>8.16</v>
      </c>
      <c r="T116" s="480">
        <v>1543200</v>
      </c>
      <c r="U116" s="474"/>
    </row>
    <row r="117" spans="18:21">
      <c r="R117" s="478">
        <v>45671</v>
      </c>
      <c r="S117" s="479">
        <v>8.0500000000000007</v>
      </c>
      <c r="T117" s="480">
        <v>1876600</v>
      </c>
      <c r="U117" s="474"/>
    </row>
    <row r="118" spans="18:21">
      <c r="R118" s="478">
        <v>45670</v>
      </c>
      <c r="S118" s="479">
        <v>7.82</v>
      </c>
      <c r="T118" s="480">
        <v>3001900</v>
      </c>
      <c r="U118" s="474"/>
    </row>
    <row r="119" spans="18:21">
      <c r="R119" s="478">
        <v>45667</v>
      </c>
      <c r="S119" s="479">
        <v>7.9</v>
      </c>
      <c r="T119" s="480">
        <v>7853100</v>
      </c>
      <c r="U119" s="474"/>
    </row>
    <row r="120" spans="18:21">
      <c r="R120" s="478">
        <v>45665</v>
      </c>
      <c r="S120" s="479">
        <v>10.69</v>
      </c>
      <c r="T120" s="480">
        <v>2300600</v>
      </c>
      <c r="U120" s="474"/>
    </row>
    <row r="121" spans="18:21">
      <c r="R121" s="478">
        <v>45664</v>
      </c>
      <c r="S121" s="479">
        <v>10.86</v>
      </c>
      <c r="T121" s="480">
        <v>1393000</v>
      </c>
      <c r="U121" s="474"/>
    </row>
    <row r="122" spans="18:21">
      <c r="R122" s="478">
        <v>45663</v>
      </c>
      <c r="S122" s="479">
        <v>10.69</v>
      </c>
      <c r="T122" s="480">
        <v>982600</v>
      </c>
      <c r="U122" s="474"/>
    </row>
    <row r="123" spans="18:21">
      <c r="R123" s="478">
        <v>45660</v>
      </c>
      <c r="S123" s="479">
        <v>11.06</v>
      </c>
      <c r="T123" s="480">
        <v>1364100</v>
      </c>
      <c r="U123" s="474"/>
    </row>
    <row r="124" spans="18:21">
      <c r="R124" s="478">
        <v>45659</v>
      </c>
      <c r="S124" s="479">
        <v>11</v>
      </c>
      <c r="T124" s="480">
        <v>897600</v>
      </c>
      <c r="U124" s="474"/>
    </row>
    <row r="125" spans="18:21">
      <c r="R125" s="478">
        <v>45657</v>
      </c>
      <c r="S125" s="479">
        <v>10.51</v>
      </c>
      <c r="T125" s="480">
        <v>702300</v>
      </c>
      <c r="U125" s="474"/>
    </row>
    <row r="126" spans="18:21">
      <c r="R126" s="478">
        <v>45656</v>
      </c>
      <c r="S126" s="479">
        <v>10.5</v>
      </c>
      <c r="T126" s="480">
        <v>771800</v>
      </c>
      <c r="U126" s="474"/>
    </row>
    <row r="127" spans="18:21">
      <c r="R127" s="478">
        <v>45653</v>
      </c>
      <c r="S127" s="479">
        <v>10.54</v>
      </c>
      <c r="T127" s="480">
        <v>493900</v>
      </c>
      <c r="U127" s="474"/>
    </row>
    <row r="128" spans="18:21">
      <c r="R128" s="478">
        <v>45652</v>
      </c>
      <c r="S128" s="479">
        <v>10.61</v>
      </c>
      <c r="T128" s="480">
        <v>632500</v>
      </c>
      <c r="U128" s="474"/>
    </row>
    <row r="129" spans="18:21">
      <c r="R129" s="478">
        <v>45650</v>
      </c>
      <c r="S129" s="479">
        <v>10.23</v>
      </c>
      <c r="T129" s="480">
        <v>279300</v>
      </c>
      <c r="U129" s="474"/>
    </row>
    <row r="130" spans="18:21">
      <c r="R130" s="478">
        <v>45649</v>
      </c>
      <c r="S130" s="479">
        <v>10.14</v>
      </c>
      <c r="T130" s="480">
        <v>803700</v>
      </c>
      <c r="U130" s="474"/>
    </row>
    <row r="131" spans="18:21">
      <c r="R131" s="478">
        <v>45646</v>
      </c>
      <c r="S131" s="479">
        <v>10.31</v>
      </c>
      <c r="T131" s="480">
        <v>1168900</v>
      </c>
      <c r="U131" s="474"/>
    </row>
    <row r="132" spans="18:21">
      <c r="R132" s="478">
        <v>45645</v>
      </c>
      <c r="S132" s="479">
        <v>10.11</v>
      </c>
      <c r="T132" s="480">
        <v>908200</v>
      </c>
      <c r="U132" s="474"/>
    </row>
    <row r="133" spans="18:21">
      <c r="R133" s="478">
        <v>45644</v>
      </c>
      <c r="S133" s="479">
        <v>10.33</v>
      </c>
      <c r="T133" s="480">
        <v>1150000</v>
      </c>
      <c r="U133" s="474"/>
    </row>
    <row r="134" spans="18:21">
      <c r="R134" s="478">
        <v>45643</v>
      </c>
      <c r="S134" s="479">
        <v>10.73</v>
      </c>
      <c r="T134" s="480">
        <v>867700</v>
      </c>
      <c r="U134" s="474"/>
    </row>
    <row r="135" spans="18:21">
      <c r="R135" s="478">
        <v>45642</v>
      </c>
      <c r="S135" s="479">
        <v>10.93</v>
      </c>
      <c r="T135" s="480">
        <v>1292300</v>
      </c>
      <c r="U135" s="474"/>
    </row>
    <row r="136" spans="18:21">
      <c r="R136" s="478">
        <v>45639</v>
      </c>
      <c r="S136" s="479">
        <v>10.39</v>
      </c>
      <c r="T136" s="480">
        <v>1077200</v>
      </c>
      <c r="U136" s="474"/>
    </row>
    <row r="137" spans="18:21">
      <c r="R137" s="478">
        <v>45638</v>
      </c>
      <c r="S137" s="479">
        <v>10.61</v>
      </c>
      <c r="T137" s="480">
        <v>1036600</v>
      </c>
      <c r="U137" s="474"/>
    </row>
    <row r="138" spans="18:21">
      <c r="R138" s="478">
        <v>45637</v>
      </c>
      <c r="S138" s="479">
        <v>10.32</v>
      </c>
      <c r="T138" s="480">
        <v>1377700</v>
      </c>
      <c r="U138" s="474"/>
    </row>
    <row r="139" spans="18:21">
      <c r="R139" s="478">
        <v>45636</v>
      </c>
      <c r="S139" s="479">
        <v>10</v>
      </c>
      <c r="T139" s="480">
        <v>1342900</v>
      </c>
      <c r="U139" s="474"/>
    </row>
    <row r="140" spans="18:21">
      <c r="R140" s="478">
        <v>45635</v>
      </c>
      <c r="S140" s="479">
        <v>10.15</v>
      </c>
      <c r="T140" s="480">
        <v>972000</v>
      </c>
      <c r="U140" s="474"/>
    </row>
    <row r="141" spans="18:21">
      <c r="R141" s="478">
        <v>45632</v>
      </c>
      <c r="S141" s="479">
        <v>10</v>
      </c>
      <c r="T141" s="480">
        <v>785300</v>
      </c>
      <c r="U141" s="474"/>
    </row>
    <row r="142" spans="18:21">
      <c r="R142" s="478">
        <v>45631</v>
      </c>
      <c r="S142" s="479">
        <v>9.9499999999999993</v>
      </c>
      <c r="T142" s="480">
        <v>700900</v>
      </c>
      <c r="U142" s="474"/>
    </row>
    <row r="143" spans="18:21">
      <c r="R143" s="478">
        <v>45630</v>
      </c>
      <c r="S143" s="479">
        <v>9.9600000000000009</v>
      </c>
      <c r="T143" s="480">
        <v>1376800</v>
      </c>
      <c r="U143" s="474"/>
    </row>
    <row r="144" spans="18:21">
      <c r="R144" s="478">
        <v>45629</v>
      </c>
      <c r="S144" s="479">
        <v>9.94</v>
      </c>
      <c r="T144" s="480">
        <v>4254000</v>
      </c>
      <c r="U144" s="474"/>
    </row>
    <row r="145" spans="18:21">
      <c r="R145" s="478">
        <v>45628</v>
      </c>
      <c r="S145" s="479">
        <v>11.59</v>
      </c>
      <c r="T145" s="480">
        <v>747600</v>
      </c>
      <c r="U145" s="474"/>
    </row>
    <row r="146" spans="18:21">
      <c r="R146" s="478">
        <v>45625</v>
      </c>
      <c r="S146" s="479">
        <v>11.06</v>
      </c>
      <c r="T146" s="480">
        <v>558300</v>
      </c>
      <c r="U146" s="474"/>
    </row>
    <row r="147" spans="18:21">
      <c r="R147" s="478">
        <v>45623</v>
      </c>
      <c r="S147" s="479">
        <v>11.17</v>
      </c>
      <c r="T147" s="480">
        <v>724600</v>
      </c>
      <c r="U147" s="474"/>
    </row>
    <row r="148" spans="18:21">
      <c r="R148" s="478">
        <v>45622</v>
      </c>
      <c r="S148" s="479">
        <v>11.15</v>
      </c>
      <c r="T148" s="480">
        <v>1070900</v>
      </c>
      <c r="U148" s="474"/>
    </row>
    <row r="149" spans="18:21">
      <c r="R149" s="478">
        <v>45621</v>
      </c>
      <c r="S149" s="479">
        <v>11.22</v>
      </c>
      <c r="T149" s="480">
        <v>2056500</v>
      </c>
      <c r="U149" s="474"/>
    </row>
    <row r="150" spans="18:21">
      <c r="R150" s="478">
        <v>45618</v>
      </c>
      <c r="S150" s="479">
        <v>11.66</v>
      </c>
      <c r="T150" s="480">
        <v>1576800</v>
      </c>
      <c r="U150" s="474"/>
    </row>
    <row r="151" spans="18:21">
      <c r="R151" s="478">
        <v>45617</v>
      </c>
      <c r="S151" s="479">
        <v>11.66</v>
      </c>
      <c r="T151" s="480">
        <v>1619600</v>
      </c>
      <c r="U151" s="474"/>
    </row>
    <row r="152" spans="18:21">
      <c r="R152" s="478">
        <v>45616</v>
      </c>
      <c r="S152" s="479">
        <v>10.75</v>
      </c>
      <c r="T152" s="480">
        <v>845500</v>
      </c>
      <c r="U152" s="474"/>
    </row>
    <row r="153" spans="18:21">
      <c r="R153" s="478">
        <v>45615</v>
      </c>
      <c r="S153" s="479">
        <v>10.72</v>
      </c>
      <c r="T153" s="480">
        <v>1184800</v>
      </c>
      <c r="U153" s="474"/>
    </row>
    <row r="154" spans="18:21">
      <c r="R154" s="478">
        <v>45614</v>
      </c>
      <c r="S154" s="479">
        <v>10.72</v>
      </c>
      <c r="T154" s="480">
        <v>1339000</v>
      </c>
      <c r="U154" s="474"/>
    </row>
    <row r="155" spans="18:21">
      <c r="R155" s="478">
        <v>45611</v>
      </c>
      <c r="S155" s="479">
        <v>10.91</v>
      </c>
      <c r="T155" s="480">
        <v>2076400</v>
      </c>
      <c r="U155" s="474"/>
    </row>
    <row r="156" spans="18:21">
      <c r="R156" s="478">
        <v>45610</v>
      </c>
      <c r="S156" s="479">
        <v>11.59</v>
      </c>
      <c r="T156" s="480">
        <v>2349300</v>
      </c>
      <c r="U156" s="474"/>
    </row>
    <row r="157" spans="18:21">
      <c r="R157" s="478">
        <v>45609</v>
      </c>
      <c r="S157" s="479">
        <v>12.02</v>
      </c>
      <c r="T157" s="480">
        <v>4503300</v>
      </c>
      <c r="U157" s="474"/>
    </row>
    <row r="158" spans="18:21">
      <c r="R158" s="478">
        <v>45608</v>
      </c>
      <c r="S158" s="479">
        <v>13.15</v>
      </c>
      <c r="T158" s="480">
        <v>5015600</v>
      </c>
      <c r="U158" s="474"/>
    </row>
    <row r="159" spans="18:21">
      <c r="R159" s="478">
        <v>45607</v>
      </c>
      <c r="S159" s="479">
        <v>16.3</v>
      </c>
      <c r="T159" s="480">
        <v>1659900</v>
      </c>
      <c r="U159" s="474"/>
    </row>
    <row r="160" spans="18:21">
      <c r="R160" s="478">
        <v>45604</v>
      </c>
      <c r="S160" s="479">
        <v>15.94</v>
      </c>
      <c r="T160" s="480">
        <v>970200</v>
      </c>
      <c r="U160" s="474"/>
    </row>
    <row r="161" spans="18:21">
      <c r="R161" s="478">
        <v>45603</v>
      </c>
      <c r="S161" s="479">
        <v>15.72</v>
      </c>
      <c r="T161" s="480">
        <v>763000</v>
      </c>
      <c r="U161" s="474"/>
    </row>
    <row r="162" spans="18:21">
      <c r="R162" s="478">
        <v>45602</v>
      </c>
      <c r="S162" s="479">
        <v>15.3</v>
      </c>
      <c r="T162" s="480">
        <v>924600</v>
      </c>
      <c r="U162" s="474"/>
    </row>
    <row r="163" spans="18:21">
      <c r="R163" s="478">
        <v>45601</v>
      </c>
      <c r="S163" s="479">
        <v>14.92</v>
      </c>
      <c r="T163" s="480">
        <v>731200</v>
      </c>
      <c r="U163" s="474"/>
    </row>
    <row r="164" spans="18:21">
      <c r="R164" s="478">
        <v>45600</v>
      </c>
      <c r="S164" s="479">
        <v>14.86</v>
      </c>
      <c r="T164" s="480">
        <v>1403200</v>
      </c>
      <c r="U164" s="474"/>
    </row>
    <row r="165" spans="18:21">
      <c r="R165" s="478">
        <v>45597</v>
      </c>
      <c r="S165" s="479">
        <v>15.05</v>
      </c>
      <c r="T165" s="480">
        <v>1570000</v>
      </c>
      <c r="U165" s="474"/>
    </row>
    <row r="166" spans="18:21">
      <c r="R166" s="478">
        <v>45596</v>
      </c>
      <c r="S166" s="479">
        <v>15.47</v>
      </c>
      <c r="T166" s="480">
        <v>5112400</v>
      </c>
      <c r="U166" s="474"/>
    </row>
    <row r="167" spans="18:21">
      <c r="R167" s="478">
        <v>45595</v>
      </c>
      <c r="S167" s="479">
        <v>12.91</v>
      </c>
      <c r="T167" s="480">
        <v>373800</v>
      </c>
      <c r="U167" s="474"/>
    </row>
    <row r="168" spans="18:21">
      <c r="R168" s="478">
        <v>45594</v>
      </c>
      <c r="S168" s="479">
        <v>12.92</v>
      </c>
      <c r="T168" s="480">
        <v>365100</v>
      </c>
      <c r="U168" s="474"/>
    </row>
    <row r="169" spans="18:21">
      <c r="R169" s="478">
        <v>45593</v>
      </c>
      <c r="S169" s="479">
        <v>12.8</v>
      </c>
      <c r="T169" s="480">
        <v>457400</v>
      </c>
      <c r="U169" s="474"/>
    </row>
    <row r="170" spans="18:21">
      <c r="R170" s="478">
        <v>45590</v>
      </c>
      <c r="S170" s="479">
        <v>12.88</v>
      </c>
      <c r="T170" s="480">
        <v>378900</v>
      </c>
      <c r="U170" s="474"/>
    </row>
    <row r="171" spans="18:21">
      <c r="R171" s="478">
        <v>45589</v>
      </c>
      <c r="S171" s="479">
        <v>13</v>
      </c>
      <c r="T171" s="480">
        <v>367900</v>
      </c>
      <c r="U171" s="474"/>
    </row>
    <row r="172" spans="18:21">
      <c r="R172" s="478">
        <v>45588</v>
      </c>
      <c r="S172" s="479">
        <v>13.22</v>
      </c>
      <c r="T172" s="480">
        <v>899000</v>
      </c>
      <c r="U172" s="474"/>
    </row>
    <row r="173" spans="18:21">
      <c r="R173" s="478">
        <v>45587</v>
      </c>
      <c r="S173" s="479">
        <v>13.68</v>
      </c>
      <c r="T173" s="480">
        <v>228700</v>
      </c>
      <c r="U173" s="474"/>
    </row>
    <row r="174" spans="18:21">
      <c r="R174" s="478">
        <v>45586</v>
      </c>
      <c r="S174" s="479">
        <v>13.42</v>
      </c>
      <c r="T174" s="480">
        <v>398000</v>
      </c>
      <c r="U174" s="474"/>
    </row>
    <row r="175" spans="18:21">
      <c r="R175" s="478">
        <v>45583</v>
      </c>
      <c r="S175" s="479">
        <v>13.57</v>
      </c>
      <c r="T175" s="480">
        <v>667600</v>
      </c>
      <c r="U175" s="474"/>
    </row>
    <row r="176" spans="18:21">
      <c r="R176" s="478">
        <v>45582</v>
      </c>
      <c r="S176" s="479">
        <v>13.92</v>
      </c>
      <c r="T176" s="480">
        <v>1414400</v>
      </c>
      <c r="U176" s="474"/>
    </row>
    <row r="177" spans="18:21">
      <c r="R177" s="478">
        <v>45581</v>
      </c>
      <c r="S177" s="479">
        <v>13.24</v>
      </c>
      <c r="T177" s="480">
        <v>633400</v>
      </c>
      <c r="U177" s="474"/>
    </row>
    <row r="178" spans="18:21">
      <c r="R178" s="478">
        <v>45580</v>
      </c>
      <c r="S178" s="479">
        <v>13.2</v>
      </c>
      <c r="T178" s="480">
        <v>824500</v>
      </c>
      <c r="U178" s="474"/>
    </row>
    <row r="179" spans="18:21">
      <c r="R179" s="478">
        <v>45579</v>
      </c>
      <c r="S179" s="479">
        <v>13.17</v>
      </c>
      <c r="T179" s="480">
        <v>676100</v>
      </c>
      <c r="U179" s="474"/>
    </row>
    <row r="180" spans="18:21">
      <c r="R180" s="478">
        <v>45576</v>
      </c>
      <c r="S180" s="479">
        <v>13.12</v>
      </c>
      <c r="T180" s="480">
        <v>642500</v>
      </c>
      <c r="U180" s="474"/>
    </row>
    <row r="181" spans="18:21">
      <c r="R181" s="478">
        <v>45575</v>
      </c>
      <c r="S181" s="479">
        <v>12.96</v>
      </c>
      <c r="T181" s="480">
        <v>735900</v>
      </c>
      <c r="U181" s="474"/>
    </row>
    <row r="182" spans="18:21">
      <c r="R182" s="478">
        <v>45574</v>
      </c>
      <c r="S182" s="479">
        <v>12.44</v>
      </c>
      <c r="T182" s="480">
        <v>570100</v>
      </c>
      <c r="U182" s="474"/>
    </row>
    <row r="183" spans="18:21">
      <c r="R183" s="478">
        <v>45573</v>
      </c>
      <c r="S183" s="479">
        <v>12.67</v>
      </c>
      <c r="T183" s="480">
        <v>757500</v>
      </c>
      <c r="U183" s="474"/>
    </row>
    <row r="184" spans="18:21">
      <c r="R184" s="478">
        <v>45572</v>
      </c>
      <c r="S184" s="479">
        <v>12.78</v>
      </c>
      <c r="T184" s="480">
        <v>830300</v>
      </c>
      <c r="U184" s="474"/>
    </row>
    <row r="185" spans="18:21">
      <c r="R185" s="478">
        <v>45569</v>
      </c>
      <c r="S185" s="479">
        <v>13.09</v>
      </c>
      <c r="T185" s="480">
        <v>363000</v>
      </c>
      <c r="U185" s="474"/>
    </row>
    <row r="186" spans="18:21">
      <c r="R186" s="478">
        <v>45568</v>
      </c>
      <c r="S186" s="479">
        <v>12.81</v>
      </c>
      <c r="T186" s="480">
        <v>469300</v>
      </c>
      <c r="U186" s="474"/>
    </row>
    <row r="187" spans="18:21">
      <c r="R187" s="478">
        <v>45567</v>
      </c>
      <c r="S187" s="479">
        <v>13.06</v>
      </c>
      <c r="T187" s="480">
        <v>516900</v>
      </c>
      <c r="U187" s="474"/>
    </row>
    <row r="188" spans="18:21">
      <c r="R188" s="478">
        <v>45566</v>
      </c>
      <c r="S188" s="479">
        <v>13.16</v>
      </c>
      <c r="T188" s="480">
        <v>883300</v>
      </c>
      <c r="U188" s="474"/>
    </row>
    <row r="189" spans="18:21">
      <c r="R189" s="478">
        <v>45565</v>
      </c>
      <c r="S189" s="479">
        <v>13.12</v>
      </c>
      <c r="T189" s="480">
        <v>1730000</v>
      </c>
      <c r="U189" s="474"/>
    </row>
    <row r="190" spans="18:21">
      <c r="R190" s="478">
        <v>45562</v>
      </c>
      <c r="S190" s="479">
        <v>12.75</v>
      </c>
      <c r="T190" s="480">
        <v>802400</v>
      </c>
      <c r="U190" s="474"/>
    </row>
    <row r="191" spans="18:21">
      <c r="R191" s="478">
        <v>45561</v>
      </c>
      <c r="S191" s="479">
        <v>12.6</v>
      </c>
      <c r="T191" s="480">
        <v>527700</v>
      </c>
      <c r="U191" s="474"/>
    </row>
    <row r="192" spans="18:21">
      <c r="R192" s="478">
        <v>45560</v>
      </c>
      <c r="S192" s="479">
        <v>12.69</v>
      </c>
      <c r="T192" s="480">
        <v>449600</v>
      </c>
      <c r="U192" s="474"/>
    </row>
    <row r="193" spans="18:21">
      <c r="R193" s="478">
        <v>45559</v>
      </c>
      <c r="S193" s="479">
        <v>12.78</v>
      </c>
      <c r="T193" s="480">
        <v>868000</v>
      </c>
      <c r="U193" s="474"/>
    </row>
    <row r="194" spans="18:21">
      <c r="R194" s="478">
        <v>45558</v>
      </c>
      <c r="S194" s="479">
        <v>12.87</v>
      </c>
      <c r="T194" s="480">
        <v>981200</v>
      </c>
      <c r="U194" s="474"/>
    </row>
    <row r="195" spans="18:21">
      <c r="R195" s="478">
        <v>45555</v>
      </c>
      <c r="S195" s="479">
        <v>13.4</v>
      </c>
      <c r="T195" s="480">
        <v>1303600</v>
      </c>
      <c r="U195" s="474"/>
    </row>
    <row r="196" spans="18:21">
      <c r="R196" s="478">
        <v>45554</v>
      </c>
      <c r="S196" s="479">
        <v>13.6</v>
      </c>
      <c r="T196" s="480">
        <v>1085200</v>
      </c>
      <c r="U196" s="474"/>
    </row>
    <row r="197" spans="18:21">
      <c r="R197" s="478">
        <v>45553</v>
      </c>
      <c r="S197" s="479">
        <v>13.65</v>
      </c>
      <c r="T197" s="480">
        <v>911900</v>
      </c>
      <c r="U197" s="474"/>
    </row>
    <row r="198" spans="18:21">
      <c r="R198" s="478">
        <v>45552</v>
      </c>
      <c r="S198" s="479">
        <v>13.83</v>
      </c>
      <c r="T198" s="480">
        <v>608200</v>
      </c>
      <c r="U198" s="474"/>
    </row>
    <row r="199" spans="18:21">
      <c r="R199" s="478">
        <v>45551</v>
      </c>
      <c r="S199" s="479">
        <v>13.81</v>
      </c>
      <c r="T199" s="480">
        <v>1465300</v>
      </c>
      <c r="U199" s="474"/>
    </row>
    <row r="200" spans="18:21">
      <c r="R200" s="478">
        <v>45548</v>
      </c>
      <c r="S200" s="479">
        <v>13.7</v>
      </c>
      <c r="T200" s="480">
        <v>987800</v>
      </c>
      <c r="U200" s="474"/>
    </row>
    <row r="201" spans="18:21">
      <c r="R201" s="478">
        <v>45547</v>
      </c>
      <c r="S201" s="479">
        <v>13.95</v>
      </c>
      <c r="T201" s="480">
        <v>1367100</v>
      </c>
      <c r="U201" s="474"/>
    </row>
    <row r="202" spans="18:21">
      <c r="R202" s="478">
        <v>45546</v>
      </c>
      <c r="S202" s="479">
        <v>13.65</v>
      </c>
      <c r="T202" s="480">
        <v>1247200</v>
      </c>
      <c r="U202" s="474"/>
    </row>
    <row r="203" spans="18:21">
      <c r="R203" s="478">
        <v>45545</v>
      </c>
      <c r="S203" s="479">
        <v>14.39</v>
      </c>
      <c r="T203" s="480">
        <v>762900</v>
      </c>
      <c r="U203" s="474"/>
    </row>
    <row r="204" spans="18:21">
      <c r="R204" s="478">
        <v>45544</v>
      </c>
      <c r="S204" s="479">
        <v>14.24</v>
      </c>
      <c r="T204" s="480">
        <v>992100</v>
      </c>
      <c r="U204" s="474"/>
    </row>
    <row r="205" spans="18:21">
      <c r="R205" s="478">
        <v>45541</v>
      </c>
      <c r="S205" s="479">
        <v>14.49</v>
      </c>
      <c r="T205" s="480">
        <v>1160200</v>
      </c>
      <c r="U205" s="474"/>
    </row>
    <row r="206" spans="18:21">
      <c r="R206" s="478">
        <v>45540</v>
      </c>
      <c r="S206" s="479">
        <v>14.63</v>
      </c>
      <c r="T206" s="480">
        <v>715400</v>
      </c>
      <c r="U206" s="474"/>
    </row>
    <row r="207" spans="18:21">
      <c r="R207" s="478">
        <v>45539</v>
      </c>
      <c r="S207" s="479">
        <v>14.72</v>
      </c>
      <c r="T207" s="480">
        <v>924000</v>
      </c>
      <c r="U207" s="474"/>
    </row>
    <row r="208" spans="18:21">
      <c r="R208" s="478">
        <v>45538</v>
      </c>
      <c r="S208" s="479">
        <v>14.98</v>
      </c>
      <c r="T208" s="480">
        <v>1051400</v>
      </c>
      <c r="U208" s="474"/>
    </row>
    <row r="209" spans="18:21">
      <c r="R209" s="478">
        <v>45534</v>
      </c>
      <c r="S209" s="479">
        <v>15.17</v>
      </c>
      <c r="T209" s="480">
        <v>2203200</v>
      </c>
      <c r="U209" s="474"/>
    </row>
    <row r="210" spans="18:21">
      <c r="R210" s="478">
        <v>45533</v>
      </c>
      <c r="S210" s="479">
        <v>14.89</v>
      </c>
      <c r="T210" s="480">
        <v>960900</v>
      </c>
      <c r="U210" s="474"/>
    </row>
    <row r="211" spans="18:21">
      <c r="R211" s="478">
        <v>45532</v>
      </c>
      <c r="S211" s="479">
        <v>14.86</v>
      </c>
      <c r="T211" s="480">
        <v>2721200</v>
      </c>
      <c r="U211" s="474"/>
    </row>
    <row r="212" spans="18:21">
      <c r="R212" s="478">
        <v>45531</v>
      </c>
      <c r="S212" s="479">
        <v>15.8</v>
      </c>
      <c r="T212" s="480">
        <v>541400</v>
      </c>
      <c r="U212" s="474"/>
    </row>
    <row r="213" spans="18:21">
      <c r="R213" s="478">
        <v>45530</v>
      </c>
      <c r="S213" s="479">
        <v>16.46</v>
      </c>
      <c r="T213" s="480">
        <v>407800</v>
      </c>
      <c r="U213" s="474"/>
    </row>
    <row r="214" spans="18:21">
      <c r="R214" s="478">
        <v>45527</v>
      </c>
      <c r="S214" s="479">
        <v>16.5</v>
      </c>
      <c r="T214" s="480">
        <v>464300</v>
      </c>
      <c r="U214" s="474"/>
    </row>
    <row r="215" spans="18:21">
      <c r="R215" s="478">
        <v>45526</v>
      </c>
      <c r="S215" s="479">
        <v>16.170000000000002</v>
      </c>
      <c r="T215" s="480">
        <v>348000</v>
      </c>
      <c r="U215" s="474"/>
    </row>
    <row r="216" spans="18:21">
      <c r="R216" s="478">
        <v>45525</v>
      </c>
      <c r="S216" s="479">
        <v>16.28</v>
      </c>
      <c r="T216" s="480">
        <v>569400</v>
      </c>
      <c r="U216" s="474"/>
    </row>
    <row r="217" spans="18:21">
      <c r="R217" s="478">
        <v>45524</v>
      </c>
      <c r="S217" s="479">
        <v>16.100000000000001</v>
      </c>
      <c r="T217" s="480">
        <v>465400</v>
      </c>
      <c r="U217" s="474"/>
    </row>
    <row r="218" spans="18:21">
      <c r="R218" s="478">
        <v>45523</v>
      </c>
      <c r="S218" s="479">
        <v>16.149999999999999</v>
      </c>
      <c r="T218" s="480">
        <v>832700</v>
      </c>
      <c r="U218" s="474"/>
    </row>
    <row r="219" spans="18:21">
      <c r="R219" s="478">
        <v>45520</v>
      </c>
      <c r="S219" s="479">
        <v>15.94</v>
      </c>
      <c r="T219" s="480">
        <v>953900</v>
      </c>
      <c r="U219" s="474"/>
    </row>
    <row r="220" spans="18:21">
      <c r="R220" s="478">
        <v>45519</v>
      </c>
      <c r="S220" s="479">
        <v>15.35</v>
      </c>
      <c r="T220" s="480">
        <v>859700</v>
      </c>
      <c r="U220" s="474"/>
    </row>
    <row r="221" spans="18:21">
      <c r="R221" s="478">
        <v>45518</v>
      </c>
      <c r="S221" s="479">
        <v>15.74</v>
      </c>
      <c r="T221" s="480">
        <v>578000</v>
      </c>
      <c r="U221" s="474"/>
    </row>
    <row r="222" spans="18:21">
      <c r="R222" s="478">
        <v>45517</v>
      </c>
      <c r="S222" s="479">
        <v>16.239999999999998</v>
      </c>
      <c r="T222" s="480">
        <v>1258000</v>
      </c>
      <c r="U222" s="474"/>
    </row>
    <row r="223" spans="18:21">
      <c r="R223" s="478">
        <v>45516</v>
      </c>
      <c r="S223" s="479">
        <v>16</v>
      </c>
      <c r="T223" s="480">
        <v>1050400</v>
      </c>
      <c r="U223" s="474"/>
    </row>
    <row r="224" spans="18:21">
      <c r="R224" s="478">
        <v>45513</v>
      </c>
      <c r="S224" s="479">
        <v>15.51</v>
      </c>
      <c r="T224" s="480">
        <v>1323300</v>
      </c>
      <c r="U224" s="474"/>
    </row>
    <row r="225" spans="18:21">
      <c r="R225" s="478">
        <v>45512</v>
      </c>
      <c r="S225" s="479">
        <v>15.74</v>
      </c>
      <c r="T225" s="480">
        <v>2382200</v>
      </c>
      <c r="U225" s="474"/>
    </row>
    <row r="226" spans="18:21">
      <c r="R226" s="478">
        <v>45511</v>
      </c>
      <c r="S226" s="479">
        <v>16.100000000000001</v>
      </c>
      <c r="T226" s="480">
        <v>1005100</v>
      </c>
      <c r="U226" s="474"/>
    </row>
    <row r="227" spans="18:21">
      <c r="R227" s="478">
        <v>45510</v>
      </c>
      <c r="S227" s="479">
        <v>16.63</v>
      </c>
      <c r="T227" s="480">
        <v>654300</v>
      </c>
      <c r="U227" s="474"/>
    </row>
    <row r="228" spans="18:21">
      <c r="R228" s="478">
        <v>45509</v>
      </c>
      <c r="S228" s="479">
        <v>16.13</v>
      </c>
      <c r="T228" s="480">
        <v>987900</v>
      </c>
      <c r="U228" s="474"/>
    </row>
    <row r="229" spans="18:21">
      <c r="R229" s="478">
        <v>45506</v>
      </c>
      <c r="S229" s="479">
        <v>16.329999999999998</v>
      </c>
      <c r="T229" s="480">
        <v>613800</v>
      </c>
      <c r="U229" s="474"/>
    </row>
    <row r="230" spans="18:21">
      <c r="R230" s="478">
        <v>45505</v>
      </c>
      <c r="S230" s="479">
        <v>16.510000000000002</v>
      </c>
      <c r="T230" s="480">
        <v>1419800</v>
      </c>
      <c r="U230" s="474"/>
    </row>
    <row r="231" spans="18:21">
      <c r="R231" s="478">
        <v>45504</v>
      </c>
      <c r="S231" s="479">
        <v>16.34</v>
      </c>
      <c r="T231" s="480">
        <v>998500</v>
      </c>
      <c r="U231" s="474"/>
    </row>
    <row r="232" spans="18:21">
      <c r="R232" s="478">
        <v>45503</v>
      </c>
      <c r="S232" s="479">
        <v>16.239999999999998</v>
      </c>
      <c r="T232" s="480">
        <v>487700</v>
      </c>
      <c r="U232" s="474"/>
    </row>
    <row r="233" spans="18:21">
      <c r="R233" s="478">
        <v>45502</v>
      </c>
      <c r="S233" s="479">
        <v>16.32</v>
      </c>
      <c r="T233" s="480">
        <v>513800</v>
      </c>
      <c r="U233" s="474"/>
    </row>
    <row r="234" spans="18:21">
      <c r="R234" s="478">
        <v>45499</v>
      </c>
      <c r="S234" s="479">
        <v>16.72</v>
      </c>
      <c r="T234" s="480">
        <v>716000</v>
      </c>
      <c r="U234" s="474"/>
    </row>
    <row r="235" spans="18:21">
      <c r="R235" s="478">
        <v>45498</v>
      </c>
      <c r="S235" s="479">
        <v>16.29</v>
      </c>
      <c r="T235" s="480">
        <v>688800</v>
      </c>
      <c r="U235" s="474"/>
    </row>
    <row r="236" spans="18:21">
      <c r="R236" s="478">
        <v>45497</v>
      </c>
      <c r="S236" s="479">
        <v>16.3</v>
      </c>
      <c r="T236" s="480">
        <v>2102000</v>
      </c>
      <c r="U236" s="474"/>
    </row>
    <row r="237" spans="18:21">
      <c r="R237" s="478">
        <v>45496</v>
      </c>
      <c r="S237" s="479">
        <v>16.25</v>
      </c>
      <c r="T237" s="480">
        <v>567900</v>
      </c>
      <c r="U237" s="474"/>
    </row>
    <row r="238" spans="18:21">
      <c r="R238" s="478">
        <v>45495</v>
      </c>
      <c r="S238" s="479">
        <v>16.47</v>
      </c>
      <c r="T238" s="480">
        <v>674100</v>
      </c>
      <c r="U238" s="474"/>
    </row>
    <row r="239" spans="18:21">
      <c r="R239" s="478">
        <v>45492</v>
      </c>
      <c r="S239" s="479">
        <v>16.2</v>
      </c>
      <c r="T239" s="480">
        <v>586200</v>
      </c>
      <c r="U239" s="474"/>
    </row>
    <row r="240" spans="18:21">
      <c r="R240" s="478">
        <v>45491</v>
      </c>
      <c r="S240" s="479">
        <v>15.94</v>
      </c>
      <c r="T240" s="480">
        <v>755200</v>
      </c>
      <c r="U240" s="474"/>
    </row>
    <row r="241" spans="18:21">
      <c r="R241" s="478">
        <v>45490</v>
      </c>
      <c r="S241" s="479">
        <v>16.27</v>
      </c>
      <c r="T241" s="480">
        <v>1181300</v>
      </c>
      <c r="U241" s="474"/>
    </row>
    <row r="242" spans="18:21">
      <c r="R242" s="478">
        <v>45489</v>
      </c>
      <c r="S242" s="479">
        <v>16.91</v>
      </c>
      <c r="T242" s="480">
        <v>539400</v>
      </c>
      <c r="U242" s="474"/>
    </row>
    <row r="243" spans="18:21">
      <c r="R243" s="478">
        <v>45488</v>
      </c>
      <c r="S243" s="479">
        <v>16.559999999999999</v>
      </c>
      <c r="T243" s="480">
        <v>982200</v>
      </c>
      <c r="U243" s="474"/>
    </row>
    <row r="244" spans="18:21">
      <c r="R244" s="478">
        <v>45485</v>
      </c>
      <c r="S244" s="479">
        <v>16.600000000000001</v>
      </c>
      <c r="T244" s="480">
        <v>814600</v>
      </c>
      <c r="U244" s="474"/>
    </row>
    <row r="245" spans="18:21">
      <c r="R245" s="478">
        <v>45484</v>
      </c>
      <c r="S245" s="479">
        <v>16.440000000000001</v>
      </c>
      <c r="T245" s="480">
        <v>693600</v>
      </c>
      <c r="U245" s="474"/>
    </row>
    <row r="246" spans="18:21">
      <c r="R246" s="478">
        <v>45483</v>
      </c>
      <c r="S246" s="479">
        <v>16.12</v>
      </c>
      <c r="T246" s="480">
        <v>1050600</v>
      </c>
      <c r="U246" s="474"/>
    </row>
    <row r="247" spans="18:21">
      <c r="R247" s="478">
        <v>45482</v>
      </c>
      <c r="S247" s="479">
        <v>15.89</v>
      </c>
      <c r="T247" s="480">
        <v>1673700</v>
      </c>
      <c r="U247" s="474"/>
    </row>
    <row r="248" spans="18:21">
      <c r="R248" s="478">
        <v>45481</v>
      </c>
      <c r="S248" s="479">
        <v>15.25</v>
      </c>
      <c r="T248" s="480">
        <v>972200</v>
      </c>
      <c r="U248" s="474"/>
    </row>
    <row r="249" spans="18:21">
      <c r="R249" s="478">
        <v>45478</v>
      </c>
      <c r="S249" s="479">
        <v>14.78</v>
      </c>
      <c r="T249" s="480">
        <v>1188100</v>
      </c>
      <c r="U249" s="474"/>
    </row>
    <row r="250" spans="18:21">
      <c r="R250" s="478">
        <v>45476</v>
      </c>
      <c r="S250" s="479">
        <v>14.53</v>
      </c>
      <c r="T250" s="480">
        <v>457200</v>
      </c>
      <c r="U250" s="474"/>
    </row>
    <row r="251" spans="18:21">
      <c r="R251" s="478">
        <v>45475</v>
      </c>
      <c r="S251" s="479">
        <v>13.89</v>
      </c>
      <c r="T251" s="480">
        <v>805700</v>
      </c>
      <c r="U251" s="474"/>
    </row>
    <row r="252" spans="18:21">
      <c r="R252" s="478">
        <v>45474</v>
      </c>
      <c r="S252" s="479">
        <v>14.12</v>
      </c>
      <c r="T252" s="480">
        <v>1958200</v>
      </c>
      <c r="U252" s="474"/>
    </row>
    <row r="253" spans="18:21">
      <c r="R253" s="478">
        <v>45471</v>
      </c>
      <c r="S253" s="479">
        <v>14.06</v>
      </c>
      <c r="T253" s="480">
        <v>16544600</v>
      </c>
      <c r="U253" s="474"/>
    </row>
    <row r="254" spans="18:21">
      <c r="R254" s="478">
        <v>45470</v>
      </c>
      <c r="S254" s="479">
        <v>14.31</v>
      </c>
      <c r="T254" s="480">
        <v>1960700</v>
      </c>
      <c r="U254" s="474"/>
    </row>
    <row r="255" spans="18:21">
      <c r="R255" s="478">
        <v>45469</v>
      </c>
      <c r="S255" s="479">
        <v>14.34</v>
      </c>
      <c r="T255" s="480">
        <v>1007100</v>
      </c>
      <c r="U255" s="474"/>
    </row>
    <row r="256" spans="18:21">
      <c r="R256" s="478">
        <v>45468</v>
      </c>
      <c r="S256" s="479">
        <v>14.29</v>
      </c>
      <c r="T256" s="480">
        <v>2128700</v>
      </c>
      <c r="U256" s="474"/>
    </row>
    <row r="257" spans="18:21">
      <c r="R257" s="478">
        <v>45467</v>
      </c>
      <c r="S257" s="479">
        <v>14.57</v>
      </c>
      <c r="T257" s="480">
        <v>1765300</v>
      </c>
      <c r="U257" s="474"/>
    </row>
    <row r="258" spans="18:21">
      <c r="R258" s="478">
        <v>45464</v>
      </c>
      <c r="S258" s="479">
        <v>15.01</v>
      </c>
      <c r="T258" s="480">
        <v>1712600</v>
      </c>
      <c r="U258" s="474"/>
    </row>
    <row r="259" spans="18:21">
      <c r="R259" s="478">
        <v>45463</v>
      </c>
      <c r="S259" s="479">
        <v>14.98</v>
      </c>
      <c r="T259" s="480">
        <v>1859000</v>
      </c>
      <c r="U259" s="474"/>
    </row>
    <row r="260" spans="18:21">
      <c r="R260" s="478">
        <v>45461</v>
      </c>
      <c r="S260" s="479">
        <v>15.6</v>
      </c>
      <c r="T260" s="480">
        <v>1335300</v>
      </c>
      <c r="U260" s="474"/>
    </row>
    <row r="261" spans="18:21">
      <c r="R261" s="478">
        <v>45460</v>
      </c>
      <c r="S261" s="479">
        <v>15.69</v>
      </c>
      <c r="T261" s="480">
        <v>737300</v>
      </c>
      <c r="U261" s="474"/>
    </row>
    <row r="262" spans="18:21">
      <c r="R262" s="478">
        <v>45457</v>
      </c>
      <c r="S262" s="479">
        <v>15.81</v>
      </c>
      <c r="T262" s="480">
        <v>497700</v>
      </c>
      <c r="U262" s="474"/>
    </row>
    <row r="263" spans="18:21">
      <c r="R263" s="478">
        <v>45456</v>
      </c>
      <c r="S263" s="479">
        <v>15.89</v>
      </c>
      <c r="T263" s="480">
        <v>813800</v>
      </c>
      <c r="U263" s="474"/>
    </row>
    <row r="264" spans="18:21">
      <c r="R264" s="478">
        <v>45455</v>
      </c>
      <c r="S264" s="479">
        <v>15.22</v>
      </c>
      <c r="T264" s="480">
        <v>1049200</v>
      </c>
      <c r="U264" s="474"/>
    </row>
    <row r="265" spans="18:21">
      <c r="R265" s="478">
        <v>45454</v>
      </c>
      <c r="S265" s="479">
        <v>15.27</v>
      </c>
      <c r="T265" s="480">
        <v>513200</v>
      </c>
      <c r="U265" s="474"/>
    </row>
    <row r="266" spans="18:21">
      <c r="R266" s="478">
        <v>45453</v>
      </c>
      <c r="S266" s="479">
        <v>15.29</v>
      </c>
      <c r="T266" s="480">
        <v>905700</v>
      </c>
      <c r="U266" s="474"/>
    </row>
    <row r="267" spans="18:21">
      <c r="R267" s="478">
        <v>45450</v>
      </c>
      <c r="S267" s="479">
        <v>15.13</v>
      </c>
      <c r="T267" s="480">
        <v>637900</v>
      </c>
      <c r="U267" s="474"/>
    </row>
    <row r="268" spans="18:21">
      <c r="R268" s="478">
        <v>45449</v>
      </c>
      <c r="S268" s="479">
        <v>15.25</v>
      </c>
      <c r="T268" s="480">
        <v>813500</v>
      </c>
      <c r="U268" s="474"/>
    </row>
    <row r="269" spans="18:21">
      <c r="R269" s="478">
        <v>45448</v>
      </c>
      <c r="S269" s="479">
        <v>14.87</v>
      </c>
      <c r="T269" s="480">
        <v>1224600</v>
      </c>
      <c r="U269" s="474"/>
    </row>
    <row r="270" spans="18:21">
      <c r="R270" s="478">
        <v>45447</v>
      </c>
      <c r="S270" s="479">
        <v>15.46</v>
      </c>
      <c r="T270" s="480">
        <v>869200</v>
      </c>
      <c r="U270" s="474"/>
    </row>
    <row r="271" spans="18:21">
      <c r="R271" s="478">
        <v>45446</v>
      </c>
      <c r="S271" s="479">
        <v>15.66</v>
      </c>
      <c r="T271" s="480">
        <v>648300</v>
      </c>
      <c r="U271" s="474"/>
    </row>
    <row r="272" spans="18:21">
      <c r="R272" s="478">
        <v>45443</v>
      </c>
      <c r="S272" s="479">
        <v>15.95</v>
      </c>
      <c r="T272" s="480">
        <v>738600</v>
      </c>
      <c r="U272" s="474"/>
    </row>
    <row r="273" spans="18:21">
      <c r="R273" s="478">
        <v>45442</v>
      </c>
      <c r="S273" s="479">
        <v>15.76</v>
      </c>
      <c r="T273" s="480">
        <v>1100900</v>
      </c>
      <c r="U273" s="474"/>
    </row>
    <row r="274" spans="18:21">
      <c r="R274" s="478">
        <v>45441</v>
      </c>
      <c r="S274" s="479">
        <v>15.59</v>
      </c>
      <c r="T274" s="480">
        <v>469200</v>
      </c>
      <c r="U274" s="474"/>
    </row>
    <row r="275" spans="18:21">
      <c r="R275" s="478">
        <v>45440</v>
      </c>
      <c r="S275" s="479">
        <v>15.49</v>
      </c>
      <c r="T275" s="480">
        <v>812400</v>
      </c>
      <c r="U275" s="474"/>
    </row>
    <row r="276" spans="18:21">
      <c r="R276" s="478">
        <v>45436</v>
      </c>
      <c r="S276" s="479">
        <v>15.75</v>
      </c>
      <c r="T276" s="480">
        <v>642400</v>
      </c>
      <c r="U276" s="474"/>
    </row>
    <row r="277" spans="18:21">
      <c r="R277" s="478">
        <v>45435</v>
      </c>
      <c r="S277" s="479">
        <v>15.62</v>
      </c>
      <c r="T277" s="480">
        <v>631600</v>
      </c>
      <c r="U277" s="474"/>
    </row>
    <row r="278" spans="18:21">
      <c r="R278" s="478">
        <v>45434</v>
      </c>
      <c r="S278" s="479">
        <v>15.82</v>
      </c>
      <c r="T278" s="480">
        <v>965300</v>
      </c>
      <c r="U278" s="474"/>
    </row>
    <row r="279" spans="18:21">
      <c r="R279" s="478">
        <v>45433</v>
      </c>
      <c r="S279" s="479">
        <v>16</v>
      </c>
      <c r="T279" s="480">
        <v>528600</v>
      </c>
      <c r="U279" s="474"/>
    </row>
    <row r="280" spans="18:21">
      <c r="R280" s="478">
        <v>45432</v>
      </c>
      <c r="S280" s="479">
        <v>15.7</v>
      </c>
      <c r="T280" s="480">
        <v>402500</v>
      </c>
      <c r="U280" s="474"/>
    </row>
    <row r="281" spans="18:21">
      <c r="R281" s="478">
        <v>45429</v>
      </c>
      <c r="S281" s="479">
        <v>15.49</v>
      </c>
      <c r="T281" s="480">
        <v>573300</v>
      </c>
      <c r="U281" s="474"/>
    </row>
    <row r="282" spans="18:21">
      <c r="R282" s="478">
        <v>45428</v>
      </c>
      <c r="S282" s="479">
        <v>15.94</v>
      </c>
      <c r="T282" s="480">
        <v>606100</v>
      </c>
      <c r="U282" s="474"/>
    </row>
    <row r="283" spans="18:21">
      <c r="R283" s="478">
        <v>45427</v>
      </c>
      <c r="S283" s="479">
        <v>16.09</v>
      </c>
      <c r="T283" s="480">
        <v>1116900</v>
      </c>
      <c r="U283" s="474"/>
    </row>
    <row r="284" spans="18:21">
      <c r="R284" s="478">
        <v>45426</v>
      </c>
      <c r="S284" s="479">
        <v>16.12</v>
      </c>
      <c r="T284" s="480">
        <v>1506400</v>
      </c>
      <c r="U284" s="474"/>
    </row>
    <row r="285" spans="18:21">
      <c r="R285" s="478">
        <v>45425</v>
      </c>
      <c r="S285" s="479">
        <v>16.809999999999999</v>
      </c>
      <c r="T285" s="480">
        <v>961300</v>
      </c>
      <c r="U285" s="474"/>
    </row>
    <row r="286" spans="18:21">
      <c r="R286" s="478">
        <v>45422</v>
      </c>
      <c r="S286" s="479">
        <v>16.52</v>
      </c>
      <c r="T286" s="480">
        <v>1889600</v>
      </c>
      <c r="U286" s="474"/>
    </row>
    <row r="287" spans="18:21">
      <c r="R287" s="478">
        <v>45421</v>
      </c>
      <c r="S287" s="479">
        <v>15.83</v>
      </c>
      <c r="T287" s="480">
        <v>2487400</v>
      </c>
      <c r="U287" s="474"/>
    </row>
    <row r="288" spans="18:21">
      <c r="R288" s="478">
        <v>45420</v>
      </c>
      <c r="S288" s="479">
        <v>16.25</v>
      </c>
      <c r="T288" s="480">
        <v>4209900</v>
      </c>
      <c r="U288" s="474"/>
    </row>
    <row r="289" spans="18:21">
      <c r="R289" s="478">
        <v>45419</v>
      </c>
      <c r="S289" s="479">
        <v>18.18</v>
      </c>
      <c r="T289" s="480">
        <v>1501400</v>
      </c>
      <c r="U289" s="474"/>
    </row>
    <row r="290" spans="18:21">
      <c r="R290" s="478">
        <v>45418</v>
      </c>
      <c r="S290" s="479">
        <v>18.62</v>
      </c>
      <c r="T290" s="480">
        <v>638200</v>
      </c>
      <c r="U290" s="474"/>
    </row>
    <row r="291" spans="18:21">
      <c r="R291" s="478">
        <v>45415</v>
      </c>
      <c r="S291" s="479">
        <v>18.82</v>
      </c>
      <c r="T291" s="480">
        <v>874900</v>
      </c>
      <c r="U291" s="474"/>
    </row>
    <row r="292" spans="18:21">
      <c r="R292" s="478">
        <v>45414</v>
      </c>
      <c r="S292" s="479">
        <v>18.3</v>
      </c>
      <c r="T292" s="480">
        <v>849200</v>
      </c>
      <c r="U292" s="474"/>
    </row>
    <row r="293" spans="18:21">
      <c r="R293" s="478">
        <v>45413</v>
      </c>
      <c r="S293" s="479">
        <v>18.309999999999999</v>
      </c>
      <c r="T293" s="480">
        <v>1032700</v>
      </c>
      <c r="U293" s="474"/>
    </row>
    <row r="294" spans="18:21">
      <c r="R294" s="478">
        <v>45412</v>
      </c>
      <c r="S294" s="479">
        <v>18.16</v>
      </c>
      <c r="T294" s="480">
        <v>849700</v>
      </c>
      <c r="U294" s="474"/>
    </row>
    <row r="295" spans="18:21">
      <c r="R295" s="478">
        <v>45411</v>
      </c>
      <c r="S295" s="479">
        <v>17.97</v>
      </c>
      <c r="T295" s="480">
        <v>553900</v>
      </c>
      <c r="U295" s="474"/>
    </row>
    <row r="296" spans="18:21">
      <c r="R296" s="478">
        <v>45408</v>
      </c>
      <c r="S296" s="479">
        <v>17.809999999999999</v>
      </c>
      <c r="T296" s="480">
        <v>452400</v>
      </c>
      <c r="U296" s="474"/>
    </row>
    <row r="297" spans="18:21">
      <c r="R297" s="478">
        <v>45407</v>
      </c>
      <c r="S297" s="479">
        <v>17.82</v>
      </c>
      <c r="T297" s="480">
        <v>777300</v>
      </c>
      <c r="U297" s="474"/>
    </row>
    <row r="298" spans="18:21">
      <c r="R298" s="478">
        <v>45406</v>
      </c>
      <c r="S298" s="479">
        <v>17.66</v>
      </c>
      <c r="T298" s="480">
        <v>444100</v>
      </c>
      <c r="U298" s="474"/>
    </row>
    <row r="299" spans="18:21">
      <c r="R299" s="478">
        <v>45405</v>
      </c>
      <c r="S299" s="479">
        <v>18.09</v>
      </c>
      <c r="T299" s="480">
        <v>985700</v>
      </c>
      <c r="U299" s="474"/>
    </row>
    <row r="300" spans="18:21">
      <c r="R300" s="478">
        <v>45404</v>
      </c>
      <c r="S300" s="479">
        <v>17.3</v>
      </c>
      <c r="T300" s="480">
        <v>823400</v>
      </c>
      <c r="U300" s="474"/>
    </row>
    <row r="301" spans="18:21">
      <c r="R301" s="478">
        <v>45401</v>
      </c>
      <c r="S301" s="479">
        <v>17.329999999999998</v>
      </c>
      <c r="T301" s="480">
        <v>1332500</v>
      </c>
      <c r="U301" s="474"/>
    </row>
    <row r="302" spans="18:21">
      <c r="R302" s="478">
        <v>45400</v>
      </c>
      <c r="S302" s="479">
        <v>17.38</v>
      </c>
      <c r="T302" s="480">
        <v>1108200</v>
      </c>
      <c r="U302" s="474"/>
    </row>
    <row r="303" spans="18:21">
      <c r="R303" s="478">
        <v>45399</v>
      </c>
      <c r="S303" s="479">
        <v>17.989999999999998</v>
      </c>
      <c r="T303" s="480">
        <v>1609900</v>
      </c>
      <c r="U303" s="474"/>
    </row>
    <row r="304" spans="18:21">
      <c r="R304" s="478">
        <v>45398</v>
      </c>
      <c r="S304" s="479">
        <v>18.09</v>
      </c>
      <c r="T304" s="480">
        <v>2316000</v>
      </c>
      <c r="U304" s="474"/>
    </row>
    <row r="305" spans="18:21">
      <c r="R305" s="478">
        <v>45397</v>
      </c>
      <c r="S305" s="479">
        <v>17</v>
      </c>
      <c r="T305" s="480">
        <v>2405700</v>
      </c>
      <c r="U305" s="474"/>
    </row>
    <row r="306" spans="18:21">
      <c r="R306" s="478">
        <v>45394</v>
      </c>
      <c r="S306" s="479">
        <v>15.99</v>
      </c>
      <c r="T306" s="480">
        <v>1466000</v>
      </c>
      <c r="U306" s="474"/>
    </row>
    <row r="307" spans="18:21">
      <c r="R307" s="478">
        <v>45393</v>
      </c>
      <c r="S307" s="479">
        <v>15.96</v>
      </c>
      <c r="T307" s="480">
        <v>981300</v>
      </c>
      <c r="U307" s="474"/>
    </row>
    <row r="308" spans="18:21">
      <c r="R308" s="478">
        <v>45392</v>
      </c>
      <c r="S308" s="479">
        <v>16.149999999999999</v>
      </c>
      <c r="T308" s="480">
        <v>460800</v>
      </c>
      <c r="U308" s="474"/>
    </row>
    <row r="309" spans="18:21">
      <c r="R309" s="478">
        <v>45391</v>
      </c>
      <c r="S309" s="479">
        <v>16.77</v>
      </c>
      <c r="T309" s="480">
        <v>471200</v>
      </c>
      <c r="U309" s="474"/>
    </row>
    <row r="310" spans="18:21">
      <c r="R310" s="478">
        <v>45390</v>
      </c>
      <c r="S310" s="479">
        <v>17.13</v>
      </c>
      <c r="T310" s="480">
        <v>667500</v>
      </c>
      <c r="U310" s="474"/>
    </row>
    <row r="311" spans="18:21">
      <c r="R311" s="478">
        <v>45387</v>
      </c>
      <c r="S311" s="479">
        <v>16.690000000000001</v>
      </c>
      <c r="T311" s="480">
        <v>427600</v>
      </c>
      <c r="U311" s="474"/>
    </row>
    <row r="312" spans="18:21">
      <c r="R312" s="478">
        <v>45386</v>
      </c>
      <c r="S312" s="479">
        <v>16.59</v>
      </c>
      <c r="T312" s="480">
        <v>446700</v>
      </c>
      <c r="U312" s="474"/>
    </row>
    <row r="313" spans="18:21">
      <c r="R313" s="478">
        <v>45385</v>
      </c>
      <c r="S313" s="479">
        <v>16.29</v>
      </c>
      <c r="T313" s="480">
        <v>371200</v>
      </c>
      <c r="U313" s="474"/>
    </row>
    <row r="314" spans="18:21">
      <c r="R314" s="478">
        <v>45384</v>
      </c>
      <c r="S314" s="479">
        <v>16.41</v>
      </c>
      <c r="T314" s="480">
        <v>452800</v>
      </c>
      <c r="U314" s="474"/>
    </row>
    <row r="315" spans="18:21">
      <c r="R315" s="478">
        <v>45383</v>
      </c>
      <c r="S315" s="479">
        <v>16.66</v>
      </c>
      <c r="T315" s="480">
        <v>789400</v>
      </c>
      <c r="U315" s="474"/>
    </row>
    <row r="316" spans="18:21">
      <c r="R316" s="478">
        <v>45379</v>
      </c>
      <c r="S316" s="479">
        <v>16.89</v>
      </c>
      <c r="T316" s="480">
        <v>510800</v>
      </c>
      <c r="U316" s="474"/>
    </row>
    <row r="317" spans="18:21">
      <c r="R317" s="478">
        <v>45378</v>
      </c>
      <c r="S317" s="479">
        <v>16.84</v>
      </c>
      <c r="T317" s="480">
        <v>355900</v>
      </c>
      <c r="U317" s="474"/>
    </row>
    <row r="318" spans="18:21">
      <c r="R318" s="478">
        <v>45377</v>
      </c>
      <c r="S318" s="479">
        <v>16.239999999999998</v>
      </c>
      <c r="T318" s="480">
        <v>463600</v>
      </c>
      <c r="U318" s="474"/>
    </row>
    <row r="319" spans="18:21">
      <c r="R319" s="478">
        <v>45376</v>
      </c>
      <c r="S319" s="479">
        <v>16.59</v>
      </c>
      <c r="T319" s="480">
        <v>783200</v>
      </c>
      <c r="U319" s="474"/>
    </row>
    <row r="320" spans="18:21">
      <c r="R320" s="478">
        <v>45373</v>
      </c>
      <c r="S320" s="479">
        <v>17.22</v>
      </c>
      <c r="T320" s="480">
        <v>917900</v>
      </c>
      <c r="U320" s="474"/>
    </row>
    <row r="321" spans="18:21">
      <c r="R321" s="478">
        <v>45372</v>
      </c>
      <c r="S321" s="479">
        <v>17.09</v>
      </c>
      <c r="T321" s="480">
        <v>1188300</v>
      </c>
      <c r="U321" s="474"/>
    </row>
    <row r="322" spans="18:21">
      <c r="R322" s="478">
        <v>45371</v>
      </c>
      <c r="S322" s="479">
        <v>16.57</v>
      </c>
      <c r="T322" s="480">
        <v>663000</v>
      </c>
      <c r="U322" s="474"/>
    </row>
    <row r="323" spans="18:21">
      <c r="R323" s="478">
        <v>45370</v>
      </c>
      <c r="S323" s="479">
        <v>15.8</v>
      </c>
      <c r="T323" s="480">
        <v>402000</v>
      </c>
      <c r="U323" s="474"/>
    </row>
    <row r="324" spans="18:21">
      <c r="R324" s="478">
        <v>45369</v>
      </c>
      <c r="S324" s="479">
        <v>15.77</v>
      </c>
      <c r="T324" s="480">
        <v>655500</v>
      </c>
      <c r="U324" s="474"/>
    </row>
    <row r="325" spans="18:21">
      <c r="R325" s="478">
        <v>45366</v>
      </c>
      <c r="S325" s="479">
        <v>15.92</v>
      </c>
      <c r="T325" s="480">
        <v>685700</v>
      </c>
      <c r="U325" s="474"/>
    </row>
    <row r="326" spans="18:21">
      <c r="R326" s="478">
        <v>45365</v>
      </c>
      <c r="S326" s="479">
        <v>16.100000000000001</v>
      </c>
      <c r="T326" s="480">
        <v>887700</v>
      </c>
      <c r="U326" s="474"/>
    </row>
    <row r="327" spans="18:21">
      <c r="R327" s="478">
        <v>45364</v>
      </c>
      <c r="S327" s="479">
        <v>16.079999999999998</v>
      </c>
      <c r="T327" s="480">
        <v>981000</v>
      </c>
      <c r="U327" s="474"/>
    </row>
    <row r="328" spans="18:21">
      <c r="R328" s="478">
        <v>45363</v>
      </c>
      <c r="S328" s="479">
        <v>15.97</v>
      </c>
      <c r="T328" s="480">
        <v>1440400</v>
      </c>
      <c r="U328" s="474"/>
    </row>
    <row r="329" spans="18:21">
      <c r="R329" s="478">
        <v>45362</v>
      </c>
      <c r="S329" s="479">
        <v>16</v>
      </c>
      <c r="T329" s="480">
        <v>667900</v>
      </c>
      <c r="U329" s="474"/>
    </row>
    <row r="330" spans="18:21">
      <c r="R330" s="478">
        <v>45359</v>
      </c>
      <c r="S330" s="479">
        <v>16.350000000000001</v>
      </c>
      <c r="T330" s="480">
        <v>1084900</v>
      </c>
      <c r="U330" s="474"/>
    </row>
    <row r="331" spans="18:21">
      <c r="R331" s="478">
        <v>45358</v>
      </c>
      <c r="S331" s="479">
        <v>16.04</v>
      </c>
      <c r="T331" s="480">
        <v>1274400</v>
      </c>
      <c r="U331" s="474"/>
    </row>
    <row r="332" spans="18:21">
      <c r="R332" s="478">
        <v>45357</v>
      </c>
      <c r="S332" s="479">
        <v>16.32</v>
      </c>
      <c r="T332" s="480">
        <v>2280400</v>
      </c>
      <c r="U332" s="474"/>
    </row>
    <row r="333" spans="18:21">
      <c r="R333" s="478">
        <v>45356</v>
      </c>
      <c r="S333" s="479">
        <v>15.81</v>
      </c>
      <c r="T333" s="480">
        <v>2090800</v>
      </c>
      <c r="U333" s="474"/>
    </row>
    <row r="334" spans="18:21">
      <c r="R334" s="478">
        <v>45355</v>
      </c>
      <c r="S334" s="479">
        <v>16.13</v>
      </c>
      <c r="T334" s="480">
        <v>10234200</v>
      </c>
      <c r="U334" s="474"/>
    </row>
    <row r="335" spans="18:21">
      <c r="R335" s="478">
        <v>45352</v>
      </c>
      <c r="S335" s="479">
        <v>13.72</v>
      </c>
      <c r="T335" s="480">
        <v>4112500</v>
      </c>
      <c r="U335" s="474"/>
    </row>
    <row r="336" spans="18:21">
      <c r="R336" s="478">
        <v>45351</v>
      </c>
      <c r="S336" s="479">
        <v>12.78</v>
      </c>
      <c r="T336" s="480">
        <v>1613700</v>
      </c>
      <c r="U336" s="474"/>
    </row>
    <row r="337" spans="18:21">
      <c r="R337" s="478">
        <v>45350</v>
      </c>
      <c r="S337" s="479">
        <v>12.55</v>
      </c>
      <c r="T337" s="480">
        <v>2028800</v>
      </c>
      <c r="U337" s="474"/>
    </row>
    <row r="338" spans="18:21">
      <c r="R338" s="478">
        <v>45349</v>
      </c>
      <c r="S338" s="479">
        <v>13.31</v>
      </c>
      <c r="T338" s="480">
        <v>1343000</v>
      </c>
      <c r="U338" s="474"/>
    </row>
    <row r="339" spans="18:21">
      <c r="R339" s="478">
        <v>45348</v>
      </c>
      <c r="S339" s="479">
        <v>12.99</v>
      </c>
      <c r="T339" s="480">
        <v>1345600</v>
      </c>
      <c r="U339" s="474"/>
    </row>
    <row r="340" spans="18:21">
      <c r="R340" s="478">
        <v>45345</v>
      </c>
      <c r="S340" s="479">
        <v>12.62</v>
      </c>
      <c r="T340" s="480">
        <v>1529100</v>
      </c>
      <c r="U340" s="474"/>
    </row>
    <row r="341" spans="18:21">
      <c r="R341" s="478">
        <v>45344</v>
      </c>
      <c r="S341" s="479">
        <v>12.6</v>
      </c>
      <c r="T341" s="480">
        <v>970200</v>
      </c>
      <c r="U341" s="474"/>
    </row>
    <row r="342" spans="18:21">
      <c r="R342" s="478">
        <v>45343</v>
      </c>
      <c r="S342" s="479">
        <v>12.68</v>
      </c>
      <c r="T342" s="480">
        <v>1065000</v>
      </c>
      <c r="U342" s="474"/>
    </row>
    <row r="343" spans="18:21">
      <c r="R343" s="478">
        <v>45342</v>
      </c>
      <c r="S343" s="479">
        <v>12.86</v>
      </c>
      <c r="T343" s="480">
        <v>1441300</v>
      </c>
      <c r="U343" s="474"/>
    </row>
    <row r="344" spans="18:21">
      <c r="R344" s="478">
        <v>45338</v>
      </c>
      <c r="S344" s="479">
        <v>13.57</v>
      </c>
      <c r="T344" s="480">
        <v>641100</v>
      </c>
      <c r="U344" s="474"/>
    </row>
    <row r="345" spans="18:21">
      <c r="R345" s="478">
        <v>45337</v>
      </c>
      <c r="S345" s="479">
        <v>14.2</v>
      </c>
      <c r="T345" s="480">
        <v>647500</v>
      </c>
      <c r="U345" s="474"/>
    </row>
    <row r="346" spans="18:21">
      <c r="R346" s="478">
        <v>45336</v>
      </c>
      <c r="S346" s="479">
        <v>14.25</v>
      </c>
      <c r="T346" s="480">
        <v>264300</v>
      </c>
      <c r="U346" s="474"/>
    </row>
    <row r="347" spans="18:21">
      <c r="R347" s="478">
        <v>45335</v>
      </c>
      <c r="S347" s="479">
        <v>14.15</v>
      </c>
      <c r="T347" s="480">
        <v>571100</v>
      </c>
      <c r="U347" s="474"/>
    </row>
    <row r="348" spans="18:21">
      <c r="R348" s="478">
        <v>45334</v>
      </c>
      <c r="S348" s="479">
        <v>14.65</v>
      </c>
      <c r="T348" s="480">
        <v>1108400</v>
      </c>
      <c r="U348" s="474"/>
    </row>
    <row r="349" spans="18:21">
      <c r="R349" s="478">
        <v>45331</v>
      </c>
      <c r="S349" s="479">
        <v>14.42</v>
      </c>
      <c r="T349" s="480">
        <v>2678200</v>
      </c>
      <c r="U349" s="474"/>
    </row>
    <row r="350" spans="18:21">
      <c r="R350" s="478">
        <v>45330</v>
      </c>
      <c r="S350" s="479">
        <v>14.7</v>
      </c>
      <c r="T350" s="480">
        <v>507700</v>
      </c>
      <c r="U350" s="474"/>
    </row>
    <row r="351" spans="18:21">
      <c r="R351" s="478">
        <v>45329</v>
      </c>
      <c r="S351" s="479">
        <v>14.71</v>
      </c>
      <c r="T351" s="480">
        <v>592800</v>
      </c>
      <c r="U351" s="474"/>
    </row>
    <row r="352" spans="18:21">
      <c r="R352" s="478">
        <v>45328</v>
      </c>
      <c r="S352" s="479">
        <v>15.4</v>
      </c>
      <c r="T352" s="480">
        <v>1851600</v>
      </c>
      <c r="U352" s="474"/>
    </row>
    <row r="353" spans="18:21">
      <c r="R353" s="478">
        <v>45327</v>
      </c>
      <c r="S353" s="479">
        <v>14.55</v>
      </c>
      <c r="T353" s="480">
        <v>563300</v>
      </c>
      <c r="U353" s="474"/>
    </row>
    <row r="354" spans="18:21">
      <c r="R354" s="478">
        <v>45324</v>
      </c>
      <c r="S354" s="479">
        <v>14.69</v>
      </c>
      <c r="T354" s="480">
        <v>571800</v>
      </c>
      <c r="U354" s="474"/>
    </row>
    <row r="355" spans="18:21">
      <c r="R355" s="478">
        <v>45323</v>
      </c>
      <c r="S355" s="479">
        <v>14.72</v>
      </c>
      <c r="T355" s="480">
        <v>704600</v>
      </c>
      <c r="U355" s="474"/>
    </row>
    <row r="356" spans="18:21">
      <c r="R356" s="478">
        <v>45322</v>
      </c>
      <c r="S356" s="479">
        <v>14.39</v>
      </c>
      <c r="T356" s="480">
        <v>830200</v>
      </c>
      <c r="U356" s="474"/>
    </row>
    <row r="357" spans="18:21">
      <c r="R357" s="478">
        <v>45321</v>
      </c>
      <c r="S357" s="479">
        <v>14.62</v>
      </c>
      <c r="T357" s="480">
        <v>1033200</v>
      </c>
      <c r="U357" s="474"/>
    </row>
    <row r="358" spans="18:21">
      <c r="R358" s="478">
        <v>45320</v>
      </c>
      <c r="S358" s="479">
        <v>14.6</v>
      </c>
      <c r="T358" s="480">
        <v>1504500</v>
      </c>
      <c r="U358" s="474"/>
    </row>
  </sheetData>
  <dataValidations disablePrompts="1" count="1">
    <dataValidation type="list" allowBlank="1" showInputMessage="1" showErrorMessage="1" sqref="R20" xr:uid="{1356129F-01DE-4D17-A19F-49DAB010AF08}">
      <formula1>"1,2,3,4,5,6,7,8"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6F2C7-6BA5-412A-A00B-5C52D12E459A}">
  <dimension ref="B2:XFC181"/>
  <sheetViews>
    <sheetView showGridLines="0" zoomScale="49" zoomScaleNormal="70" workbookViewId="0">
      <selection activeCell="M32" sqref="M32:V32"/>
    </sheetView>
  </sheetViews>
  <sheetFormatPr defaultRowHeight="16"/>
  <cols>
    <col min="1" max="1" width="8.7265625" style="10"/>
    <col min="2" max="2" width="2" style="10" customWidth="1"/>
    <col min="3" max="3" width="45.26953125" style="10" customWidth="1"/>
    <col min="4" max="5" width="8.7265625" style="10"/>
    <col min="6" max="6" width="9.1796875" style="10" bestFit="1" customWidth="1"/>
    <col min="7" max="7" width="12.08984375" style="10" bestFit="1" customWidth="1"/>
    <col min="8" max="8" width="12" style="10" bestFit="1" customWidth="1"/>
    <col min="9" max="10" width="11.453125" style="10" bestFit="1" customWidth="1"/>
    <col min="11" max="12" width="12.08984375" style="10" bestFit="1" customWidth="1"/>
    <col min="13" max="13" width="14.81640625" style="10" bestFit="1" customWidth="1"/>
    <col min="14" max="15" width="12.08984375" style="10" bestFit="1" customWidth="1"/>
    <col min="16" max="23" width="13.08984375" style="10" bestFit="1" customWidth="1"/>
    <col min="24" max="24" width="32.1796875" style="10" bestFit="1" customWidth="1"/>
    <col min="25" max="25" width="7.54296875" style="10" bestFit="1" customWidth="1"/>
    <col min="26" max="26" width="8.453125" style="10" bestFit="1" customWidth="1"/>
    <col min="27" max="27" width="7.90625" style="10" bestFit="1" customWidth="1"/>
    <col min="28" max="29" width="8.6328125" style="10" bestFit="1" customWidth="1"/>
    <col min="30" max="30" width="7.90625" style="10" bestFit="1" customWidth="1"/>
    <col min="31" max="32" width="9.54296875" style="10" bestFit="1" customWidth="1"/>
    <col min="33" max="35" width="10.6328125" style="10" bestFit="1" customWidth="1"/>
    <col min="36" max="37" width="11.81640625" style="10" bestFit="1" customWidth="1"/>
    <col min="38" max="40" width="9" style="10" bestFit="1" customWidth="1"/>
    <col min="41" max="16384" width="8.7265625" style="10"/>
  </cols>
  <sheetData>
    <row r="2" spans="2:22">
      <c r="B2" s="1"/>
      <c r="C2" s="1"/>
      <c r="D2" s="1"/>
      <c r="E2" s="1"/>
      <c r="F2" s="1"/>
      <c r="G2" s="2"/>
      <c r="H2" s="2"/>
      <c r="I2" s="3" t="s">
        <v>0</v>
      </c>
      <c r="J2" s="2"/>
      <c r="K2" s="2"/>
      <c r="L2" s="2"/>
      <c r="M2" s="4"/>
      <c r="N2" s="2"/>
      <c r="O2" s="2"/>
      <c r="P2" s="2"/>
      <c r="Q2" s="3" t="s">
        <v>1</v>
      </c>
      <c r="R2" s="2"/>
      <c r="S2" s="2"/>
      <c r="T2" s="2"/>
      <c r="U2" s="2"/>
      <c r="V2" s="2"/>
    </row>
    <row r="3" spans="2:22">
      <c r="B3" s="5" t="str">
        <f>Company_Name</f>
        <v>Avadel Pharmaceuticals, PLC</v>
      </c>
      <c r="C3" s="1"/>
      <c r="D3" s="1"/>
      <c r="E3" s="6" t="s">
        <v>2</v>
      </c>
      <c r="F3" s="7"/>
      <c r="G3" s="8">
        <v>43646</v>
      </c>
      <c r="H3" s="8">
        <f>EOMONTH(G3,12)</f>
        <v>44012</v>
      </c>
      <c r="I3" s="8">
        <f t="shared" ref="I3:V3" si="0">EOMONTH(H3,12)</f>
        <v>44377</v>
      </c>
      <c r="J3" s="8">
        <f t="shared" si="0"/>
        <v>44742</v>
      </c>
      <c r="K3" s="8">
        <f t="shared" si="0"/>
        <v>45107</v>
      </c>
      <c r="L3" s="8">
        <f t="shared" si="0"/>
        <v>45473</v>
      </c>
      <c r="M3" s="9">
        <f t="shared" si="0"/>
        <v>45838</v>
      </c>
      <c r="N3" s="8">
        <f t="shared" si="0"/>
        <v>46203</v>
      </c>
      <c r="O3" s="8">
        <f t="shared" si="0"/>
        <v>46568</v>
      </c>
      <c r="P3" s="8">
        <f t="shared" si="0"/>
        <v>46934</v>
      </c>
      <c r="Q3" s="8">
        <f t="shared" si="0"/>
        <v>47299</v>
      </c>
      <c r="R3" s="8">
        <f t="shared" si="0"/>
        <v>47664</v>
      </c>
      <c r="S3" s="8">
        <f t="shared" si="0"/>
        <v>48029</v>
      </c>
      <c r="T3" s="8">
        <f t="shared" si="0"/>
        <v>48395</v>
      </c>
      <c r="U3" s="8">
        <f t="shared" si="0"/>
        <v>48760</v>
      </c>
      <c r="V3" s="8">
        <f t="shared" si="0"/>
        <v>49125</v>
      </c>
    </row>
    <row r="5" spans="2:22">
      <c r="C5" s="10" t="s">
        <v>3</v>
      </c>
      <c r="E5" s="11" t="s">
        <v>4</v>
      </c>
      <c r="G5" s="484" t="s">
        <v>138</v>
      </c>
      <c r="H5" s="485"/>
      <c r="I5" s="485"/>
      <c r="J5" s="37" t="s">
        <v>5</v>
      </c>
      <c r="K5" s="38"/>
      <c r="L5" s="39"/>
      <c r="M5" s="39"/>
      <c r="N5" s="492">
        <v>45657</v>
      </c>
    </row>
    <row r="6" spans="2:22">
      <c r="C6" s="10" t="s">
        <v>6</v>
      </c>
      <c r="E6" s="11" t="s">
        <v>4</v>
      </c>
      <c r="G6" s="486" t="s">
        <v>23</v>
      </c>
      <c r="J6" s="37" t="s">
        <v>7</v>
      </c>
      <c r="K6" s="38"/>
      <c r="L6" s="39"/>
      <c r="M6" s="39"/>
      <c r="N6" s="492">
        <f>EOMONTH(N5,12)</f>
        <v>46022</v>
      </c>
    </row>
    <row r="7" spans="2:22">
      <c r="C7" s="10" t="s">
        <v>8</v>
      </c>
      <c r="E7" s="11" t="s">
        <v>9</v>
      </c>
      <c r="G7" s="487">
        <v>15.4</v>
      </c>
      <c r="J7" s="37" t="s">
        <v>10</v>
      </c>
      <c r="K7" s="38"/>
      <c r="L7" s="39"/>
      <c r="M7" s="39"/>
      <c r="N7" s="492">
        <v>45608</v>
      </c>
    </row>
    <row r="8" spans="2:22">
      <c r="C8" s="12" t="s">
        <v>11</v>
      </c>
      <c r="E8" s="11" t="s">
        <v>12</v>
      </c>
      <c r="G8" s="488">
        <v>96.42</v>
      </c>
      <c r="J8" s="37" t="s">
        <v>13</v>
      </c>
      <c r="K8" s="38"/>
      <c r="L8" s="39"/>
      <c r="M8" s="39"/>
      <c r="N8" s="492">
        <v>45912</v>
      </c>
    </row>
    <row r="9" spans="2:22">
      <c r="C9" s="12"/>
      <c r="E9" s="12"/>
      <c r="G9" s="12"/>
    </row>
    <row r="10" spans="2:22">
      <c r="C10" s="12" t="s">
        <v>14</v>
      </c>
      <c r="E10" s="11" t="s">
        <v>15</v>
      </c>
      <c r="G10" s="489">
        <v>0.12</v>
      </c>
    </row>
    <row r="11" spans="2:22">
      <c r="C11" s="12" t="s">
        <v>16</v>
      </c>
      <c r="E11" s="11" t="s">
        <v>15</v>
      </c>
      <c r="G11" s="490">
        <f>WACC!L40</f>
        <v>7.1011440808816495E-2</v>
      </c>
      <c r="J11" s="37" t="s">
        <v>17</v>
      </c>
      <c r="K11" s="38"/>
      <c r="L11" s="39"/>
      <c r="M11" s="39"/>
      <c r="N11" s="492">
        <v>45565</v>
      </c>
    </row>
    <row r="12" spans="2:22">
      <c r="C12" s="12"/>
      <c r="E12" s="12"/>
      <c r="G12" s="12"/>
      <c r="J12" s="37" t="s">
        <v>18</v>
      </c>
      <c r="K12" s="38"/>
      <c r="L12" s="39"/>
      <c r="M12" s="39"/>
      <c r="N12" s="492">
        <f>EOMONTH(N5,12)</f>
        <v>46022</v>
      </c>
    </row>
    <row r="13" spans="2:22">
      <c r="C13" s="12" t="s">
        <v>19</v>
      </c>
      <c r="E13" s="11" t="s">
        <v>20</v>
      </c>
      <c r="G13" s="491">
        <v>1000</v>
      </c>
      <c r="J13" s="37" t="s">
        <v>21</v>
      </c>
      <c r="K13" s="38"/>
      <c r="L13" s="39"/>
      <c r="M13" s="39"/>
      <c r="N13" s="492">
        <f t="shared" ref="N13:N14" si="1">EOMONTH(N12,12)</f>
        <v>46387</v>
      </c>
    </row>
    <row r="14" spans="2:22">
      <c r="G14" s="13"/>
      <c r="J14" s="37" t="s">
        <v>22</v>
      </c>
      <c r="K14" s="38"/>
      <c r="L14" s="38"/>
      <c r="M14" s="38"/>
      <c r="N14" s="492">
        <f t="shared" si="1"/>
        <v>46752</v>
      </c>
    </row>
    <row r="16" spans="2:22">
      <c r="B16" s="1"/>
      <c r="C16" s="1"/>
      <c r="D16" s="1"/>
      <c r="E16" s="1"/>
      <c r="F16" s="1"/>
      <c r="G16" s="2"/>
      <c r="H16" s="2"/>
      <c r="I16" s="3" t="s">
        <v>0</v>
      </c>
      <c r="J16" s="2"/>
      <c r="K16" s="2"/>
      <c r="L16" s="2"/>
      <c r="M16" s="4"/>
      <c r="N16" s="2"/>
      <c r="O16" s="2"/>
      <c r="P16" s="2"/>
      <c r="Q16" s="3" t="s">
        <v>1</v>
      </c>
      <c r="R16" s="2"/>
      <c r="S16" s="2"/>
      <c r="T16" s="2"/>
      <c r="U16" s="2"/>
      <c r="V16" s="2"/>
    </row>
    <row r="17" spans="2:40">
      <c r="B17" s="5" t="str">
        <f>Company_Name&amp;" - Model Drivers and Assumptions"</f>
        <v>Avadel Pharmaceuticals, PLC - Model Drivers and Assumptions</v>
      </c>
      <c r="C17" s="1"/>
      <c r="D17" s="1"/>
      <c r="E17" s="6" t="s">
        <v>2</v>
      </c>
      <c r="F17" s="7"/>
      <c r="G17" s="8">
        <v>43646</v>
      </c>
      <c r="H17" s="8">
        <f>EOMONTH(G17,12)</f>
        <v>44012</v>
      </c>
      <c r="I17" s="8">
        <f t="shared" ref="I17" si="2">EOMONTH(H17,12)</f>
        <v>44377</v>
      </c>
      <c r="J17" s="8">
        <f t="shared" ref="J17" si="3">EOMONTH(I17,12)</f>
        <v>44742</v>
      </c>
      <c r="K17" s="8">
        <f t="shared" ref="K17" si="4">EOMONTH(J17,12)</f>
        <v>45107</v>
      </c>
      <c r="L17" s="8">
        <f t="shared" ref="L17" si="5">EOMONTH(K17,12)</f>
        <v>45473</v>
      </c>
      <c r="M17" s="9">
        <f t="shared" ref="M17" si="6">EOMONTH(L17,12)</f>
        <v>45838</v>
      </c>
      <c r="N17" s="8">
        <f t="shared" ref="N17" si="7">EOMONTH(M17,12)</f>
        <v>46203</v>
      </c>
      <c r="O17" s="8">
        <f t="shared" ref="O17" si="8">EOMONTH(N17,12)</f>
        <v>46568</v>
      </c>
      <c r="P17" s="8">
        <f t="shared" ref="P17" si="9">EOMONTH(O17,12)</f>
        <v>46934</v>
      </c>
      <c r="Q17" s="8">
        <f t="shared" ref="Q17" si="10">EOMONTH(P17,12)</f>
        <v>47299</v>
      </c>
      <c r="R17" s="8">
        <f t="shared" ref="R17" si="11">EOMONTH(Q17,12)</f>
        <v>47664</v>
      </c>
      <c r="S17" s="8">
        <f t="shared" ref="S17" si="12">EOMONTH(R17,12)</f>
        <v>48029</v>
      </c>
      <c r="T17" s="8">
        <f t="shared" ref="T17" si="13">EOMONTH(S17,12)</f>
        <v>48395</v>
      </c>
      <c r="U17" s="8">
        <f t="shared" ref="U17" si="14">EOMONTH(T17,12)</f>
        <v>48760</v>
      </c>
      <c r="V17" s="8">
        <f t="shared" ref="V17" si="15">EOMONTH(U17,12)</f>
        <v>49125</v>
      </c>
    </row>
    <row r="18" spans="2:40">
      <c r="C18" s="40" t="s">
        <v>174</v>
      </c>
      <c r="D18" s="35"/>
      <c r="E18" s="35"/>
      <c r="F18" s="35"/>
      <c r="G18" s="35"/>
      <c r="H18" s="35"/>
      <c r="I18" s="35"/>
      <c r="J18" s="35"/>
      <c r="K18" s="35"/>
      <c r="L18" s="35"/>
      <c r="M18" s="35"/>
      <c r="N18" s="35"/>
      <c r="O18" s="35"/>
      <c r="P18" s="35"/>
      <c r="Q18" s="35"/>
      <c r="R18" s="35"/>
      <c r="S18" s="35"/>
      <c r="T18" s="35"/>
      <c r="U18" s="35"/>
      <c r="V18" s="35"/>
    </row>
    <row r="20" spans="2:40">
      <c r="C20" s="19" t="s">
        <v>175</v>
      </c>
      <c r="E20" s="43" t="s">
        <v>15</v>
      </c>
      <c r="G20" s="183">
        <v>-0.20476230684792704</v>
      </c>
      <c r="H20" s="183">
        <f t="shared" ref="H20" si="16">H66/H$62</f>
        <v>-0.25709680308050503</v>
      </c>
      <c r="I20" s="183">
        <v>0</v>
      </c>
      <c r="J20" s="183">
        <v>0</v>
      </c>
      <c r="K20" s="183">
        <f>K66/K$62</f>
        <v>-3.0254264563887995E-2</v>
      </c>
      <c r="L20" s="661">
        <v>0.1</v>
      </c>
      <c r="M20" s="494">
        <v>0.1</v>
      </c>
      <c r="N20" s="494">
        <v>0.1</v>
      </c>
      <c r="O20" s="494">
        <v>0.1</v>
      </c>
      <c r="P20" s="494">
        <v>0.1</v>
      </c>
      <c r="Q20" s="494">
        <v>0.1</v>
      </c>
      <c r="R20" s="494">
        <v>0.1</v>
      </c>
      <c r="S20" s="494">
        <v>0.1</v>
      </c>
      <c r="T20" s="494">
        <v>0.1</v>
      </c>
      <c r="U20" s="494">
        <v>0.1</v>
      </c>
      <c r="V20" s="494">
        <v>0.1</v>
      </c>
    </row>
    <row r="21" spans="2:40">
      <c r="C21" s="19" t="s">
        <v>176</v>
      </c>
      <c r="E21" s="43" t="s">
        <v>15</v>
      </c>
      <c r="G21" s="183">
        <v>0.55588955501139914</v>
      </c>
      <c r="H21" s="183">
        <f>H70/H$62</f>
        <v>0.91528611086236233</v>
      </c>
      <c r="I21" s="183">
        <v>0</v>
      </c>
      <c r="J21" s="183">
        <v>0</v>
      </c>
      <c r="K21" s="183">
        <f>K70/K$62</f>
        <v>0.47423380896184242</v>
      </c>
      <c r="L21" s="661">
        <v>8.8999999999999996E-2</v>
      </c>
      <c r="M21" s="494">
        <v>0.02</v>
      </c>
      <c r="N21" s="494">
        <v>1.4999999999999999E-2</v>
      </c>
      <c r="O21" s="494">
        <v>0.01</v>
      </c>
      <c r="P21" s="494">
        <v>5.0000000000000001E-3</v>
      </c>
      <c r="Q21" s="494">
        <v>3.0000000000000001E-3</v>
      </c>
      <c r="R21" s="494">
        <v>1.5E-3</v>
      </c>
      <c r="S21" s="494">
        <v>1.5E-3</v>
      </c>
      <c r="T21" s="494">
        <v>1.5E-3</v>
      </c>
      <c r="U21" s="494">
        <v>1.5E-3</v>
      </c>
      <c r="V21" s="494">
        <v>1.5E-3</v>
      </c>
    </row>
    <row r="22" spans="2:40">
      <c r="C22" s="19" t="s">
        <v>177</v>
      </c>
      <c r="E22" s="43"/>
      <c r="G22" s="183"/>
      <c r="H22" s="183"/>
      <c r="I22" s="183"/>
      <c r="J22" s="183"/>
      <c r="K22" s="183"/>
      <c r="L22" s="661"/>
      <c r="M22" s="494"/>
      <c r="N22" s="494"/>
      <c r="O22" s="494"/>
      <c r="P22" s="494"/>
      <c r="Q22" s="494"/>
      <c r="R22" s="494"/>
      <c r="S22" s="494"/>
      <c r="T22" s="494"/>
      <c r="U22" s="494"/>
      <c r="V22" s="494"/>
    </row>
    <row r="23" spans="2:40">
      <c r="C23" s="660" t="s">
        <v>499</v>
      </c>
      <c r="E23" s="43" t="s">
        <v>15</v>
      </c>
      <c r="G23" s="183">
        <v>0.50971882124461709</v>
      </c>
      <c r="H23" s="183">
        <f>H71/H$62</f>
        <v>1.4509268380048357</v>
      </c>
      <c r="I23" s="183">
        <v>0</v>
      </c>
      <c r="J23" s="183">
        <v>0</v>
      </c>
      <c r="K23" s="183">
        <f>K71/K$62</f>
        <v>5.4252047348281662</v>
      </c>
      <c r="L23" s="661">
        <v>1.081</v>
      </c>
      <c r="M23" s="494">
        <v>0.42</v>
      </c>
      <c r="N23" s="494">
        <f>M23-2%</f>
        <v>0.39999999999999997</v>
      </c>
      <c r="O23" s="494">
        <f t="shared" ref="O23:V23" si="17">N23-2%</f>
        <v>0.37999999999999995</v>
      </c>
      <c r="P23" s="494">
        <f t="shared" si="17"/>
        <v>0.35999999999999993</v>
      </c>
      <c r="Q23" s="494">
        <f t="shared" si="17"/>
        <v>0.33999999999999991</v>
      </c>
      <c r="R23" s="494">
        <f t="shared" si="17"/>
        <v>0.3199999999999999</v>
      </c>
      <c r="S23" s="494">
        <f t="shared" si="17"/>
        <v>0.29999999999999988</v>
      </c>
      <c r="T23" s="494">
        <f t="shared" si="17"/>
        <v>0.27999999999999986</v>
      </c>
      <c r="U23" s="494">
        <f t="shared" si="17"/>
        <v>0.25999999999999984</v>
      </c>
      <c r="V23" s="494">
        <f t="shared" si="17"/>
        <v>0.23999999999999985</v>
      </c>
    </row>
    <row r="24" spans="2:40">
      <c r="C24" s="660" t="s">
        <v>488</v>
      </c>
      <c r="E24" s="43" t="s">
        <v>15</v>
      </c>
      <c r="G24" s="183"/>
      <c r="H24" s="183"/>
      <c r="I24" s="183"/>
      <c r="J24" s="183"/>
      <c r="K24" s="183"/>
      <c r="L24" s="661"/>
      <c r="M24" s="494">
        <v>0.35</v>
      </c>
      <c r="N24" s="494">
        <f>M24-2%</f>
        <v>0.32999999999999996</v>
      </c>
      <c r="O24" s="494">
        <f t="shared" ref="O24:V24" si="18">N24-2%</f>
        <v>0.30999999999999994</v>
      </c>
      <c r="P24" s="494">
        <f t="shared" si="18"/>
        <v>0.28999999999999992</v>
      </c>
      <c r="Q24" s="494">
        <f t="shared" si="18"/>
        <v>0.26999999999999991</v>
      </c>
      <c r="R24" s="494">
        <f t="shared" si="18"/>
        <v>0.24999999999999992</v>
      </c>
      <c r="S24" s="494">
        <f t="shared" si="18"/>
        <v>0.22999999999999993</v>
      </c>
      <c r="T24" s="494">
        <f t="shared" si="18"/>
        <v>0.20999999999999994</v>
      </c>
      <c r="U24" s="494">
        <f t="shared" si="18"/>
        <v>0.18999999999999995</v>
      </c>
      <c r="V24" s="494">
        <f t="shared" si="18"/>
        <v>0.16999999999999996</v>
      </c>
    </row>
    <row r="25" spans="2:40">
      <c r="C25" s="19"/>
    </row>
    <row r="26" spans="2:40">
      <c r="C26" s="19" t="s">
        <v>183</v>
      </c>
      <c r="E26" s="43" t="s">
        <v>15</v>
      </c>
      <c r="G26" s="183"/>
      <c r="H26" s="183">
        <f>G78/G177</f>
        <v>0.10937180274196849</v>
      </c>
      <c r="I26" s="183">
        <f>H78/H177</f>
        <v>-1.160034577953766E-2</v>
      </c>
      <c r="J26" s="183">
        <f>I78/I177</f>
        <v>4.6205726906996925E-2</v>
      </c>
      <c r="K26" s="183">
        <f>J78/J177</f>
        <v>-7.2451034725132127E-3</v>
      </c>
      <c r="L26" s="184">
        <f>AVERAGE(H26:K26)</f>
        <v>3.4183020099228634E-2</v>
      </c>
      <c r="M26" s="495"/>
      <c r="N26" s="495"/>
      <c r="O26" s="495"/>
      <c r="P26" s="495"/>
      <c r="Q26" s="495"/>
      <c r="R26" s="495"/>
      <c r="S26" s="495"/>
      <c r="T26" s="495"/>
      <c r="U26" s="495"/>
      <c r="V26" s="495"/>
    </row>
    <row r="27" spans="2:40">
      <c r="C27" s="19"/>
      <c r="E27" s="43"/>
      <c r="G27" s="183"/>
      <c r="H27" s="183"/>
      <c r="I27" s="183"/>
      <c r="J27" s="183"/>
      <c r="K27" s="252"/>
      <c r="L27" s="541"/>
    </row>
    <row r="28" spans="2:40">
      <c r="C28" s="27" t="s">
        <v>493</v>
      </c>
      <c r="D28" s="27"/>
      <c r="E28" s="90" t="s">
        <v>94</v>
      </c>
      <c r="F28" s="27"/>
      <c r="G28" s="562">
        <v>0</v>
      </c>
      <c r="H28" s="562">
        <f>G32</f>
        <v>40243</v>
      </c>
      <c r="I28" s="562">
        <f t="shared" ref="I28:V28" si="19">H32</f>
        <v>10687</v>
      </c>
      <c r="J28" s="562">
        <f t="shared" si="19"/>
        <v>199126</v>
      </c>
      <c r="K28" s="562">
        <f t="shared" si="19"/>
        <v>271683</v>
      </c>
      <c r="L28" s="562">
        <f t="shared" si="19"/>
        <v>324073</v>
      </c>
      <c r="M28" s="562">
        <f t="shared" si="19"/>
        <v>298932</v>
      </c>
      <c r="N28" s="562">
        <f t="shared" si="19"/>
        <v>212192.79359999998</v>
      </c>
      <c r="O28" s="562">
        <f t="shared" si="19"/>
        <v>85222.201343999957</v>
      </c>
      <c r="P28" s="562">
        <f t="shared" si="19"/>
        <v>0</v>
      </c>
      <c r="Q28" s="562">
        <f t="shared" si="19"/>
        <v>0</v>
      </c>
      <c r="R28" s="562">
        <f t="shared" si="19"/>
        <v>0</v>
      </c>
      <c r="S28" s="562">
        <f t="shared" si="19"/>
        <v>0</v>
      </c>
      <c r="T28" s="562">
        <f t="shared" si="19"/>
        <v>0</v>
      </c>
      <c r="U28" s="562">
        <f t="shared" si="19"/>
        <v>0</v>
      </c>
      <c r="V28" s="562">
        <f t="shared" si="19"/>
        <v>0</v>
      </c>
      <c r="Z28" s="541"/>
      <c r="AB28" s="541"/>
    </row>
    <row r="29" spans="2:40">
      <c r="C29" s="42" t="s">
        <v>495</v>
      </c>
      <c r="E29" s="43" t="s">
        <v>94</v>
      </c>
      <c r="G29" s="36">
        <v>40243</v>
      </c>
      <c r="H29" s="36">
        <v>0</v>
      </c>
      <c r="I29" s="36">
        <v>93145</v>
      </c>
      <c r="J29" s="36">
        <v>111439</v>
      </c>
      <c r="K29" s="36">
        <v>160777</v>
      </c>
      <c r="L29" s="36">
        <v>49079</v>
      </c>
      <c r="M29" s="493">
        <v>0</v>
      </c>
      <c r="N29" s="493">
        <v>0</v>
      </c>
      <c r="O29" s="493">
        <v>0</v>
      </c>
      <c r="P29" s="493">
        <v>0</v>
      </c>
      <c r="Q29" s="493">
        <v>0</v>
      </c>
      <c r="R29" s="493">
        <v>0</v>
      </c>
      <c r="S29" s="493">
        <v>0</v>
      </c>
      <c r="T29" s="493">
        <v>0</v>
      </c>
      <c r="U29" s="493">
        <v>0</v>
      </c>
      <c r="V29" s="493">
        <v>0</v>
      </c>
      <c r="Z29" s="541"/>
      <c r="AB29" s="541"/>
    </row>
    <row r="30" spans="2:40">
      <c r="C30" s="42" t="s">
        <v>496</v>
      </c>
      <c r="E30" s="43" t="s">
        <v>94</v>
      </c>
      <c r="G30" s="36">
        <v>0</v>
      </c>
      <c r="H30" s="36">
        <v>-29556</v>
      </c>
      <c r="I30" s="36">
        <v>0</v>
      </c>
      <c r="J30" s="36">
        <v>0</v>
      </c>
      <c r="K30" s="36">
        <v>0</v>
      </c>
      <c r="L30" s="36">
        <v>0</v>
      </c>
      <c r="M30" s="493">
        <f t="shared" ref="M30:V30" si="20">-MIN(+M28+M29,MAX(M82*M36,0))</f>
        <v>-86739.20640000001</v>
      </c>
      <c r="N30" s="493">
        <f t="shared" si="20"/>
        <v>-126970.59225600002</v>
      </c>
      <c r="O30" s="493">
        <f t="shared" si="20"/>
        <v>-85222.201343999957</v>
      </c>
      <c r="P30" s="493">
        <f t="shared" si="20"/>
        <v>0</v>
      </c>
      <c r="Q30" s="493">
        <f t="shared" si="20"/>
        <v>0</v>
      </c>
      <c r="R30" s="493">
        <f t="shared" si="20"/>
        <v>0</v>
      </c>
      <c r="S30" s="493">
        <f t="shared" si="20"/>
        <v>0</v>
      </c>
      <c r="T30" s="493">
        <f t="shared" si="20"/>
        <v>0</v>
      </c>
      <c r="U30" s="493">
        <f t="shared" si="20"/>
        <v>0</v>
      </c>
      <c r="V30" s="493">
        <f t="shared" si="20"/>
        <v>0</v>
      </c>
      <c r="Z30" s="541"/>
      <c r="AB30" s="541"/>
    </row>
    <row r="31" spans="2:40">
      <c r="C31" s="42" t="s">
        <v>492</v>
      </c>
      <c r="E31" s="43" t="s">
        <v>94</v>
      </c>
      <c r="G31" s="36">
        <v>0</v>
      </c>
      <c r="H31" s="36">
        <v>0</v>
      </c>
      <c r="I31" s="36">
        <v>95294</v>
      </c>
      <c r="J31" s="36">
        <v>-38882</v>
      </c>
      <c r="K31" s="36">
        <v>-108387</v>
      </c>
      <c r="L31" s="36">
        <v>-74220</v>
      </c>
      <c r="M31" s="493">
        <v>0</v>
      </c>
      <c r="N31" s="493">
        <v>0</v>
      </c>
      <c r="O31" s="493">
        <v>0</v>
      </c>
      <c r="P31" s="493">
        <v>0</v>
      </c>
      <c r="Q31" s="493">
        <v>0</v>
      </c>
      <c r="R31" s="493">
        <v>0</v>
      </c>
      <c r="S31" s="493">
        <v>0</v>
      </c>
      <c r="T31" s="493">
        <v>0</v>
      </c>
      <c r="U31" s="493">
        <v>0</v>
      </c>
      <c r="V31" s="493">
        <v>0</v>
      </c>
      <c r="Z31" s="541"/>
      <c r="AB31" s="541"/>
    </row>
    <row r="32" spans="2:40">
      <c r="C32" s="27" t="s">
        <v>494</v>
      </c>
      <c r="D32" s="27"/>
      <c r="E32" s="90" t="s">
        <v>94</v>
      </c>
      <c r="F32" s="27"/>
      <c r="G32" s="562">
        <f>SUM(G28:G31)</f>
        <v>40243</v>
      </c>
      <c r="H32" s="562">
        <f>SUM(H28:H31)</f>
        <v>10687</v>
      </c>
      <c r="I32" s="562">
        <f t="shared" ref="I32:V32" si="21">SUM(I28:I31)</f>
        <v>199126</v>
      </c>
      <c r="J32" s="562">
        <f t="shared" si="21"/>
        <v>271683</v>
      </c>
      <c r="K32" s="562">
        <f t="shared" si="21"/>
        <v>324073</v>
      </c>
      <c r="L32" s="562">
        <f t="shared" si="21"/>
        <v>298932</v>
      </c>
      <c r="M32" s="560">
        <f t="shared" si="21"/>
        <v>212192.79359999998</v>
      </c>
      <c r="N32" s="560">
        <f t="shared" si="21"/>
        <v>85222.201343999957</v>
      </c>
      <c r="O32" s="560">
        <f t="shared" si="21"/>
        <v>0</v>
      </c>
      <c r="P32" s="560">
        <f t="shared" si="21"/>
        <v>0</v>
      </c>
      <c r="Q32" s="560">
        <f t="shared" si="21"/>
        <v>0</v>
      </c>
      <c r="R32" s="560">
        <f t="shared" si="21"/>
        <v>0</v>
      </c>
      <c r="S32" s="560">
        <f t="shared" si="21"/>
        <v>0</v>
      </c>
      <c r="T32" s="560">
        <f t="shared" si="21"/>
        <v>0</v>
      </c>
      <c r="U32" s="560">
        <f t="shared" si="21"/>
        <v>0</v>
      </c>
      <c r="V32" s="560">
        <f t="shared" si="21"/>
        <v>0</v>
      </c>
      <c r="Y32" s="184"/>
      <c r="Z32" s="541"/>
      <c r="AA32" s="184"/>
      <c r="AB32" s="541"/>
      <c r="AC32" s="184"/>
      <c r="AD32" s="184"/>
      <c r="AE32" s="184"/>
      <c r="AF32" s="184"/>
      <c r="AG32" s="184"/>
      <c r="AH32" s="184"/>
      <c r="AI32" s="184"/>
      <c r="AJ32" s="184"/>
      <c r="AK32" s="184"/>
      <c r="AL32" s="184"/>
      <c r="AM32" s="184"/>
      <c r="AN32" s="184"/>
    </row>
    <row r="33" spans="3:16383">
      <c r="E33" s="43"/>
      <c r="G33" s="36"/>
      <c r="H33" s="36"/>
      <c r="I33" s="36"/>
      <c r="J33" s="36"/>
      <c r="K33" s="36"/>
      <c r="L33" s="36"/>
      <c r="M33" s="36"/>
      <c r="N33" s="36"/>
      <c r="O33" s="36"/>
      <c r="P33" s="36"/>
      <c r="Q33" s="36"/>
      <c r="R33" s="36"/>
      <c r="S33" s="36"/>
      <c r="T33" s="36"/>
      <c r="U33" s="36"/>
      <c r="V33" s="36"/>
      <c r="Z33" s="541"/>
      <c r="AB33" s="541"/>
    </row>
    <row r="34" spans="3:16383">
      <c r="C34" s="10" t="s">
        <v>491</v>
      </c>
      <c r="E34" s="43" t="s">
        <v>94</v>
      </c>
      <c r="G34" s="36">
        <v>0</v>
      </c>
      <c r="H34" s="36">
        <v>7389</v>
      </c>
      <c r="I34" s="36">
        <v>0</v>
      </c>
      <c r="J34" s="36">
        <v>0</v>
      </c>
      <c r="K34" s="36">
        <v>0</v>
      </c>
      <c r="L34" s="36">
        <v>0</v>
      </c>
      <c r="M34" s="493">
        <f t="shared" ref="M34:V34" si="22">SUM(M82,M30)</f>
        <v>21684.801599999992</v>
      </c>
      <c r="N34" s="493">
        <f t="shared" si="22"/>
        <v>31742.648063999994</v>
      </c>
      <c r="O34" s="493">
        <f t="shared" si="22"/>
        <v>162304.15800611681</v>
      </c>
      <c r="P34" s="493">
        <f t="shared" si="22"/>
        <v>457990.52143686987</v>
      </c>
      <c r="Q34" s="493">
        <f t="shared" si="22"/>
        <v>670377.31252943655</v>
      </c>
      <c r="R34" s="493">
        <f t="shared" si="22"/>
        <v>821696.85631302954</v>
      </c>
      <c r="S34" s="493">
        <f t="shared" si="22"/>
        <v>942601.33892509667</v>
      </c>
      <c r="T34" s="493">
        <f t="shared" si="22"/>
        <v>1049184.1765701119</v>
      </c>
      <c r="U34" s="493">
        <f t="shared" si="22"/>
        <v>1132813.9231703025</v>
      </c>
      <c r="V34" s="493">
        <f t="shared" si="22"/>
        <v>1219265.724215748</v>
      </c>
      <c r="Z34" s="541"/>
      <c r="AB34" s="541"/>
    </row>
    <row r="35" spans="3:16383">
      <c r="C35" s="27" t="s">
        <v>490</v>
      </c>
      <c r="D35" s="27"/>
      <c r="E35" s="90" t="s">
        <v>94</v>
      </c>
      <c r="F35" s="27"/>
      <c r="G35" s="562">
        <v>0</v>
      </c>
      <c r="H35" s="562">
        <v>887</v>
      </c>
      <c r="I35" s="562">
        <v>0</v>
      </c>
      <c r="J35" s="562">
        <v>0</v>
      </c>
      <c r="K35" s="562">
        <v>0</v>
      </c>
      <c r="L35" s="562">
        <v>0</v>
      </c>
      <c r="M35" s="560">
        <f t="shared" ref="M35:V35" si="23">M34*Tax_Rate</f>
        <v>2602.176191999999</v>
      </c>
      <c r="N35" s="560">
        <f t="shared" si="23"/>
        <v>3809.1177676799989</v>
      </c>
      <c r="O35" s="560">
        <f t="shared" si="23"/>
        <v>19476.498960734018</v>
      </c>
      <c r="P35" s="560">
        <f t="shared" si="23"/>
        <v>54958.862572424383</v>
      </c>
      <c r="Q35" s="560">
        <f t="shared" si="23"/>
        <v>80445.277503532387</v>
      </c>
      <c r="R35" s="560">
        <f t="shared" si="23"/>
        <v>98603.622757563542</v>
      </c>
      <c r="S35" s="560">
        <f t="shared" si="23"/>
        <v>113112.1606710116</v>
      </c>
      <c r="T35" s="560">
        <f t="shared" si="23"/>
        <v>125902.10118841342</v>
      </c>
      <c r="U35" s="560">
        <f t="shared" si="23"/>
        <v>135937.67078043631</v>
      </c>
      <c r="V35" s="560">
        <f t="shared" si="23"/>
        <v>146311.88690588975</v>
      </c>
      <c r="Z35" s="541"/>
      <c r="AB35" s="541"/>
    </row>
    <row r="36" spans="3:16383">
      <c r="C36" s="10" t="s">
        <v>489</v>
      </c>
      <c r="E36" s="43" t="s">
        <v>94</v>
      </c>
      <c r="G36" s="93">
        <v>0.8</v>
      </c>
      <c r="H36" s="93">
        <v>0.8</v>
      </c>
      <c r="I36" s="93">
        <v>0.8</v>
      </c>
      <c r="J36" s="93">
        <v>0.8</v>
      </c>
      <c r="K36" s="93">
        <v>0.8</v>
      </c>
      <c r="L36" s="93">
        <v>0.8</v>
      </c>
      <c r="M36" s="669">
        <v>0.8</v>
      </c>
      <c r="N36" s="669">
        <v>0.8</v>
      </c>
      <c r="O36" s="669">
        <v>0.8</v>
      </c>
      <c r="P36" s="669">
        <v>0.8</v>
      </c>
      <c r="Q36" s="669">
        <v>0.8</v>
      </c>
      <c r="R36" s="669">
        <v>0.8</v>
      </c>
      <c r="S36" s="669">
        <v>0.8</v>
      </c>
      <c r="T36" s="669">
        <v>0.8</v>
      </c>
      <c r="U36" s="669">
        <v>0.8</v>
      </c>
      <c r="V36" s="669">
        <v>0.8</v>
      </c>
      <c r="Z36" s="541"/>
      <c r="AB36" s="541"/>
    </row>
    <row r="38" spans="3:16383">
      <c r="C38" s="40" t="s">
        <v>186</v>
      </c>
      <c r="D38" s="35"/>
      <c r="E38" s="35"/>
      <c r="F38" s="35"/>
      <c r="G38" s="35"/>
      <c r="H38" s="35"/>
      <c r="I38" s="35"/>
      <c r="J38" s="35"/>
      <c r="K38" s="35"/>
      <c r="L38" s="35"/>
      <c r="M38" s="35"/>
      <c r="N38" s="35"/>
      <c r="O38" s="35"/>
      <c r="P38" s="35"/>
      <c r="Q38" s="35"/>
      <c r="R38" s="35"/>
      <c r="S38" s="35"/>
      <c r="T38" s="35"/>
      <c r="U38" s="35"/>
      <c r="V38" s="35"/>
    </row>
    <row r="39" spans="3:16383">
      <c r="Z39" s="541"/>
      <c r="AB39" s="541"/>
    </row>
    <row r="40" spans="3:16383">
      <c r="C40" s="19" t="s">
        <v>188</v>
      </c>
      <c r="E40" s="43" t="s">
        <v>15</v>
      </c>
      <c r="G40" s="185">
        <v>-1.5588614670220999</v>
      </c>
      <c r="H40" s="185">
        <f t="shared" ref="H40:K40" si="24">H100/H85</f>
        <v>3.051268983793701</v>
      </c>
      <c r="I40" s="185">
        <f t="shared" si="24"/>
        <v>-1.3774004577842724</v>
      </c>
      <c r="J40" s="185">
        <f t="shared" si="24"/>
        <v>-0.16381016120584299</v>
      </c>
      <c r="K40" s="185">
        <f t="shared" si="24"/>
        <v>-0.46135416406698443</v>
      </c>
      <c r="L40" s="185"/>
      <c r="M40" s="485"/>
      <c r="N40" s="485"/>
      <c r="O40" s="485"/>
      <c r="P40" s="485"/>
      <c r="Q40" s="485"/>
      <c r="R40" s="485"/>
      <c r="S40" s="485"/>
      <c r="T40" s="485"/>
      <c r="U40" s="485"/>
      <c r="V40" s="485"/>
    </row>
    <row r="41" spans="3:16383">
      <c r="C41" s="19" t="s">
        <v>39</v>
      </c>
      <c r="E41" s="43" t="s">
        <v>187</v>
      </c>
      <c r="G41" s="44">
        <v>51.043907793633373</v>
      </c>
      <c r="H41" s="44"/>
      <c r="I41" s="44"/>
      <c r="J41" s="44"/>
      <c r="K41" s="44">
        <f t="shared" ref="K41" si="25">K101*(K57-EOMONTH(K57,-12))/K62</f>
        <v>157.98000929800094</v>
      </c>
      <c r="L41" s="44">
        <v>30</v>
      </c>
      <c r="M41" s="496">
        <f>L41-5</f>
        <v>25</v>
      </c>
      <c r="N41" s="496">
        <f t="shared" ref="N41:V41" si="26">M41-5</f>
        <v>20</v>
      </c>
      <c r="O41" s="496">
        <f t="shared" si="26"/>
        <v>15</v>
      </c>
      <c r="P41" s="496">
        <f t="shared" si="26"/>
        <v>10</v>
      </c>
      <c r="Q41" s="496">
        <f t="shared" si="26"/>
        <v>5</v>
      </c>
      <c r="R41" s="496">
        <f t="shared" si="26"/>
        <v>0</v>
      </c>
      <c r="S41" s="496">
        <f t="shared" si="26"/>
        <v>-5</v>
      </c>
      <c r="T41" s="496">
        <f t="shared" si="26"/>
        <v>-10</v>
      </c>
      <c r="U41" s="496">
        <f t="shared" si="26"/>
        <v>-15</v>
      </c>
      <c r="V41" s="496">
        <f t="shared" si="26"/>
        <v>-20</v>
      </c>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c r="CX41" s="44"/>
      <c r="CY41" s="44"/>
      <c r="CZ41" s="44"/>
      <c r="DA41" s="44"/>
      <c r="DB41" s="44"/>
      <c r="DC41" s="44"/>
      <c r="DD41" s="44"/>
      <c r="DE41" s="44"/>
      <c r="DF41" s="44"/>
      <c r="DG41" s="44"/>
      <c r="DH41" s="44"/>
      <c r="DI41" s="44"/>
      <c r="DJ41" s="44"/>
      <c r="DK41" s="44"/>
      <c r="DL41" s="44"/>
      <c r="DM41" s="44"/>
      <c r="DN41" s="44"/>
      <c r="DO41" s="44"/>
      <c r="DP41" s="44"/>
      <c r="DQ41" s="44"/>
      <c r="DR41" s="44"/>
      <c r="DS41" s="44"/>
      <c r="DT41" s="44"/>
      <c r="DU41" s="44"/>
      <c r="DV41" s="44"/>
      <c r="DW41" s="44"/>
      <c r="DX41" s="44"/>
      <c r="DY41" s="44"/>
      <c r="DZ41" s="44"/>
      <c r="EA41" s="44"/>
      <c r="EB41" s="44"/>
      <c r="EC41" s="44"/>
      <c r="ED41" s="44"/>
      <c r="EE41" s="44"/>
      <c r="EF41" s="44"/>
      <c r="EG41" s="44"/>
      <c r="EH41" s="44"/>
      <c r="EI41" s="44"/>
      <c r="EJ41" s="44"/>
      <c r="EK41" s="44"/>
      <c r="EL41" s="44"/>
      <c r="EM41" s="44"/>
      <c r="EN41" s="44"/>
      <c r="EO41" s="44"/>
      <c r="EP41" s="44"/>
      <c r="EQ41" s="44"/>
      <c r="ER41" s="44"/>
      <c r="ES41" s="44"/>
      <c r="ET41" s="44"/>
      <c r="EU41" s="44"/>
      <c r="EV41" s="44"/>
      <c r="EW41" s="44"/>
      <c r="EX41" s="44"/>
      <c r="EY41" s="44"/>
      <c r="EZ41" s="44"/>
      <c r="FA41" s="44"/>
      <c r="FB41" s="44"/>
      <c r="FC41" s="44"/>
      <c r="FD41" s="44"/>
      <c r="FE41" s="44"/>
      <c r="FF41" s="44"/>
      <c r="FG41" s="44"/>
      <c r="FH41" s="44"/>
      <c r="FI41" s="44"/>
      <c r="FJ41" s="44"/>
      <c r="FK41" s="44"/>
      <c r="FL41" s="44"/>
      <c r="FM41" s="44"/>
      <c r="FN41" s="44"/>
      <c r="FO41" s="44"/>
      <c r="FP41" s="44"/>
      <c r="FQ41" s="44"/>
      <c r="FR41" s="44"/>
      <c r="FS41" s="44"/>
      <c r="FT41" s="44"/>
      <c r="FU41" s="44"/>
      <c r="FV41" s="44"/>
      <c r="FW41" s="44"/>
      <c r="FX41" s="44"/>
      <c r="FY41" s="44"/>
      <c r="FZ41" s="44"/>
      <c r="GA41" s="44"/>
      <c r="GB41" s="44"/>
      <c r="GC41" s="44"/>
      <c r="GD41" s="44"/>
      <c r="GE41" s="44"/>
      <c r="GF41" s="44"/>
      <c r="GG41" s="44"/>
      <c r="GH41" s="44"/>
      <c r="GI41" s="44"/>
      <c r="GJ41" s="44"/>
      <c r="GK41" s="44"/>
      <c r="GL41" s="44"/>
      <c r="GM41" s="44"/>
      <c r="GN41" s="44"/>
      <c r="GO41" s="44"/>
      <c r="GP41" s="44"/>
      <c r="GQ41" s="44"/>
      <c r="GR41" s="44"/>
      <c r="GS41" s="44"/>
      <c r="GT41" s="44"/>
      <c r="GU41" s="44"/>
      <c r="GV41" s="44"/>
      <c r="GW41" s="44"/>
      <c r="GX41" s="44"/>
      <c r="GY41" s="44"/>
      <c r="GZ41" s="44"/>
      <c r="HA41" s="44"/>
      <c r="HB41" s="44"/>
      <c r="HC41" s="44"/>
      <c r="HD41" s="44"/>
      <c r="HE41" s="44"/>
      <c r="HF41" s="44"/>
      <c r="HG41" s="44"/>
      <c r="HH41" s="44"/>
      <c r="HI41" s="44"/>
      <c r="HJ41" s="44"/>
      <c r="HK41" s="44"/>
      <c r="HL41" s="44"/>
      <c r="HM41" s="44"/>
      <c r="HN41" s="44"/>
      <c r="HO41" s="44"/>
      <c r="HP41" s="44"/>
      <c r="HQ41" s="44"/>
      <c r="HR41" s="44"/>
      <c r="HS41" s="44"/>
      <c r="HT41" s="44"/>
      <c r="HU41" s="44"/>
      <c r="HV41" s="44"/>
      <c r="HW41" s="44"/>
      <c r="HX41" s="44"/>
      <c r="HY41" s="44"/>
      <c r="HZ41" s="44"/>
      <c r="IA41" s="44"/>
      <c r="IB41" s="44"/>
      <c r="IC41" s="44"/>
      <c r="ID41" s="44"/>
      <c r="IE41" s="44"/>
      <c r="IF41" s="44"/>
      <c r="IG41" s="44"/>
      <c r="IH41" s="44"/>
      <c r="II41" s="44"/>
      <c r="IJ41" s="44"/>
      <c r="IK41" s="44"/>
      <c r="IL41" s="44"/>
      <c r="IM41" s="44"/>
      <c r="IN41" s="44"/>
      <c r="IO41" s="44"/>
      <c r="IP41" s="44"/>
      <c r="IQ41" s="44"/>
      <c r="IR41" s="44"/>
      <c r="IS41" s="44"/>
      <c r="IT41" s="44"/>
      <c r="IU41" s="44"/>
      <c r="IV41" s="44"/>
      <c r="IW41" s="44"/>
      <c r="IX41" s="44"/>
      <c r="IY41" s="44"/>
      <c r="IZ41" s="44"/>
      <c r="JA41" s="44"/>
      <c r="JB41" s="44"/>
      <c r="JC41" s="44"/>
      <c r="JD41" s="44"/>
      <c r="JE41" s="44"/>
      <c r="JF41" s="44"/>
      <c r="JG41" s="44"/>
      <c r="JH41" s="44"/>
      <c r="JI41" s="44"/>
      <c r="JJ41" s="44"/>
      <c r="JK41" s="44"/>
      <c r="JL41" s="44"/>
      <c r="JM41" s="44"/>
      <c r="JN41" s="44"/>
      <c r="JO41" s="44"/>
      <c r="JP41" s="44"/>
      <c r="JQ41" s="44"/>
      <c r="JR41" s="44"/>
      <c r="JS41" s="44"/>
      <c r="JT41" s="44"/>
      <c r="JU41" s="44"/>
      <c r="JV41" s="44"/>
      <c r="JW41" s="44"/>
      <c r="JX41" s="44"/>
      <c r="JY41" s="44"/>
      <c r="JZ41" s="44"/>
      <c r="KA41" s="44"/>
      <c r="KB41" s="44"/>
      <c r="KC41" s="44"/>
      <c r="KD41" s="44"/>
      <c r="KE41" s="44"/>
      <c r="KF41" s="44"/>
      <c r="KG41" s="44"/>
      <c r="KH41" s="44"/>
      <c r="KI41" s="44"/>
      <c r="KJ41" s="44"/>
      <c r="KK41" s="44"/>
      <c r="KL41" s="44"/>
      <c r="KM41" s="44"/>
      <c r="KN41" s="44"/>
      <c r="KO41" s="44"/>
      <c r="KP41" s="44"/>
      <c r="KQ41" s="44"/>
      <c r="KR41" s="44"/>
      <c r="KS41" s="44"/>
      <c r="KT41" s="44"/>
      <c r="KU41" s="44"/>
      <c r="KV41" s="44"/>
      <c r="KW41" s="44"/>
      <c r="KX41" s="44"/>
      <c r="KY41" s="44"/>
      <c r="KZ41" s="44"/>
      <c r="LA41" s="44"/>
      <c r="LB41" s="44"/>
      <c r="LC41" s="44"/>
      <c r="LD41" s="44"/>
      <c r="LE41" s="44"/>
      <c r="LF41" s="44"/>
      <c r="LG41" s="44"/>
      <c r="LH41" s="44"/>
      <c r="LI41" s="44"/>
      <c r="LJ41" s="44"/>
      <c r="LK41" s="44"/>
      <c r="LL41" s="44"/>
      <c r="LM41" s="44"/>
      <c r="LN41" s="44"/>
      <c r="LO41" s="44"/>
      <c r="LP41" s="44"/>
      <c r="LQ41" s="44"/>
      <c r="LR41" s="44"/>
      <c r="LS41" s="44"/>
      <c r="LT41" s="44"/>
      <c r="LU41" s="44"/>
      <c r="LV41" s="44"/>
      <c r="LW41" s="44"/>
      <c r="LX41" s="44"/>
      <c r="LY41" s="44"/>
      <c r="LZ41" s="44"/>
      <c r="MA41" s="44"/>
      <c r="MB41" s="44"/>
      <c r="MC41" s="44"/>
      <c r="MD41" s="44"/>
      <c r="ME41" s="44"/>
      <c r="MF41" s="44"/>
      <c r="MG41" s="44"/>
      <c r="MH41" s="44"/>
      <c r="MI41" s="44"/>
      <c r="MJ41" s="44"/>
      <c r="MK41" s="44"/>
      <c r="ML41" s="44"/>
      <c r="MM41" s="44"/>
      <c r="MN41" s="44"/>
      <c r="MO41" s="44"/>
      <c r="MP41" s="44"/>
      <c r="MQ41" s="44"/>
      <c r="MR41" s="44"/>
      <c r="MS41" s="44"/>
      <c r="MT41" s="44"/>
      <c r="MU41" s="44"/>
      <c r="MV41" s="44"/>
      <c r="MW41" s="44"/>
      <c r="MX41" s="44"/>
      <c r="MY41" s="44"/>
      <c r="MZ41" s="44"/>
      <c r="NA41" s="44"/>
      <c r="NB41" s="44"/>
      <c r="NC41" s="44"/>
      <c r="ND41" s="44"/>
      <c r="NE41" s="44"/>
      <c r="NF41" s="44"/>
      <c r="NG41" s="44"/>
      <c r="NH41" s="44"/>
      <c r="NI41" s="44"/>
      <c r="NJ41" s="44"/>
      <c r="NK41" s="44"/>
      <c r="NL41" s="44"/>
      <c r="NM41" s="44"/>
      <c r="NN41" s="44"/>
      <c r="NO41" s="44"/>
      <c r="NP41" s="44"/>
      <c r="NQ41" s="44"/>
      <c r="NR41" s="44"/>
      <c r="NS41" s="44"/>
      <c r="NT41" s="44"/>
      <c r="NU41" s="44"/>
      <c r="NV41" s="44"/>
      <c r="NW41" s="44"/>
      <c r="NX41" s="44"/>
      <c r="NY41" s="44"/>
      <c r="NZ41" s="44"/>
      <c r="OA41" s="44"/>
      <c r="OB41" s="44"/>
      <c r="OC41" s="44"/>
      <c r="OD41" s="44"/>
      <c r="OE41" s="44"/>
      <c r="OF41" s="44"/>
      <c r="OG41" s="44"/>
      <c r="OH41" s="44"/>
      <c r="OI41" s="44"/>
      <c r="OJ41" s="44"/>
      <c r="OK41" s="44"/>
      <c r="OL41" s="44"/>
      <c r="OM41" s="44"/>
      <c r="ON41" s="44"/>
      <c r="OO41" s="44"/>
      <c r="OP41" s="44"/>
      <c r="OQ41" s="44"/>
      <c r="OR41" s="44"/>
      <c r="OS41" s="44"/>
      <c r="OT41" s="44"/>
      <c r="OU41" s="44"/>
      <c r="OV41" s="44"/>
      <c r="OW41" s="44"/>
      <c r="OX41" s="44"/>
      <c r="OY41" s="44"/>
      <c r="OZ41" s="44"/>
      <c r="PA41" s="44"/>
      <c r="PB41" s="44"/>
      <c r="PC41" s="44"/>
      <c r="PD41" s="44"/>
      <c r="PE41" s="44"/>
      <c r="PF41" s="44"/>
      <c r="PG41" s="44"/>
      <c r="PH41" s="44"/>
      <c r="PI41" s="44"/>
      <c r="PJ41" s="44"/>
      <c r="PK41" s="44"/>
      <c r="PL41" s="44"/>
      <c r="PM41" s="44"/>
      <c r="PN41" s="44"/>
      <c r="PO41" s="44"/>
      <c r="PP41" s="44"/>
      <c r="PQ41" s="44"/>
      <c r="PR41" s="44"/>
      <c r="PS41" s="44"/>
      <c r="PT41" s="44"/>
      <c r="PU41" s="44"/>
      <c r="PV41" s="44"/>
      <c r="PW41" s="44"/>
      <c r="PX41" s="44"/>
      <c r="PY41" s="44"/>
      <c r="PZ41" s="44"/>
      <c r="QA41" s="44"/>
      <c r="QB41" s="44"/>
      <c r="QC41" s="44"/>
      <c r="QD41" s="44"/>
      <c r="QE41" s="44"/>
      <c r="QF41" s="44"/>
      <c r="QG41" s="44"/>
      <c r="QH41" s="44"/>
      <c r="QI41" s="44"/>
      <c r="QJ41" s="44"/>
      <c r="QK41" s="44"/>
      <c r="QL41" s="44"/>
      <c r="QM41" s="44"/>
      <c r="QN41" s="44"/>
      <c r="QO41" s="44"/>
      <c r="QP41" s="44"/>
      <c r="QQ41" s="44"/>
      <c r="QR41" s="44"/>
      <c r="QS41" s="44"/>
      <c r="QT41" s="44"/>
      <c r="QU41" s="44"/>
      <c r="QV41" s="44"/>
      <c r="QW41" s="44"/>
      <c r="QX41" s="44"/>
      <c r="QY41" s="44"/>
      <c r="QZ41" s="44"/>
      <c r="RA41" s="44"/>
      <c r="RB41" s="44"/>
      <c r="RC41" s="44"/>
      <c r="RD41" s="44"/>
      <c r="RE41" s="44"/>
      <c r="RF41" s="44"/>
      <c r="RG41" s="44"/>
      <c r="RH41" s="44"/>
      <c r="RI41" s="44"/>
      <c r="RJ41" s="44"/>
      <c r="RK41" s="44"/>
      <c r="RL41" s="44"/>
      <c r="RM41" s="44"/>
      <c r="RN41" s="44"/>
      <c r="RO41" s="44"/>
      <c r="RP41" s="44"/>
      <c r="RQ41" s="44"/>
      <c r="RR41" s="44"/>
      <c r="RS41" s="44"/>
      <c r="RT41" s="44"/>
      <c r="RU41" s="44"/>
      <c r="RV41" s="44"/>
      <c r="RW41" s="44"/>
      <c r="RX41" s="44"/>
      <c r="RY41" s="44"/>
      <c r="RZ41" s="44"/>
      <c r="SA41" s="44"/>
      <c r="SB41" s="44"/>
      <c r="SC41" s="44"/>
      <c r="SD41" s="44"/>
      <c r="SE41" s="44"/>
      <c r="SF41" s="44"/>
      <c r="SG41" s="44"/>
      <c r="SH41" s="44"/>
      <c r="SI41" s="44"/>
      <c r="SJ41" s="44"/>
      <c r="SK41" s="44"/>
      <c r="SL41" s="44"/>
      <c r="SM41" s="44"/>
      <c r="SN41" s="44"/>
      <c r="SO41" s="44"/>
      <c r="SP41" s="44"/>
      <c r="SQ41" s="44"/>
      <c r="SR41" s="44"/>
      <c r="SS41" s="44"/>
      <c r="ST41" s="44"/>
      <c r="SU41" s="44"/>
      <c r="SV41" s="44"/>
      <c r="SW41" s="44"/>
      <c r="SX41" s="44"/>
      <c r="SY41" s="44"/>
      <c r="SZ41" s="44"/>
      <c r="TA41" s="44"/>
      <c r="TB41" s="44"/>
      <c r="TC41" s="44"/>
      <c r="TD41" s="44"/>
      <c r="TE41" s="44"/>
      <c r="TF41" s="44"/>
      <c r="TG41" s="44"/>
      <c r="TH41" s="44"/>
      <c r="TI41" s="44"/>
      <c r="TJ41" s="44"/>
      <c r="TK41" s="44"/>
      <c r="TL41" s="44"/>
      <c r="TM41" s="44"/>
      <c r="TN41" s="44"/>
      <c r="TO41" s="44"/>
      <c r="TP41" s="44"/>
      <c r="TQ41" s="44"/>
      <c r="TR41" s="44"/>
      <c r="TS41" s="44"/>
      <c r="TT41" s="44"/>
      <c r="TU41" s="44"/>
      <c r="TV41" s="44"/>
      <c r="TW41" s="44"/>
      <c r="TX41" s="44"/>
      <c r="TY41" s="44"/>
      <c r="TZ41" s="44"/>
      <c r="UA41" s="44"/>
      <c r="UB41" s="44"/>
      <c r="UC41" s="44"/>
      <c r="UD41" s="44"/>
      <c r="UE41" s="44"/>
      <c r="UF41" s="44"/>
      <c r="UG41" s="44"/>
      <c r="UH41" s="44"/>
      <c r="UI41" s="44"/>
      <c r="UJ41" s="44"/>
      <c r="UK41" s="44"/>
      <c r="UL41" s="44"/>
      <c r="UM41" s="44"/>
      <c r="UN41" s="44"/>
      <c r="UO41" s="44"/>
      <c r="UP41" s="44"/>
      <c r="UQ41" s="44"/>
      <c r="UR41" s="44"/>
      <c r="US41" s="44"/>
      <c r="UT41" s="44"/>
      <c r="UU41" s="44"/>
      <c r="UV41" s="44"/>
      <c r="UW41" s="44"/>
      <c r="UX41" s="44"/>
      <c r="UY41" s="44"/>
      <c r="UZ41" s="44"/>
      <c r="VA41" s="44"/>
      <c r="VB41" s="44"/>
      <c r="VC41" s="44"/>
      <c r="VD41" s="44"/>
      <c r="VE41" s="44"/>
      <c r="VF41" s="44"/>
      <c r="VG41" s="44"/>
      <c r="VH41" s="44"/>
      <c r="VI41" s="44"/>
      <c r="VJ41" s="44"/>
      <c r="VK41" s="44"/>
      <c r="VL41" s="44"/>
      <c r="VM41" s="44"/>
      <c r="VN41" s="44"/>
      <c r="VO41" s="44"/>
      <c r="VP41" s="44"/>
      <c r="VQ41" s="44"/>
      <c r="VR41" s="44"/>
      <c r="VS41" s="44"/>
      <c r="VT41" s="44"/>
      <c r="VU41" s="44"/>
      <c r="VV41" s="44"/>
      <c r="VW41" s="44"/>
      <c r="VX41" s="44"/>
      <c r="VY41" s="44"/>
      <c r="VZ41" s="44"/>
      <c r="WA41" s="44"/>
      <c r="WB41" s="44"/>
      <c r="WC41" s="44"/>
      <c r="WD41" s="44"/>
      <c r="WE41" s="44"/>
      <c r="WF41" s="44"/>
      <c r="WG41" s="44"/>
      <c r="WH41" s="44"/>
      <c r="WI41" s="44"/>
      <c r="WJ41" s="44"/>
      <c r="WK41" s="44"/>
      <c r="WL41" s="44"/>
      <c r="WM41" s="44"/>
      <c r="WN41" s="44"/>
      <c r="WO41" s="44"/>
      <c r="WP41" s="44"/>
      <c r="WQ41" s="44"/>
      <c r="WR41" s="44"/>
      <c r="WS41" s="44"/>
      <c r="WT41" s="44"/>
      <c r="WU41" s="44"/>
      <c r="WV41" s="44"/>
      <c r="WW41" s="44"/>
      <c r="WX41" s="44"/>
      <c r="WY41" s="44"/>
      <c r="WZ41" s="44"/>
      <c r="XA41" s="44"/>
      <c r="XB41" s="44"/>
      <c r="XC41" s="44"/>
      <c r="XD41" s="44"/>
      <c r="XE41" s="44"/>
      <c r="XF41" s="44"/>
      <c r="XG41" s="44"/>
      <c r="XH41" s="44"/>
      <c r="XI41" s="44"/>
      <c r="XJ41" s="44"/>
      <c r="XK41" s="44"/>
      <c r="XL41" s="44"/>
      <c r="XM41" s="44"/>
      <c r="XN41" s="44"/>
      <c r="XO41" s="44"/>
      <c r="XP41" s="44"/>
      <c r="XQ41" s="44"/>
      <c r="XR41" s="44"/>
      <c r="XS41" s="44"/>
      <c r="XT41" s="44"/>
      <c r="XU41" s="44"/>
      <c r="XV41" s="44"/>
      <c r="XW41" s="44"/>
      <c r="XX41" s="44"/>
      <c r="XY41" s="44"/>
      <c r="XZ41" s="44"/>
      <c r="YA41" s="44"/>
      <c r="YB41" s="44"/>
      <c r="YC41" s="44"/>
      <c r="YD41" s="44"/>
      <c r="YE41" s="44"/>
      <c r="YF41" s="44"/>
      <c r="YG41" s="44"/>
      <c r="YH41" s="44"/>
      <c r="YI41" s="44"/>
      <c r="YJ41" s="44"/>
      <c r="YK41" s="44"/>
      <c r="YL41" s="44"/>
      <c r="YM41" s="44"/>
      <c r="YN41" s="44"/>
      <c r="YO41" s="44"/>
      <c r="YP41" s="44"/>
      <c r="YQ41" s="44"/>
      <c r="YR41" s="44"/>
      <c r="YS41" s="44"/>
      <c r="YT41" s="44"/>
      <c r="YU41" s="44"/>
      <c r="YV41" s="44"/>
      <c r="YW41" s="44"/>
      <c r="YX41" s="44"/>
      <c r="YY41" s="44"/>
      <c r="YZ41" s="44"/>
      <c r="ZA41" s="44"/>
      <c r="ZB41" s="44"/>
      <c r="ZC41" s="44"/>
      <c r="ZD41" s="44"/>
      <c r="ZE41" s="44"/>
      <c r="ZF41" s="44"/>
      <c r="ZG41" s="44"/>
      <c r="ZH41" s="44"/>
      <c r="ZI41" s="44"/>
      <c r="ZJ41" s="44"/>
      <c r="ZK41" s="44"/>
      <c r="ZL41" s="44"/>
      <c r="ZM41" s="44"/>
      <c r="ZN41" s="44"/>
      <c r="ZO41" s="44"/>
      <c r="ZP41" s="44"/>
      <c r="ZQ41" s="44"/>
      <c r="ZR41" s="44"/>
      <c r="ZS41" s="44"/>
      <c r="ZT41" s="44"/>
      <c r="ZU41" s="44"/>
      <c r="ZV41" s="44"/>
      <c r="ZW41" s="44"/>
      <c r="ZX41" s="44"/>
      <c r="ZY41" s="44"/>
      <c r="ZZ41" s="44"/>
      <c r="AAA41" s="44"/>
      <c r="AAB41" s="44"/>
      <c r="AAC41" s="44"/>
      <c r="AAD41" s="44"/>
      <c r="AAE41" s="44"/>
      <c r="AAF41" s="44"/>
      <c r="AAG41" s="44"/>
      <c r="AAH41" s="44"/>
      <c r="AAI41" s="44"/>
      <c r="AAJ41" s="44"/>
      <c r="AAK41" s="44"/>
      <c r="AAL41" s="44"/>
      <c r="AAM41" s="44"/>
      <c r="AAN41" s="44"/>
      <c r="AAO41" s="44"/>
      <c r="AAP41" s="44"/>
      <c r="AAQ41" s="44"/>
      <c r="AAR41" s="44"/>
      <c r="AAS41" s="44"/>
      <c r="AAT41" s="44"/>
      <c r="AAU41" s="44"/>
      <c r="AAV41" s="44"/>
      <c r="AAW41" s="44"/>
      <c r="AAX41" s="44"/>
      <c r="AAY41" s="44"/>
      <c r="AAZ41" s="44"/>
      <c r="ABA41" s="44"/>
      <c r="ABB41" s="44"/>
      <c r="ABC41" s="44"/>
      <c r="ABD41" s="44"/>
      <c r="ABE41" s="44"/>
      <c r="ABF41" s="44"/>
      <c r="ABG41" s="44"/>
      <c r="ABH41" s="44"/>
      <c r="ABI41" s="44"/>
      <c r="ABJ41" s="44"/>
      <c r="ABK41" s="44"/>
      <c r="ABL41" s="44"/>
      <c r="ABM41" s="44"/>
      <c r="ABN41" s="44"/>
      <c r="ABO41" s="44"/>
      <c r="ABP41" s="44"/>
      <c r="ABQ41" s="44"/>
      <c r="ABR41" s="44"/>
      <c r="ABS41" s="44"/>
      <c r="ABT41" s="44"/>
      <c r="ABU41" s="44"/>
      <c r="ABV41" s="44"/>
      <c r="ABW41" s="44"/>
      <c r="ABX41" s="44"/>
      <c r="ABY41" s="44"/>
      <c r="ABZ41" s="44"/>
      <c r="ACA41" s="44"/>
      <c r="ACB41" s="44"/>
      <c r="ACC41" s="44"/>
      <c r="ACD41" s="44"/>
      <c r="ACE41" s="44"/>
      <c r="ACF41" s="44"/>
      <c r="ACG41" s="44"/>
      <c r="ACH41" s="44"/>
      <c r="ACI41" s="44"/>
      <c r="ACJ41" s="44"/>
      <c r="ACK41" s="44"/>
      <c r="ACL41" s="44"/>
      <c r="ACM41" s="44"/>
      <c r="ACN41" s="44"/>
      <c r="ACO41" s="44"/>
      <c r="ACP41" s="44"/>
      <c r="ACQ41" s="44"/>
      <c r="ACR41" s="44"/>
      <c r="ACS41" s="44"/>
      <c r="ACT41" s="44"/>
      <c r="ACU41" s="44"/>
      <c r="ACV41" s="44"/>
      <c r="ACW41" s="44"/>
      <c r="ACX41" s="44"/>
      <c r="ACY41" s="44"/>
      <c r="ACZ41" s="44"/>
      <c r="ADA41" s="44"/>
      <c r="ADB41" s="44"/>
      <c r="ADC41" s="44"/>
      <c r="ADD41" s="44"/>
      <c r="ADE41" s="44"/>
      <c r="ADF41" s="44"/>
      <c r="ADG41" s="44"/>
      <c r="ADH41" s="44"/>
      <c r="ADI41" s="44"/>
      <c r="ADJ41" s="44"/>
      <c r="ADK41" s="44"/>
      <c r="ADL41" s="44"/>
      <c r="ADM41" s="44"/>
      <c r="ADN41" s="44"/>
      <c r="ADO41" s="44"/>
      <c r="ADP41" s="44"/>
      <c r="ADQ41" s="44"/>
      <c r="ADR41" s="44"/>
      <c r="ADS41" s="44"/>
      <c r="ADT41" s="44"/>
      <c r="ADU41" s="44"/>
      <c r="ADV41" s="44"/>
      <c r="ADW41" s="44"/>
      <c r="ADX41" s="44"/>
      <c r="ADY41" s="44"/>
      <c r="ADZ41" s="44"/>
      <c r="AEA41" s="44"/>
      <c r="AEB41" s="44"/>
      <c r="AEC41" s="44"/>
      <c r="AED41" s="44"/>
      <c r="AEE41" s="44"/>
      <c r="AEF41" s="44"/>
      <c r="AEG41" s="44"/>
      <c r="AEH41" s="44"/>
      <c r="AEI41" s="44"/>
      <c r="AEJ41" s="44"/>
      <c r="AEK41" s="44"/>
      <c r="AEL41" s="44"/>
      <c r="AEM41" s="44"/>
      <c r="AEN41" s="44"/>
      <c r="AEO41" s="44"/>
      <c r="AEP41" s="44"/>
      <c r="AEQ41" s="44"/>
      <c r="AER41" s="44"/>
      <c r="AES41" s="44"/>
      <c r="AET41" s="44"/>
      <c r="AEU41" s="44"/>
      <c r="AEV41" s="44"/>
      <c r="AEW41" s="44"/>
      <c r="AEX41" s="44"/>
      <c r="AEY41" s="44"/>
      <c r="AEZ41" s="44"/>
      <c r="AFA41" s="44"/>
      <c r="AFB41" s="44"/>
      <c r="AFC41" s="44"/>
      <c r="AFD41" s="44"/>
      <c r="AFE41" s="44"/>
      <c r="AFF41" s="44"/>
      <c r="AFG41" s="44"/>
      <c r="AFH41" s="44"/>
      <c r="AFI41" s="44"/>
      <c r="AFJ41" s="44"/>
      <c r="AFK41" s="44"/>
      <c r="AFL41" s="44"/>
      <c r="AFM41" s="44"/>
      <c r="AFN41" s="44"/>
      <c r="AFO41" s="44"/>
      <c r="AFP41" s="44"/>
      <c r="AFQ41" s="44"/>
      <c r="AFR41" s="44"/>
      <c r="AFS41" s="44"/>
      <c r="AFT41" s="44"/>
      <c r="AFU41" s="44"/>
      <c r="AFV41" s="44"/>
      <c r="AFW41" s="44"/>
      <c r="AFX41" s="44"/>
      <c r="AFY41" s="44"/>
      <c r="AFZ41" s="44"/>
      <c r="AGA41" s="44"/>
      <c r="AGB41" s="44"/>
      <c r="AGC41" s="44"/>
      <c r="AGD41" s="44"/>
      <c r="AGE41" s="44"/>
      <c r="AGF41" s="44"/>
      <c r="AGG41" s="44"/>
      <c r="AGH41" s="44"/>
      <c r="AGI41" s="44"/>
      <c r="AGJ41" s="44"/>
      <c r="AGK41" s="44"/>
      <c r="AGL41" s="44"/>
      <c r="AGM41" s="44"/>
      <c r="AGN41" s="44"/>
      <c r="AGO41" s="44"/>
      <c r="AGP41" s="44"/>
      <c r="AGQ41" s="44"/>
      <c r="AGR41" s="44"/>
      <c r="AGS41" s="44"/>
      <c r="AGT41" s="44"/>
      <c r="AGU41" s="44"/>
      <c r="AGV41" s="44"/>
      <c r="AGW41" s="44"/>
      <c r="AGX41" s="44"/>
      <c r="AGY41" s="44"/>
      <c r="AGZ41" s="44"/>
      <c r="AHA41" s="44"/>
      <c r="AHB41" s="44"/>
      <c r="AHC41" s="44"/>
      <c r="AHD41" s="44"/>
      <c r="AHE41" s="44"/>
      <c r="AHF41" s="44"/>
      <c r="AHG41" s="44"/>
      <c r="AHH41" s="44"/>
      <c r="AHI41" s="44"/>
      <c r="AHJ41" s="44"/>
      <c r="AHK41" s="44"/>
      <c r="AHL41" s="44"/>
      <c r="AHM41" s="44"/>
      <c r="AHN41" s="44"/>
      <c r="AHO41" s="44"/>
      <c r="AHP41" s="44"/>
      <c r="AHQ41" s="44"/>
      <c r="AHR41" s="44"/>
      <c r="AHS41" s="44"/>
      <c r="AHT41" s="44"/>
      <c r="AHU41" s="44"/>
      <c r="AHV41" s="44"/>
      <c r="AHW41" s="44"/>
      <c r="AHX41" s="44"/>
      <c r="AHY41" s="44"/>
      <c r="AHZ41" s="44"/>
      <c r="AIA41" s="44"/>
      <c r="AIB41" s="44"/>
      <c r="AIC41" s="44"/>
      <c r="AID41" s="44"/>
      <c r="AIE41" s="44"/>
      <c r="AIF41" s="44"/>
      <c r="AIG41" s="44"/>
      <c r="AIH41" s="44"/>
      <c r="AII41" s="44"/>
      <c r="AIJ41" s="44"/>
      <c r="AIK41" s="44"/>
      <c r="AIL41" s="44"/>
      <c r="AIM41" s="44"/>
      <c r="AIN41" s="44"/>
      <c r="AIO41" s="44"/>
      <c r="AIP41" s="44"/>
      <c r="AIQ41" s="44"/>
      <c r="AIR41" s="44"/>
      <c r="AIS41" s="44"/>
      <c r="AIT41" s="44"/>
      <c r="AIU41" s="44"/>
      <c r="AIV41" s="44"/>
      <c r="AIW41" s="44"/>
      <c r="AIX41" s="44"/>
      <c r="AIY41" s="44"/>
      <c r="AIZ41" s="44"/>
      <c r="AJA41" s="44"/>
      <c r="AJB41" s="44"/>
      <c r="AJC41" s="44"/>
      <c r="AJD41" s="44"/>
      <c r="AJE41" s="44"/>
      <c r="AJF41" s="44"/>
      <c r="AJG41" s="44"/>
      <c r="AJH41" s="44"/>
      <c r="AJI41" s="44"/>
      <c r="AJJ41" s="44"/>
      <c r="AJK41" s="44"/>
      <c r="AJL41" s="44"/>
      <c r="AJM41" s="44"/>
      <c r="AJN41" s="44"/>
      <c r="AJO41" s="44"/>
      <c r="AJP41" s="44"/>
      <c r="AJQ41" s="44"/>
      <c r="AJR41" s="44"/>
      <c r="AJS41" s="44"/>
      <c r="AJT41" s="44"/>
      <c r="AJU41" s="44"/>
      <c r="AJV41" s="44"/>
      <c r="AJW41" s="44"/>
      <c r="AJX41" s="44"/>
      <c r="AJY41" s="44"/>
      <c r="AJZ41" s="44"/>
      <c r="AKA41" s="44"/>
      <c r="AKB41" s="44"/>
      <c r="AKC41" s="44"/>
      <c r="AKD41" s="44"/>
      <c r="AKE41" s="44"/>
      <c r="AKF41" s="44"/>
      <c r="AKG41" s="44"/>
      <c r="AKH41" s="44"/>
      <c r="AKI41" s="44"/>
      <c r="AKJ41" s="44"/>
      <c r="AKK41" s="44"/>
      <c r="AKL41" s="44"/>
      <c r="AKM41" s="44"/>
      <c r="AKN41" s="44"/>
      <c r="AKO41" s="44"/>
      <c r="AKP41" s="44"/>
      <c r="AKQ41" s="44"/>
      <c r="AKR41" s="44"/>
      <c r="AKS41" s="44"/>
      <c r="AKT41" s="44"/>
      <c r="AKU41" s="44"/>
      <c r="AKV41" s="44"/>
      <c r="AKW41" s="44"/>
      <c r="AKX41" s="44"/>
      <c r="AKY41" s="44"/>
      <c r="AKZ41" s="44"/>
      <c r="ALA41" s="44"/>
      <c r="ALB41" s="44"/>
      <c r="ALC41" s="44"/>
      <c r="ALD41" s="44"/>
      <c r="ALE41" s="44"/>
      <c r="ALF41" s="44"/>
      <c r="ALG41" s="44"/>
      <c r="ALH41" s="44"/>
      <c r="ALI41" s="44"/>
      <c r="ALJ41" s="44"/>
      <c r="ALK41" s="44"/>
      <c r="ALL41" s="44"/>
      <c r="ALM41" s="44"/>
      <c r="ALN41" s="44"/>
      <c r="ALO41" s="44"/>
      <c r="ALP41" s="44"/>
      <c r="ALQ41" s="44"/>
      <c r="ALR41" s="44"/>
      <c r="ALS41" s="44"/>
      <c r="ALT41" s="44"/>
      <c r="ALU41" s="44"/>
      <c r="ALV41" s="44"/>
      <c r="ALW41" s="44"/>
      <c r="ALX41" s="44"/>
      <c r="ALY41" s="44"/>
      <c r="ALZ41" s="44"/>
      <c r="AMA41" s="44"/>
      <c r="AMB41" s="44"/>
      <c r="AMC41" s="44"/>
      <c r="AMD41" s="44"/>
      <c r="AME41" s="44"/>
      <c r="AMF41" s="44"/>
      <c r="AMG41" s="44"/>
      <c r="AMH41" s="44"/>
      <c r="AMI41" s="44"/>
      <c r="AMJ41" s="44"/>
      <c r="AMK41" s="44"/>
      <c r="AML41" s="44"/>
      <c r="AMM41" s="44"/>
      <c r="AMN41" s="44"/>
      <c r="AMO41" s="44"/>
      <c r="AMP41" s="44"/>
      <c r="AMQ41" s="44"/>
      <c r="AMR41" s="44"/>
      <c r="AMS41" s="44"/>
      <c r="AMT41" s="44"/>
      <c r="AMU41" s="44"/>
      <c r="AMV41" s="44"/>
      <c r="AMW41" s="44"/>
      <c r="AMX41" s="44"/>
      <c r="AMY41" s="44"/>
      <c r="AMZ41" s="44"/>
      <c r="ANA41" s="44"/>
      <c r="ANB41" s="44"/>
      <c r="ANC41" s="44"/>
      <c r="AND41" s="44"/>
      <c r="ANE41" s="44"/>
      <c r="ANF41" s="44"/>
      <c r="ANG41" s="44"/>
      <c r="ANH41" s="44"/>
      <c r="ANI41" s="44"/>
      <c r="ANJ41" s="44"/>
      <c r="ANK41" s="44"/>
      <c r="ANL41" s="44"/>
      <c r="ANM41" s="44"/>
      <c r="ANN41" s="44"/>
      <c r="ANO41" s="44"/>
      <c r="ANP41" s="44"/>
      <c r="ANQ41" s="44"/>
      <c r="ANR41" s="44"/>
      <c r="ANS41" s="44"/>
      <c r="ANT41" s="44"/>
      <c r="ANU41" s="44"/>
      <c r="ANV41" s="44"/>
      <c r="ANW41" s="44"/>
      <c r="ANX41" s="44"/>
      <c r="ANY41" s="44"/>
      <c r="ANZ41" s="44"/>
      <c r="AOA41" s="44"/>
      <c r="AOB41" s="44"/>
      <c r="AOC41" s="44"/>
      <c r="AOD41" s="44"/>
      <c r="AOE41" s="44"/>
      <c r="AOF41" s="44"/>
      <c r="AOG41" s="44"/>
      <c r="AOH41" s="44"/>
      <c r="AOI41" s="44"/>
      <c r="AOJ41" s="44"/>
      <c r="AOK41" s="44"/>
      <c r="AOL41" s="44"/>
      <c r="AOM41" s="44"/>
      <c r="AON41" s="44"/>
      <c r="AOO41" s="44"/>
      <c r="AOP41" s="44"/>
      <c r="AOQ41" s="44"/>
      <c r="AOR41" s="44"/>
      <c r="AOS41" s="44"/>
      <c r="AOT41" s="44"/>
      <c r="AOU41" s="44"/>
      <c r="AOV41" s="44"/>
      <c r="AOW41" s="44"/>
      <c r="AOX41" s="44"/>
      <c r="AOY41" s="44"/>
      <c r="AOZ41" s="44"/>
      <c r="APA41" s="44"/>
      <c r="APB41" s="44"/>
      <c r="APC41" s="44"/>
      <c r="APD41" s="44"/>
      <c r="APE41" s="44"/>
      <c r="APF41" s="44"/>
      <c r="APG41" s="44"/>
      <c r="APH41" s="44"/>
      <c r="API41" s="44"/>
      <c r="APJ41" s="44"/>
      <c r="APK41" s="44"/>
      <c r="APL41" s="44"/>
      <c r="APM41" s="44"/>
      <c r="APN41" s="44"/>
      <c r="APO41" s="44"/>
      <c r="APP41" s="44"/>
      <c r="APQ41" s="44"/>
      <c r="APR41" s="44"/>
      <c r="APS41" s="44"/>
      <c r="APT41" s="44"/>
      <c r="APU41" s="44"/>
      <c r="APV41" s="44"/>
      <c r="APW41" s="44"/>
      <c r="APX41" s="44"/>
      <c r="APY41" s="44"/>
      <c r="APZ41" s="44"/>
      <c r="AQA41" s="44"/>
      <c r="AQB41" s="44"/>
      <c r="AQC41" s="44"/>
      <c r="AQD41" s="44"/>
      <c r="AQE41" s="44"/>
      <c r="AQF41" s="44"/>
      <c r="AQG41" s="44"/>
      <c r="AQH41" s="44"/>
      <c r="AQI41" s="44"/>
      <c r="AQJ41" s="44"/>
      <c r="AQK41" s="44"/>
      <c r="AQL41" s="44"/>
      <c r="AQM41" s="44"/>
      <c r="AQN41" s="44"/>
      <c r="AQO41" s="44"/>
      <c r="AQP41" s="44"/>
      <c r="AQQ41" s="44"/>
      <c r="AQR41" s="44"/>
      <c r="AQS41" s="44"/>
      <c r="AQT41" s="44"/>
      <c r="AQU41" s="44"/>
      <c r="AQV41" s="44"/>
      <c r="AQW41" s="44"/>
      <c r="AQX41" s="44"/>
      <c r="AQY41" s="44"/>
      <c r="AQZ41" s="44"/>
      <c r="ARA41" s="44"/>
      <c r="ARB41" s="44"/>
      <c r="ARC41" s="44"/>
      <c r="ARD41" s="44"/>
      <c r="ARE41" s="44"/>
      <c r="ARF41" s="44"/>
      <c r="ARG41" s="44"/>
      <c r="ARH41" s="44"/>
      <c r="ARI41" s="44"/>
      <c r="ARJ41" s="44"/>
      <c r="ARK41" s="44"/>
      <c r="ARL41" s="44"/>
      <c r="ARM41" s="44"/>
      <c r="ARN41" s="44"/>
      <c r="ARO41" s="44"/>
      <c r="ARP41" s="44"/>
      <c r="ARQ41" s="44"/>
      <c r="ARR41" s="44"/>
      <c r="ARS41" s="44"/>
      <c r="ART41" s="44"/>
      <c r="ARU41" s="44"/>
      <c r="ARV41" s="44"/>
      <c r="ARW41" s="44"/>
      <c r="ARX41" s="44"/>
      <c r="ARY41" s="44"/>
      <c r="ARZ41" s="44"/>
      <c r="ASA41" s="44"/>
      <c r="ASB41" s="44"/>
      <c r="ASC41" s="44"/>
      <c r="ASD41" s="44"/>
      <c r="ASE41" s="44"/>
      <c r="ASF41" s="44"/>
      <c r="ASG41" s="44"/>
      <c r="ASH41" s="44"/>
      <c r="ASI41" s="44"/>
      <c r="ASJ41" s="44"/>
      <c r="ASK41" s="44"/>
      <c r="ASL41" s="44"/>
      <c r="ASM41" s="44"/>
      <c r="ASN41" s="44"/>
      <c r="ASO41" s="44"/>
      <c r="ASP41" s="44"/>
      <c r="ASQ41" s="44"/>
      <c r="ASR41" s="44"/>
      <c r="ASS41" s="44"/>
      <c r="AST41" s="44"/>
      <c r="ASU41" s="44"/>
      <c r="ASV41" s="44"/>
      <c r="ASW41" s="44"/>
      <c r="ASX41" s="44"/>
      <c r="ASY41" s="44"/>
      <c r="ASZ41" s="44"/>
      <c r="ATA41" s="44"/>
      <c r="ATB41" s="44"/>
      <c r="ATC41" s="44"/>
      <c r="ATD41" s="44"/>
      <c r="ATE41" s="44"/>
      <c r="ATF41" s="44"/>
      <c r="ATG41" s="44"/>
      <c r="ATH41" s="44"/>
      <c r="ATI41" s="44"/>
      <c r="ATJ41" s="44"/>
      <c r="ATK41" s="44"/>
      <c r="ATL41" s="44"/>
      <c r="ATM41" s="44"/>
      <c r="ATN41" s="44"/>
      <c r="ATO41" s="44"/>
      <c r="ATP41" s="44"/>
      <c r="ATQ41" s="44"/>
      <c r="ATR41" s="44"/>
      <c r="ATS41" s="44"/>
      <c r="ATT41" s="44"/>
      <c r="ATU41" s="44"/>
      <c r="ATV41" s="44"/>
      <c r="ATW41" s="44"/>
      <c r="ATX41" s="44"/>
      <c r="ATY41" s="44"/>
      <c r="ATZ41" s="44"/>
      <c r="AUA41" s="44"/>
      <c r="AUB41" s="44"/>
      <c r="AUC41" s="44"/>
      <c r="AUD41" s="44"/>
      <c r="AUE41" s="44"/>
      <c r="AUF41" s="44"/>
      <c r="AUG41" s="44"/>
      <c r="AUH41" s="44"/>
      <c r="AUI41" s="44"/>
      <c r="AUJ41" s="44"/>
      <c r="AUK41" s="44"/>
      <c r="AUL41" s="44"/>
      <c r="AUM41" s="44"/>
      <c r="AUN41" s="44"/>
      <c r="AUO41" s="44"/>
      <c r="AUP41" s="44"/>
      <c r="AUQ41" s="44"/>
      <c r="AUR41" s="44"/>
      <c r="AUS41" s="44"/>
      <c r="AUT41" s="44"/>
      <c r="AUU41" s="44"/>
      <c r="AUV41" s="44"/>
      <c r="AUW41" s="44"/>
      <c r="AUX41" s="44"/>
      <c r="AUY41" s="44"/>
      <c r="AUZ41" s="44"/>
      <c r="AVA41" s="44"/>
      <c r="AVB41" s="44"/>
      <c r="AVC41" s="44"/>
      <c r="AVD41" s="44"/>
      <c r="AVE41" s="44"/>
      <c r="AVF41" s="44"/>
      <c r="AVG41" s="44"/>
      <c r="AVH41" s="44"/>
      <c r="AVI41" s="44"/>
      <c r="AVJ41" s="44"/>
      <c r="AVK41" s="44"/>
      <c r="AVL41" s="44"/>
      <c r="AVM41" s="44"/>
      <c r="AVN41" s="44"/>
      <c r="AVO41" s="44"/>
      <c r="AVP41" s="44"/>
      <c r="AVQ41" s="44"/>
      <c r="AVR41" s="44"/>
      <c r="AVS41" s="44"/>
      <c r="AVT41" s="44"/>
      <c r="AVU41" s="44"/>
      <c r="AVV41" s="44"/>
      <c r="AVW41" s="44"/>
      <c r="AVX41" s="44"/>
      <c r="AVY41" s="44"/>
      <c r="AVZ41" s="44"/>
      <c r="AWA41" s="44"/>
      <c r="AWB41" s="44"/>
      <c r="AWC41" s="44"/>
      <c r="AWD41" s="44"/>
      <c r="AWE41" s="44"/>
      <c r="AWF41" s="44"/>
      <c r="AWG41" s="44"/>
      <c r="AWH41" s="44"/>
      <c r="AWI41" s="44"/>
      <c r="AWJ41" s="44"/>
      <c r="AWK41" s="44"/>
      <c r="AWL41" s="44"/>
      <c r="AWM41" s="44"/>
      <c r="AWN41" s="44"/>
      <c r="AWO41" s="44"/>
      <c r="AWP41" s="44"/>
      <c r="AWQ41" s="44"/>
      <c r="AWR41" s="44"/>
      <c r="AWS41" s="44"/>
      <c r="AWT41" s="44"/>
      <c r="AWU41" s="44"/>
      <c r="AWV41" s="44"/>
      <c r="AWW41" s="44"/>
      <c r="AWX41" s="44"/>
      <c r="AWY41" s="44"/>
      <c r="AWZ41" s="44"/>
      <c r="AXA41" s="44"/>
      <c r="AXB41" s="44"/>
      <c r="AXC41" s="44"/>
      <c r="AXD41" s="44"/>
      <c r="AXE41" s="44"/>
      <c r="AXF41" s="44"/>
      <c r="AXG41" s="44"/>
      <c r="AXH41" s="44"/>
      <c r="AXI41" s="44"/>
      <c r="AXJ41" s="44"/>
      <c r="AXK41" s="44"/>
      <c r="AXL41" s="44"/>
      <c r="AXM41" s="44"/>
      <c r="AXN41" s="44"/>
      <c r="AXO41" s="44"/>
      <c r="AXP41" s="44"/>
      <c r="AXQ41" s="44"/>
      <c r="AXR41" s="44"/>
      <c r="AXS41" s="44"/>
      <c r="AXT41" s="44"/>
      <c r="AXU41" s="44"/>
      <c r="AXV41" s="44"/>
      <c r="AXW41" s="44"/>
      <c r="AXX41" s="44"/>
      <c r="AXY41" s="44"/>
      <c r="AXZ41" s="44"/>
      <c r="AYA41" s="44"/>
      <c r="AYB41" s="44"/>
      <c r="AYC41" s="44"/>
      <c r="AYD41" s="44"/>
      <c r="AYE41" s="44"/>
      <c r="AYF41" s="44"/>
      <c r="AYG41" s="44"/>
      <c r="AYH41" s="44"/>
      <c r="AYI41" s="44"/>
      <c r="AYJ41" s="44"/>
      <c r="AYK41" s="44"/>
      <c r="AYL41" s="44"/>
      <c r="AYM41" s="44"/>
      <c r="AYN41" s="44"/>
      <c r="AYO41" s="44"/>
      <c r="AYP41" s="44"/>
      <c r="AYQ41" s="44"/>
      <c r="AYR41" s="44"/>
      <c r="AYS41" s="44"/>
      <c r="AYT41" s="44"/>
      <c r="AYU41" s="44"/>
      <c r="AYV41" s="44"/>
      <c r="AYW41" s="44"/>
      <c r="AYX41" s="44"/>
      <c r="AYY41" s="44"/>
      <c r="AYZ41" s="44"/>
      <c r="AZA41" s="44"/>
      <c r="AZB41" s="44"/>
      <c r="AZC41" s="44"/>
      <c r="AZD41" s="44"/>
      <c r="AZE41" s="44"/>
      <c r="AZF41" s="44"/>
      <c r="AZG41" s="44"/>
      <c r="AZH41" s="44"/>
      <c r="AZI41" s="44"/>
      <c r="AZJ41" s="44"/>
      <c r="AZK41" s="44"/>
      <c r="AZL41" s="44"/>
      <c r="AZM41" s="44"/>
      <c r="AZN41" s="44"/>
      <c r="AZO41" s="44"/>
      <c r="AZP41" s="44"/>
      <c r="AZQ41" s="44"/>
      <c r="AZR41" s="44"/>
      <c r="AZS41" s="44"/>
      <c r="AZT41" s="44"/>
      <c r="AZU41" s="44"/>
      <c r="AZV41" s="44"/>
      <c r="AZW41" s="44"/>
      <c r="AZX41" s="44"/>
      <c r="AZY41" s="44"/>
      <c r="AZZ41" s="44"/>
      <c r="BAA41" s="44"/>
      <c r="BAB41" s="44"/>
      <c r="BAC41" s="44"/>
      <c r="BAD41" s="44"/>
      <c r="BAE41" s="44"/>
      <c r="BAF41" s="44"/>
      <c r="BAG41" s="44"/>
      <c r="BAH41" s="44"/>
      <c r="BAI41" s="44"/>
      <c r="BAJ41" s="44"/>
      <c r="BAK41" s="44"/>
      <c r="BAL41" s="44"/>
      <c r="BAM41" s="44"/>
      <c r="BAN41" s="44"/>
      <c r="BAO41" s="44"/>
      <c r="BAP41" s="44"/>
      <c r="BAQ41" s="44"/>
      <c r="BAR41" s="44"/>
      <c r="BAS41" s="44"/>
      <c r="BAT41" s="44"/>
      <c r="BAU41" s="44"/>
      <c r="BAV41" s="44"/>
      <c r="BAW41" s="44"/>
      <c r="BAX41" s="44"/>
      <c r="BAY41" s="44"/>
      <c r="BAZ41" s="44"/>
      <c r="BBA41" s="44"/>
      <c r="BBB41" s="44"/>
      <c r="BBC41" s="44"/>
      <c r="BBD41" s="44"/>
      <c r="BBE41" s="44"/>
      <c r="BBF41" s="44"/>
      <c r="BBG41" s="44"/>
      <c r="BBH41" s="44"/>
      <c r="BBI41" s="44"/>
      <c r="BBJ41" s="44"/>
      <c r="BBK41" s="44"/>
      <c r="BBL41" s="44"/>
      <c r="BBM41" s="44"/>
      <c r="BBN41" s="44"/>
      <c r="BBO41" s="44"/>
      <c r="BBP41" s="44"/>
      <c r="BBQ41" s="44"/>
      <c r="BBR41" s="44"/>
      <c r="BBS41" s="44"/>
      <c r="BBT41" s="44"/>
      <c r="BBU41" s="44"/>
      <c r="BBV41" s="44"/>
      <c r="BBW41" s="44"/>
      <c r="BBX41" s="44"/>
      <c r="BBY41" s="44"/>
      <c r="BBZ41" s="44"/>
      <c r="BCA41" s="44"/>
      <c r="BCB41" s="44"/>
      <c r="BCC41" s="44"/>
      <c r="BCD41" s="44"/>
      <c r="BCE41" s="44"/>
      <c r="BCF41" s="44"/>
      <c r="BCG41" s="44"/>
      <c r="BCH41" s="44"/>
      <c r="BCI41" s="44"/>
      <c r="BCJ41" s="44"/>
      <c r="BCK41" s="44"/>
      <c r="BCL41" s="44"/>
      <c r="BCM41" s="44"/>
      <c r="BCN41" s="44"/>
      <c r="BCO41" s="44"/>
      <c r="BCP41" s="44"/>
      <c r="BCQ41" s="44"/>
      <c r="BCR41" s="44"/>
      <c r="BCS41" s="44"/>
      <c r="BCT41" s="44"/>
      <c r="BCU41" s="44"/>
      <c r="BCV41" s="44"/>
      <c r="BCW41" s="44"/>
      <c r="BCX41" s="44"/>
      <c r="BCY41" s="44"/>
      <c r="BCZ41" s="44"/>
      <c r="BDA41" s="44"/>
      <c r="BDB41" s="44"/>
      <c r="BDC41" s="44"/>
      <c r="BDD41" s="44"/>
      <c r="BDE41" s="44"/>
      <c r="BDF41" s="44"/>
      <c r="BDG41" s="44"/>
      <c r="BDH41" s="44"/>
      <c r="BDI41" s="44"/>
      <c r="BDJ41" s="44"/>
      <c r="BDK41" s="44"/>
      <c r="BDL41" s="44"/>
      <c r="BDM41" s="44"/>
      <c r="BDN41" s="44"/>
      <c r="BDO41" s="44"/>
      <c r="BDP41" s="44"/>
      <c r="BDQ41" s="44"/>
      <c r="BDR41" s="44"/>
      <c r="BDS41" s="44"/>
      <c r="BDT41" s="44"/>
      <c r="BDU41" s="44"/>
      <c r="BDV41" s="44"/>
      <c r="BDW41" s="44"/>
      <c r="BDX41" s="44"/>
      <c r="BDY41" s="44"/>
      <c r="BDZ41" s="44"/>
      <c r="BEA41" s="44"/>
      <c r="BEB41" s="44"/>
      <c r="BEC41" s="44"/>
      <c r="BED41" s="44"/>
      <c r="BEE41" s="44"/>
      <c r="BEF41" s="44"/>
      <c r="BEG41" s="44"/>
      <c r="BEH41" s="44"/>
      <c r="BEI41" s="44"/>
      <c r="BEJ41" s="44"/>
      <c r="BEK41" s="44"/>
      <c r="BEL41" s="44"/>
      <c r="BEM41" s="44"/>
      <c r="BEN41" s="44"/>
      <c r="BEO41" s="44"/>
      <c r="BEP41" s="44"/>
      <c r="BEQ41" s="44"/>
      <c r="BER41" s="44"/>
      <c r="BES41" s="44"/>
      <c r="BET41" s="44"/>
      <c r="BEU41" s="44"/>
      <c r="BEV41" s="44"/>
      <c r="BEW41" s="44"/>
      <c r="BEX41" s="44"/>
      <c r="BEY41" s="44"/>
      <c r="BEZ41" s="44"/>
      <c r="BFA41" s="44"/>
      <c r="BFB41" s="44"/>
      <c r="BFC41" s="44"/>
      <c r="BFD41" s="44"/>
      <c r="BFE41" s="44"/>
      <c r="BFF41" s="44"/>
      <c r="BFG41" s="44"/>
      <c r="BFH41" s="44"/>
      <c r="BFI41" s="44"/>
      <c r="BFJ41" s="44"/>
      <c r="BFK41" s="44"/>
      <c r="BFL41" s="44"/>
      <c r="BFM41" s="44"/>
      <c r="BFN41" s="44"/>
      <c r="BFO41" s="44"/>
      <c r="BFP41" s="44"/>
      <c r="BFQ41" s="44"/>
      <c r="BFR41" s="44"/>
      <c r="BFS41" s="44"/>
      <c r="BFT41" s="44"/>
      <c r="BFU41" s="44"/>
      <c r="BFV41" s="44"/>
      <c r="BFW41" s="44"/>
      <c r="BFX41" s="44"/>
      <c r="BFY41" s="44"/>
      <c r="BFZ41" s="44"/>
      <c r="BGA41" s="44"/>
      <c r="BGB41" s="44"/>
      <c r="BGC41" s="44"/>
      <c r="BGD41" s="44"/>
      <c r="BGE41" s="44"/>
      <c r="BGF41" s="44"/>
      <c r="BGG41" s="44"/>
      <c r="BGH41" s="44"/>
      <c r="BGI41" s="44"/>
      <c r="BGJ41" s="44"/>
      <c r="BGK41" s="44"/>
      <c r="BGL41" s="44"/>
      <c r="BGM41" s="44"/>
      <c r="BGN41" s="44"/>
      <c r="BGO41" s="44"/>
      <c r="BGP41" s="44"/>
      <c r="BGQ41" s="44"/>
      <c r="BGR41" s="44"/>
      <c r="BGS41" s="44"/>
      <c r="BGT41" s="44"/>
      <c r="BGU41" s="44"/>
      <c r="BGV41" s="44"/>
      <c r="BGW41" s="44"/>
      <c r="BGX41" s="44"/>
      <c r="BGY41" s="44"/>
      <c r="BGZ41" s="44"/>
      <c r="BHA41" s="44"/>
      <c r="BHB41" s="44"/>
      <c r="BHC41" s="44"/>
      <c r="BHD41" s="44"/>
      <c r="BHE41" s="44"/>
      <c r="BHF41" s="44"/>
      <c r="BHG41" s="44"/>
      <c r="BHH41" s="44"/>
      <c r="BHI41" s="44"/>
      <c r="BHJ41" s="44"/>
      <c r="BHK41" s="44"/>
      <c r="BHL41" s="44"/>
      <c r="BHM41" s="44"/>
      <c r="BHN41" s="44"/>
      <c r="BHO41" s="44"/>
      <c r="BHP41" s="44"/>
      <c r="BHQ41" s="44"/>
      <c r="BHR41" s="44"/>
      <c r="BHS41" s="44"/>
      <c r="BHT41" s="44"/>
      <c r="BHU41" s="44"/>
      <c r="BHV41" s="44"/>
      <c r="BHW41" s="44"/>
      <c r="BHX41" s="44"/>
      <c r="BHY41" s="44"/>
      <c r="BHZ41" s="44"/>
      <c r="BIA41" s="44"/>
      <c r="BIB41" s="44"/>
      <c r="BIC41" s="44"/>
      <c r="BID41" s="44"/>
      <c r="BIE41" s="44"/>
      <c r="BIF41" s="44"/>
      <c r="BIG41" s="44"/>
      <c r="BIH41" s="44"/>
      <c r="BII41" s="44"/>
      <c r="BIJ41" s="44"/>
      <c r="BIK41" s="44"/>
      <c r="BIL41" s="44"/>
      <c r="BIM41" s="44"/>
      <c r="BIN41" s="44"/>
      <c r="BIO41" s="44"/>
      <c r="BIP41" s="44"/>
      <c r="BIQ41" s="44"/>
      <c r="BIR41" s="44"/>
      <c r="BIS41" s="44"/>
      <c r="BIT41" s="44"/>
      <c r="BIU41" s="44"/>
      <c r="BIV41" s="44"/>
      <c r="BIW41" s="44"/>
      <c r="BIX41" s="44"/>
      <c r="BIY41" s="44"/>
      <c r="BIZ41" s="44"/>
      <c r="BJA41" s="44"/>
      <c r="BJB41" s="44"/>
      <c r="BJC41" s="44"/>
      <c r="BJD41" s="44"/>
      <c r="BJE41" s="44"/>
      <c r="BJF41" s="44"/>
      <c r="BJG41" s="44"/>
      <c r="BJH41" s="44"/>
      <c r="BJI41" s="44"/>
      <c r="BJJ41" s="44"/>
      <c r="BJK41" s="44"/>
      <c r="BJL41" s="44"/>
      <c r="BJM41" s="44"/>
      <c r="BJN41" s="44"/>
      <c r="BJO41" s="44"/>
      <c r="BJP41" s="44"/>
      <c r="BJQ41" s="44"/>
      <c r="BJR41" s="44"/>
      <c r="BJS41" s="44"/>
      <c r="BJT41" s="44"/>
      <c r="BJU41" s="44"/>
      <c r="BJV41" s="44"/>
      <c r="BJW41" s="44"/>
      <c r="BJX41" s="44"/>
      <c r="BJY41" s="44"/>
      <c r="BJZ41" s="44"/>
      <c r="BKA41" s="44"/>
      <c r="BKB41" s="44"/>
      <c r="BKC41" s="44"/>
      <c r="BKD41" s="44"/>
      <c r="BKE41" s="44"/>
      <c r="BKF41" s="44"/>
      <c r="BKG41" s="44"/>
      <c r="BKH41" s="44"/>
      <c r="BKI41" s="44"/>
      <c r="BKJ41" s="44"/>
      <c r="BKK41" s="44"/>
      <c r="BKL41" s="44"/>
      <c r="BKM41" s="44"/>
      <c r="BKN41" s="44"/>
      <c r="BKO41" s="44"/>
      <c r="BKP41" s="44"/>
      <c r="BKQ41" s="44"/>
      <c r="BKR41" s="44"/>
      <c r="BKS41" s="44"/>
      <c r="BKT41" s="44"/>
      <c r="BKU41" s="44"/>
      <c r="BKV41" s="44"/>
      <c r="BKW41" s="44"/>
      <c r="BKX41" s="44"/>
      <c r="BKY41" s="44"/>
      <c r="BKZ41" s="44"/>
      <c r="BLA41" s="44"/>
      <c r="BLB41" s="44"/>
      <c r="BLC41" s="44"/>
      <c r="BLD41" s="44"/>
      <c r="BLE41" s="44"/>
      <c r="BLF41" s="44"/>
      <c r="BLG41" s="44"/>
      <c r="BLH41" s="44"/>
      <c r="BLI41" s="44"/>
      <c r="BLJ41" s="44"/>
      <c r="BLK41" s="44"/>
      <c r="BLL41" s="44"/>
      <c r="BLM41" s="44"/>
      <c r="BLN41" s="44"/>
      <c r="BLO41" s="44"/>
      <c r="BLP41" s="44"/>
      <c r="BLQ41" s="44"/>
      <c r="BLR41" s="44"/>
      <c r="BLS41" s="44"/>
      <c r="BLT41" s="44"/>
      <c r="BLU41" s="44"/>
      <c r="BLV41" s="44"/>
      <c r="BLW41" s="44"/>
      <c r="BLX41" s="44"/>
      <c r="BLY41" s="44"/>
      <c r="BLZ41" s="44"/>
      <c r="BMA41" s="44"/>
      <c r="BMB41" s="44"/>
      <c r="BMC41" s="44"/>
      <c r="BMD41" s="44"/>
      <c r="BME41" s="44"/>
      <c r="BMF41" s="44"/>
      <c r="BMG41" s="44"/>
      <c r="BMH41" s="44"/>
      <c r="BMI41" s="44"/>
      <c r="BMJ41" s="44"/>
      <c r="BMK41" s="44"/>
      <c r="BML41" s="44"/>
      <c r="BMM41" s="44"/>
      <c r="BMN41" s="44"/>
      <c r="BMO41" s="44"/>
      <c r="BMP41" s="44"/>
      <c r="BMQ41" s="44"/>
      <c r="BMR41" s="44"/>
      <c r="BMS41" s="44"/>
      <c r="BMT41" s="44"/>
      <c r="BMU41" s="44"/>
      <c r="BMV41" s="44"/>
      <c r="BMW41" s="44"/>
      <c r="BMX41" s="44"/>
      <c r="BMY41" s="44"/>
      <c r="BMZ41" s="44"/>
      <c r="BNA41" s="44"/>
      <c r="BNB41" s="44"/>
      <c r="BNC41" s="44"/>
      <c r="BND41" s="44"/>
      <c r="BNE41" s="44"/>
      <c r="BNF41" s="44"/>
      <c r="BNG41" s="44"/>
      <c r="BNH41" s="44"/>
      <c r="BNI41" s="44"/>
      <c r="BNJ41" s="44"/>
      <c r="BNK41" s="44"/>
      <c r="BNL41" s="44"/>
      <c r="BNM41" s="44"/>
      <c r="BNN41" s="44"/>
      <c r="BNO41" s="44"/>
      <c r="BNP41" s="44"/>
      <c r="BNQ41" s="44"/>
      <c r="BNR41" s="44"/>
      <c r="BNS41" s="44"/>
      <c r="BNT41" s="44"/>
      <c r="BNU41" s="44"/>
      <c r="BNV41" s="44"/>
      <c r="BNW41" s="44"/>
      <c r="BNX41" s="44"/>
      <c r="BNY41" s="44"/>
      <c r="BNZ41" s="44"/>
      <c r="BOA41" s="44"/>
      <c r="BOB41" s="44"/>
      <c r="BOC41" s="44"/>
      <c r="BOD41" s="44"/>
      <c r="BOE41" s="44"/>
      <c r="BOF41" s="44"/>
      <c r="BOG41" s="44"/>
      <c r="BOH41" s="44"/>
      <c r="BOI41" s="44"/>
      <c r="BOJ41" s="44"/>
      <c r="BOK41" s="44"/>
      <c r="BOL41" s="44"/>
      <c r="BOM41" s="44"/>
      <c r="BON41" s="44"/>
      <c r="BOO41" s="44"/>
      <c r="BOP41" s="44"/>
      <c r="BOQ41" s="44"/>
      <c r="BOR41" s="44"/>
      <c r="BOS41" s="44"/>
      <c r="BOT41" s="44"/>
      <c r="BOU41" s="44"/>
      <c r="BOV41" s="44"/>
      <c r="BOW41" s="44"/>
      <c r="BOX41" s="44"/>
      <c r="BOY41" s="44"/>
      <c r="BOZ41" s="44"/>
      <c r="BPA41" s="44"/>
      <c r="BPB41" s="44"/>
      <c r="BPC41" s="44"/>
      <c r="BPD41" s="44"/>
      <c r="BPE41" s="44"/>
      <c r="BPF41" s="44"/>
      <c r="BPG41" s="44"/>
      <c r="BPH41" s="44"/>
      <c r="BPI41" s="44"/>
      <c r="BPJ41" s="44"/>
      <c r="BPK41" s="44"/>
      <c r="BPL41" s="44"/>
      <c r="BPM41" s="44"/>
      <c r="BPN41" s="44"/>
      <c r="BPO41" s="44"/>
      <c r="BPP41" s="44"/>
      <c r="BPQ41" s="44"/>
      <c r="BPR41" s="44"/>
      <c r="BPS41" s="44"/>
      <c r="BPT41" s="44"/>
      <c r="BPU41" s="44"/>
      <c r="BPV41" s="44"/>
      <c r="BPW41" s="44"/>
      <c r="BPX41" s="44"/>
      <c r="BPY41" s="44"/>
      <c r="BPZ41" s="44"/>
      <c r="BQA41" s="44"/>
      <c r="BQB41" s="44"/>
      <c r="BQC41" s="44"/>
      <c r="BQD41" s="44"/>
      <c r="BQE41" s="44"/>
      <c r="BQF41" s="44"/>
      <c r="BQG41" s="44"/>
      <c r="BQH41" s="44"/>
      <c r="BQI41" s="44"/>
      <c r="BQJ41" s="44"/>
      <c r="BQK41" s="44"/>
      <c r="BQL41" s="44"/>
      <c r="BQM41" s="44"/>
      <c r="BQN41" s="44"/>
      <c r="BQO41" s="44"/>
      <c r="BQP41" s="44"/>
      <c r="BQQ41" s="44"/>
      <c r="BQR41" s="44"/>
      <c r="BQS41" s="44"/>
      <c r="BQT41" s="44"/>
      <c r="BQU41" s="44"/>
      <c r="BQV41" s="44"/>
      <c r="BQW41" s="44"/>
      <c r="BQX41" s="44"/>
      <c r="BQY41" s="44"/>
      <c r="BQZ41" s="44"/>
      <c r="BRA41" s="44"/>
      <c r="BRB41" s="44"/>
      <c r="BRC41" s="44"/>
      <c r="BRD41" s="44"/>
      <c r="BRE41" s="44"/>
      <c r="BRF41" s="44"/>
      <c r="BRG41" s="44"/>
      <c r="BRH41" s="44"/>
      <c r="BRI41" s="44"/>
      <c r="BRJ41" s="44"/>
      <c r="BRK41" s="44"/>
      <c r="BRL41" s="44"/>
      <c r="BRM41" s="44"/>
      <c r="BRN41" s="44"/>
      <c r="BRO41" s="44"/>
      <c r="BRP41" s="44"/>
      <c r="BRQ41" s="44"/>
      <c r="BRR41" s="44"/>
      <c r="BRS41" s="44"/>
      <c r="BRT41" s="44"/>
      <c r="BRU41" s="44"/>
      <c r="BRV41" s="44"/>
      <c r="BRW41" s="44"/>
      <c r="BRX41" s="44"/>
      <c r="BRY41" s="44"/>
      <c r="BRZ41" s="44"/>
      <c r="BSA41" s="44"/>
      <c r="BSB41" s="44"/>
      <c r="BSC41" s="44"/>
      <c r="BSD41" s="44"/>
      <c r="BSE41" s="44"/>
      <c r="BSF41" s="44"/>
      <c r="BSG41" s="44"/>
      <c r="BSH41" s="44"/>
      <c r="BSI41" s="44"/>
      <c r="BSJ41" s="44"/>
      <c r="BSK41" s="44"/>
      <c r="BSL41" s="44"/>
      <c r="BSM41" s="44"/>
      <c r="BSN41" s="44"/>
      <c r="BSO41" s="44"/>
      <c r="BSP41" s="44"/>
      <c r="BSQ41" s="44"/>
      <c r="BSR41" s="44"/>
      <c r="BSS41" s="44"/>
      <c r="BST41" s="44"/>
      <c r="BSU41" s="44"/>
      <c r="BSV41" s="44"/>
      <c r="BSW41" s="44"/>
      <c r="BSX41" s="44"/>
      <c r="BSY41" s="44"/>
      <c r="BSZ41" s="44"/>
      <c r="BTA41" s="44"/>
      <c r="BTB41" s="44"/>
      <c r="BTC41" s="44"/>
      <c r="BTD41" s="44"/>
      <c r="BTE41" s="44"/>
      <c r="BTF41" s="44"/>
      <c r="BTG41" s="44"/>
      <c r="BTH41" s="44"/>
      <c r="BTI41" s="44"/>
      <c r="BTJ41" s="44"/>
      <c r="BTK41" s="44"/>
      <c r="BTL41" s="44"/>
      <c r="BTM41" s="44"/>
      <c r="BTN41" s="44"/>
      <c r="BTO41" s="44"/>
      <c r="BTP41" s="44"/>
      <c r="BTQ41" s="44"/>
      <c r="BTR41" s="44"/>
      <c r="BTS41" s="44"/>
      <c r="BTT41" s="44"/>
      <c r="BTU41" s="44"/>
      <c r="BTV41" s="44"/>
      <c r="BTW41" s="44"/>
      <c r="BTX41" s="44"/>
      <c r="BTY41" s="44"/>
      <c r="BTZ41" s="44"/>
      <c r="BUA41" s="44"/>
      <c r="BUB41" s="44"/>
      <c r="BUC41" s="44"/>
      <c r="BUD41" s="44"/>
      <c r="BUE41" s="44"/>
      <c r="BUF41" s="44"/>
      <c r="BUG41" s="44"/>
      <c r="BUH41" s="44"/>
      <c r="BUI41" s="44"/>
      <c r="BUJ41" s="44"/>
      <c r="BUK41" s="44"/>
      <c r="BUL41" s="44"/>
      <c r="BUM41" s="44"/>
      <c r="BUN41" s="44"/>
      <c r="BUO41" s="44"/>
      <c r="BUP41" s="44"/>
      <c r="BUQ41" s="44"/>
      <c r="BUR41" s="44"/>
      <c r="BUS41" s="44"/>
      <c r="BUT41" s="44"/>
      <c r="BUU41" s="44"/>
      <c r="BUV41" s="44"/>
      <c r="BUW41" s="44"/>
      <c r="BUX41" s="44"/>
      <c r="BUY41" s="44"/>
      <c r="BUZ41" s="44"/>
      <c r="BVA41" s="44"/>
      <c r="BVB41" s="44"/>
      <c r="BVC41" s="44"/>
      <c r="BVD41" s="44"/>
      <c r="BVE41" s="44"/>
      <c r="BVF41" s="44"/>
      <c r="BVG41" s="44"/>
      <c r="BVH41" s="44"/>
      <c r="BVI41" s="44"/>
      <c r="BVJ41" s="44"/>
      <c r="BVK41" s="44"/>
      <c r="BVL41" s="44"/>
      <c r="BVM41" s="44"/>
      <c r="BVN41" s="44"/>
      <c r="BVO41" s="44"/>
      <c r="BVP41" s="44"/>
      <c r="BVQ41" s="44"/>
      <c r="BVR41" s="44"/>
      <c r="BVS41" s="44"/>
      <c r="BVT41" s="44"/>
      <c r="BVU41" s="44"/>
      <c r="BVV41" s="44"/>
      <c r="BVW41" s="44"/>
      <c r="BVX41" s="44"/>
      <c r="BVY41" s="44"/>
      <c r="BVZ41" s="44"/>
      <c r="BWA41" s="44"/>
      <c r="BWB41" s="44"/>
      <c r="BWC41" s="44"/>
      <c r="BWD41" s="44"/>
      <c r="BWE41" s="44"/>
      <c r="BWF41" s="44"/>
      <c r="BWG41" s="44"/>
      <c r="BWH41" s="44"/>
      <c r="BWI41" s="44"/>
      <c r="BWJ41" s="44"/>
      <c r="BWK41" s="44"/>
      <c r="BWL41" s="44"/>
      <c r="BWM41" s="44"/>
      <c r="BWN41" s="44"/>
      <c r="BWO41" s="44"/>
      <c r="BWP41" s="44"/>
      <c r="BWQ41" s="44"/>
      <c r="BWR41" s="44"/>
      <c r="BWS41" s="44"/>
      <c r="BWT41" s="44"/>
      <c r="BWU41" s="44"/>
      <c r="BWV41" s="44"/>
      <c r="BWW41" s="44"/>
      <c r="BWX41" s="44"/>
      <c r="BWY41" s="44"/>
      <c r="BWZ41" s="44"/>
      <c r="BXA41" s="44"/>
      <c r="BXB41" s="44"/>
      <c r="BXC41" s="44"/>
      <c r="BXD41" s="44"/>
      <c r="BXE41" s="44"/>
      <c r="BXF41" s="44"/>
      <c r="BXG41" s="44"/>
      <c r="BXH41" s="44"/>
      <c r="BXI41" s="44"/>
      <c r="BXJ41" s="44"/>
      <c r="BXK41" s="44"/>
      <c r="BXL41" s="44"/>
      <c r="BXM41" s="44"/>
      <c r="BXN41" s="44"/>
      <c r="BXO41" s="44"/>
      <c r="BXP41" s="44"/>
      <c r="BXQ41" s="44"/>
      <c r="BXR41" s="44"/>
      <c r="BXS41" s="44"/>
      <c r="BXT41" s="44"/>
      <c r="BXU41" s="44"/>
      <c r="BXV41" s="44"/>
      <c r="BXW41" s="44"/>
      <c r="BXX41" s="44"/>
      <c r="BXY41" s="44"/>
      <c r="BXZ41" s="44"/>
      <c r="BYA41" s="44"/>
      <c r="BYB41" s="44"/>
      <c r="BYC41" s="44"/>
      <c r="BYD41" s="44"/>
      <c r="BYE41" s="44"/>
      <c r="BYF41" s="44"/>
      <c r="BYG41" s="44"/>
      <c r="BYH41" s="44"/>
      <c r="BYI41" s="44"/>
      <c r="BYJ41" s="44"/>
      <c r="BYK41" s="44"/>
      <c r="BYL41" s="44"/>
      <c r="BYM41" s="44"/>
      <c r="BYN41" s="44"/>
      <c r="BYO41" s="44"/>
      <c r="BYP41" s="44"/>
      <c r="BYQ41" s="44"/>
      <c r="BYR41" s="44"/>
      <c r="BYS41" s="44"/>
      <c r="BYT41" s="44"/>
      <c r="BYU41" s="44"/>
      <c r="BYV41" s="44"/>
      <c r="BYW41" s="44"/>
      <c r="BYX41" s="44"/>
      <c r="BYY41" s="44"/>
      <c r="BYZ41" s="44"/>
      <c r="BZA41" s="44"/>
      <c r="BZB41" s="44"/>
      <c r="BZC41" s="44"/>
      <c r="BZD41" s="44"/>
      <c r="BZE41" s="44"/>
      <c r="BZF41" s="44"/>
      <c r="BZG41" s="44"/>
      <c r="BZH41" s="44"/>
      <c r="BZI41" s="44"/>
      <c r="BZJ41" s="44"/>
      <c r="BZK41" s="44"/>
      <c r="BZL41" s="44"/>
      <c r="BZM41" s="44"/>
      <c r="BZN41" s="44"/>
      <c r="BZO41" s="44"/>
      <c r="BZP41" s="44"/>
      <c r="BZQ41" s="44"/>
      <c r="BZR41" s="44"/>
      <c r="BZS41" s="44"/>
      <c r="BZT41" s="44"/>
      <c r="BZU41" s="44"/>
      <c r="BZV41" s="44"/>
      <c r="BZW41" s="44"/>
      <c r="BZX41" s="44"/>
      <c r="BZY41" s="44"/>
      <c r="BZZ41" s="44"/>
      <c r="CAA41" s="44"/>
      <c r="CAB41" s="44"/>
      <c r="CAC41" s="44"/>
      <c r="CAD41" s="44"/>
      <c r="CAE41" s="44"/>
      <c r="CAF41" s="44"/>
      <c r="CAG41" s="44"/>
      <c r="CAH41" s="44"/>
      <c r="CAI41" s="44"/>
      <c r="CAJ41" s="44"/>
      <c r="CAK41" s="44"/>
      <c r="CAL41" s="44"/>
      <c r="CAM41" s="44"/>
      <c r="CAN41" s="44"/>
      <c r="CAO41" s="44"/>
      <c r="CAP41" s="44"/>
      <c r="CAQ41" s="44"/>
      <c r="CAR41" s="44"/>
      <c r="CAS41" s="44"/>
      <c r="CAT41" s="44"/>
      <c r="CAU41" s="44"/>
      <c r="CAV41" s="44"/>
      <c r="CAW41" s="44"/>
      <c r="CAX41" s="44"/>
      <c r="CAY41" s="44"/>
      <c r="CAZ41" s="44"/>
      <c r="CBA41" s="44"/>
      <c r="CBB41" s="44"/>
      <c r="CBC41" s="44"/>
      <c r="CBD41" s="44"/>
      <c r="CBE41" s="44"/>
      <c r="CBF41" s="44"/>
      <c r="CBG41" s="44"/>
      <c r="CBH41" s="44"/>
      <c r="CBI41" s="44"/>
      <c r="CBJ41" s="44"/>
      <c r="CBK41" s="44"/>
      <c r="CBL41" s="44"/>
      <c r="CBM41" s="44"/>
      <c r="CBN41" s="44"/>
      <c r="CBO41" s="44"/>
      <c r="CBP41" s="44"/>
      <c r="CBQ41" s="44"/>
      <c r="CBR41" s="44"/>
      <c r="CBS41" s="44"/>
      <c r="CBT41" s="44"/>
      <c r="CBU41" s="44"/>
      <c r="CBV41" s="44"/>
      <c r="CBW41" s="44"/>
      <c r="CBX41" s="44"/>
      <c r="CBY41" s="44"/>
      <c r="CBZ41" s="44"/>
      <c r="CCA41" s="44"/>
      <c r="CCB41" s="44"/>
      <c r="CCC41" s="44"/>
      <c r="CCD41" s="44"/>
      <c r="CCE41" s="44"/>
      <c r="CCF41" s="44"/>
      <c r="CCG41" s="44"/>
      <c r="CCH41" s="44"/>
      <c r="CCI41" s="44"/>
      <c r="CCJ41" s="44"/>
      <c r="CCK41" s="44"/>
      <c r="CCL41" s="44"/>
      <c r="CCM41" s="44"/>
      <c r="CCN41" s="44"/>
      <c r="CCO41" s="44"/>
      <c r="CCP41" s="44"/>
      <c r="CCQ41" s="44"/>
      <c r="CCR41" s="44"/>
      <c r="CCS41" s="44"/>
      <c r="CCT41" s="44"/>
      <c r="CCU41" s="44"/>
      <c r="CCV41" s="44"/>
      <c r="CCW41" s="44"/>
      <c r="CCX41" s="44"/>
      <c r="CCY41" s="44"/>
      <c r="CCZ41" s="44"/>
      <c r="CDA41" s="44"/>
      <c r="CDB41" s="44"/>
      <c r="CDC41" s="44"/>
      <c r="CDD41" s="44"/>
      <c r="CDE41" s="44"/>
      <c r="CDF41" s="44"/>
      <c r="CDG41" s="44"/>
      <c r="CDH41" s="44"/>
      <c r="CDI41" s="44"/>
      <c r="CDJ41" s="44"/>
      <c r="CDK41" s="44"/>
      <c r="CDL41" s="44"/>
      <c r="CDM41" s="44"/>
      <c r="CDN41" s="44"/>
      <c r="CDO41" s="44"/>
      <c r="CDP41" s="44"/>
      <c r="CDQ41" s="44"/>
      <c r="CDR41" s="44"/>
      <c r="CDS41" s="44"/>
      <c r="CDT41" s="44"/>
      <c r="CDU41" s="44"/>
      <c r="CDV41" s="44"/>
      <c r="CDW41" s="44"/>
      <c r="CDX41" s="44"/>
      <c r="CDY41" s="44"/>
      <c r="CDZ41" s="44"/>
      <c r="CEA41" s="44"/>
      <c r="CEB41" s="44"/>
      <c r="CEC41" s="44"/>
      <c r="CED41" s="44"/>
      <c r="CEE41" s="44"/>
      <c r="CEF41" s="44"/>
      <c r="CEG41" s="44"/>
      <c r="CEH41" s="44"/>
      <c r="CEI41" s="44"/>
      <c r="CEJ41" s="44"/>
      <c r="CEK41" s="44"/>
      <c r="CEL41" s="44"/>
      <c r="CEM41" s="44"/>
      <c r="CEN41" s="44"/>
      <c r="CEO41" s="44"/>
      <c r="CEP41" s="44"/>
      <c r="CEQ41" s="44"/>
      <c r="CER41" s="44"/>
      <c r="CES41" s="44"/>
      <c r="CET41" s="44"/>
      <c r="CEU41" s="44"/>
      <c r="CEV41" s="44"/>
      <c r="CEW41" s="44"/>
      <c r="CEX41" s="44"/>
      <c r="CEY41" s="44"/>
      <c r="CEZ41" s="44"/>
      <c r="CFA41" s="44"/>
      <c r="CFB41" s="44"/>
      <c r="CFC41" s="44"/>
      <c r="CFD41" s="44"/>
      <c r="CFE41" s="44"/>
      <c r="CFF41" s="44"/>
      <c r="CFG41" s="44"/>
      <c r="CFH41" s="44"/>
      <c r="CFI41" s="44"/>
      <c r="CFJ41" s="44"/>
      <c r="CFK41" s="44"/>
      <c r="CFL41" s="44"/>
      <c r="CFM41" s="44"/>
      <c r="CFN41" s="44"/>
      <c r="CFO41" s="44"/>
      <c r="CFP41" s="44"/>
      <c r="CFQ41" s="44"/>
      <c r="CFR41" s="44"/>
      <c r="CFS41" s="44"/>
      <c r="CFT41" s="44"/>
      <c r="CFU41" s="44"/>
      <c r="CFV41" s="44"/>
      <c r="CFW41" s="44"/>
      <c r="CFX41" s="44"/>
      <c r="CFY41" s="44"/>
      <c r="CFZ41" s="44"/>
      <c r="CGA41" s="44"/>
      <c r="CGB41" s="44"/>
      <c r="CGC41" s="44"/>
      <c r="CGD41" s="44"/>
      <c r="CGE41" s="44"/>
      <c r="CGF41" s="44"/>
      <c r="CGG41" s="44"/>
      <c r="CGH41" s="44"/>
      <c r="CGI41" s="44"/>
      <c r="CGJ41" s="44"/>
      <c r="CGK41" s="44"/>
      <c r="CGL41" s="44"/>
      <c r="CGM41" s="44"/>
      <c r="CGN41" s="44"/>
      <c r="CGO41" s="44"/>
      <c r="CGP41" s="44"/>
      <c r="CGQ41" s="44"/>
      <c r="CGR41" s="44"/>
      <c r="CGS41" s="44"/>
      <c r="CGT41" s="44"/>
      <c r="CGU41" s="44"/>
      <c r="CGV41" s="44"/>
      <c r="CGW41" s="44"/>
      <c r="CGX41" s="44"/>
      <c r="CGY41" s="44"/>
      <c r="CGZ41" s="44"/>
      <c r="CHA41" s="44"/>
      <c r="CHB41" s="44"/>
      <c r="CHC41" s="44"/>
      <c r="CHD41" s="44"/>
      <c r="CHE41" s="44"/>
      <c r="CHF41" s="44"/>
      <c r="CHG41" s="44"/>
      <c r="CHH41" s="44"/>
      <c r="CHI41" s="44"/>
      <c r="CHJ41" s="44"/>
      <c r="CHK41" s="44"/>
      <c r="CHL41" s="44"/>
      <c r="CHM41" s="44"/>
      <c r="CHN41" s="44"/>
      <c r="CHO41" s="44"/>
      <c r="CHP41" s="44"/>
      <c r="CHQ41" s="44"/>
      <c r="CHR41" s="44"/>
      <c r="CHS41" s="44"/>
      <c r="CHT41" s="44"/>
      <c r="CHU41" s="44"/>
      <c r="CHV41" s="44"/>
      <c r="CHW41" s="44"/>
      <c r="CHX41" s="44"/>
      <c r="CHY41" s="44"/>
      <c r="CHZ41" s="44"/>
      <c r="CIA41" s="44"/>
      <c r="CIB41" s="44"/>
      <c r="CIC41" s="44"/>
      <c r="CID41" s="44"/>
      <c r="CIE41" s="44"/>
      <c r="CIF41" s="44"/>
      <c r="CIG41" s="44"/>
      <c r="CIH41" s="44"/>
      <c r="CII41" s="44"/>
      <c r="CIJ41" s="44"/>
      <c r="CIK41" s="44"/>
      <c r="CIL41" s="44"/>
      <c r="CIM41" s="44"/>
      <c r="CIN41" s="44"/>
      <c r="CIO41" s="44"/>
      <c r="CIP41" s="44"/>
      <c r="CIQ41" s="44"/>
      <c r="CIR41" s="44"/>
      <c r="CIS41" s="44"/>
      <c r="CIT41" s="44"/>
      <c r="CIU41" s="44"/>
      <c r="CIV41" s="44"/>
      <c r="CIW41" s="44"/>
      <c r="CIX41" s="44"/>
      <c r="CIY41" s="44"/>
      <c r="CIZ41" s="44"/>
      <c r="CJA41" s="44"/>
      <c r="CJB41" s="44"/>
      <c r="CJC41" s="44"/>
      <c r="CJD41" s="44"/>
      <c r="CJE41" s="44"/>
      <c r="CJF41" s="44"/>
      <c r="CJG41" s="44"/>
      <c r="CJH41" s="44"/>
      <c r="CJI41" s="44"/>
      <c r="CJJ41" s="44"/>
      <c r="CJK41" s="44"/>
      <c r="CJL41" s="44"/>
      <c r="CJM41" s="44"/>
      <c r="CJN41" s="44"/>
      <c r="CJO41" s="44"/>
      <c r="CJP41" s="44"/>
      <c r="CJQ41" s="44"/>
      <c r="CJR41" s="44"/>
      <c r="CJS41" s="44"/>
      <c r="CJT41" s="44"/>
      <c r="CJU41" s="44"/>
      <c r="CJV41" s="44"/>
      <c r="CJW41" s="44"/>
      <c r="CJX41" s="44"/>
      <c r="CJY41" s="44"/>
      <c r="CJZ41" s="44"/>
      <c r="CKA41" s="44"/>
      <c r="CKB41" s="44"/>
      <c r="CKC41" s="44"/>
      <c r="CKD41" s="44"/>
      <c r="CKE41" s="44"/>
      <c r="CKF41" s="44"/>
      <c r="CKG41" s="44"/>
      <c r="CKH41" s="44"/>
      <c r="CKI41" s="44"/>
      <c r="CKJ41" s="44"/>
      <c r="CKK41" s="44"/>
      <c r="CKL41" s="44"/>
      <c r="CKM41" s="44"/>
      <c r="CKN41" s="44"/>
      <c r="CKO41" s="44"/>
      <c r="CKP41" s="44"/>
      <c r="CKQ41" s="44"/>
      <c r="CKR41" s="44"/>
      <c r="CKS41" s="44"/>
      <c r="CKT41" s="44"/>
      <c r="CKU41" s="44"/>
      <c r="CKV41" s="44"/>
      <c r="CKW41" s="44"/>
      <c r="CKX41" s="44"/>
      <c r="CKY41" s="44"/>
      <c r="CKZ41" s="44"/>
      <c r="CLA41" s="44"/>
      <c r="CLB41" s="44"/>
      <c r="CLC41" s="44"/>
      <c r="CLD41" s="44"/>
      <c r="CLE41" s="44"/>
      <c r="CLF41" s="44"/>
      <c r="CLG41" s="44"/>
      <c r="CLH41" s="44"/>
      <c r="CLI41" s="44"/>
      <c r="CLJ41" s="44"/>
      <c r="CLK41" s="44"/>
      <c r="CLL41" s="44"/>
      <c r="CLM41" s="44"/>
      <c r="CLN41" s="44"/>
      <c r="CLO41" s="44"/>
      <c r="CLP41" s="44"/>
      <c r="CLQ41" s="44"/>
      <c r="CLR41" s="44"/>
      <c r="CLS41" s="44"/>
      <c r="CLT41" s="44"/>
      <c r="CLU41" s="44"/>
      <c r="CLV41" s="44"/>
      <c r="CLW41" s="44"/>
      <c r="CLX41" s="44"/>
      <c r="CLY41" s="44"/>
      <c r="CLZ41" s="44"/>
      <c r="CMA41" s="44"/>
      <c r="CMB41" s="44"/>
      <c r="CMC41" s="44"/>
      <c r="CMD41" s="44"/>
      <c r="CME41" s="44"/>
      <c r="CMF41" s="44"/>
      <c r="CMG41" s="44"/>
      <c r="CMH41" s="44"/>
      <c r="CMI41" s="44"/>
      <c r="CMJ41" s="44"/>
      <c r="CMK41" s="44"/>
      <c r="CML41" s="44"/>
      <c r="CMM41" s="44"/>
      <c r="CMN41" s="44"/>
      <c r="CMO41" s="44"/>
      <c r="CMP41" s="44"/>
      <c r="CMQ41" s="44"/>
      <c r="CMR41" s="44"/>
      <c r="CMS41" s="44"/>
      <c r="CMT41" s="44"/>
      <c r="CMU41" s="44"/>
      <c r="CMV41" s="44"/>
      <c r="CMW41" s="44"/>
      <c r="CMX41" s="44"/>
      <c r="CMY41" s="44"/>
      <c r="CMZ41" s="44"/>
      <c r="CNA41" s="44"/>
      <c r="CNB41" s="44"/>
      <c r="CNC41" s="44"/>
      <c r="CND41" s="44"/>
      <c r="CNE41" s="44"/>
      <c r="CNF41" s="44"/>
      <c r="CNG41" s="44"/>
      <c r="CNH41" s="44"/>
      <c r="CNI41" s="44"/>
      <c r="CNJ41" s="44"/>
      <c r="CNK41" s="44"/>
      <c r="CNL41" s="44"/>
      <c r="CNM41" s="44"/>
      <c r="CNN41" s="44"/>
      <c r="CNO41" s="44"/>
      <c r="CNP41" s="44"/>
      <c r="CNQ41" s="44"/>
      <c r="CNR41" s="44"/>
      <c r="CNS41" s="44"/>
      <c r="CNT41" s="44"/>
      <c r="CNU41" s="44"/>
      <c r="CNV41" s="44"/>
      <c r="CNW41" s="44"/>
      <c r="CNX41" s="44"/>
      <c r="CNY41" s="44"/>
      <c r="CNZ41" s="44"/>
      <c r="COA41" s="44"/>
      <c r="COB41" s="44"/>
      <c r="COC41" s="44"/>
      <c r="COD41" s="44"/>
      <c r="COE41" s="44"/>
      <c r="COF41" s="44"/>
      <c r="COG41" s="44"/>
      <c r="COH41" s="44"/>
      <c r="COI41" s="44"/>
      <c r="COJ41" s="44"/>
      <c r="COK41" s="44"/>
      <c r="COL41" s="44"/>
      <c r="COM41" s="44"/>
      <c r="CON41" s="44"/>
      <c r="COO41" s="44"/>
      <c r="COP41" s="44"/>
      <c r="COQ41" s="44"/>
      <c r="COR41" s="44"/>
      <c r="COS41" s="44"/>
      <c r="COT41" s="44"/>
      <c r="COU41" s="44"/>
      <c r="COV41" s="44"/>
      <c r="COW41" s="44"/>
      <c r="COX41" s="44"/>
      <c r="COY41" s="44"/>
      <c r="COZ41" s="44"/>
      <c r="CPA41" s="44"/>
      <c r="CPB41" s="44"/>
      <c r="CPC41" s="44"/>
      <c r="CPD41" s="44"/>
      <c r="CPE41" s="44"/>
      <c r="CPF41" s="44"/>
      <c r="CPG41" s="44"/>
      <c r="CPH41" s="44"/>
      <c r="CPI41" s="44"/>
      <c r="CPJ41" s="44"/>
      <c r="CPK41" s="44"/>
      <c r="CPL41" s="44"/>
      <c r="CPM41" s="44"/>
      <c r="CPN41" s="44"/>
      <c r="CPO41" s="44"/>
      <c r="CPP41" s="44"/>
      <c r="CPQ41" s="44"/>
      <c r="CPR41" s="44"/>
      <c r="CPS41" s="44"/>
      <c r="CPT41" s="44"/>
      <c r="CPU41" s="44"/>
      <c r="CPV41" s="44"/>
      <c r="CPW41" s="44"/>
      <c r="CPX41" s="44"/>
      <c r="CPY41" s="44"/>
      <c r="CPZ41" s="44"/>
      <c r="CQA41" s="44"/>
      <c r="CQB41" s="44"/>
      <c r="CQC41" s="44"/>
      <c r="CQD41" s="44"/>
      <c r="CQE41" s="44"/>
      <c r="CQF41" s="44"/>
      <c r="CQG41" s="44"/>
      <c r="CQH41" s="44"/>
      <c r="CQI41" s="44"/>
      <c r="CQJ41" s="44"/>
      <c r="CQK41" s="44"/>
      <c r="CQL41" s="44"/>
      <c r="CQM41" s="44"/>
      <c r="CQN41" s="44"/>
      <c r="CQO41" s="44"/>
      <c r="CQP41" s="44"/>
      <c r="CQQ41" s="44"/>
      <c r="CQR41" s="44"/>
      <c r="CQS41" s="44"/>
      <c r="CQT41" s="44"/>
      <c r="CQU41" s="44"/>
      <c r="CQV41" s="44"/>
      <c r="CQW41" s="44"/>
      <c r="CQX41" s="44"/>
      <c r="CQY41" s="44"/>
      <c r="CQZ41" s="44"/>
      <c r="CRA41" s="44"/>
      <c r="CRB41" s="44"/>
      <c r="CRC41" s="44"/>
      <c r="CRD41" s="44"/>
      <c r="CRE41" s="44"/>
      <c r="CRF41" s="44"/>
      <c r="CRG41" s="44"/>
      <c r="CRH41" s="44"/>
      <c r="CRI41" s="44"/>
      <c r="CRJ41" s="44"/>
      <c r="CRK41" s="44"/>
      <c r="CRL41" s="44"/>
      <c r="CRM41" s="44"/>
      <c r="CRN41" s="44"/>
      <c r="CRO41" s="44"/>
      <c r="CRP41" s="44"/>
      <c r="CRQ41" s="44"/>
      <c r="CRR41" s="44"/>
      <c r="CRS41" s="44"/>
      <c r="CRT41" s="44"/>
      <c r="CRU41" s="44"/>
      <c r="CRV41" s="44"/>
      <c r="CRW41" s="44"/>
      <c r="CRX41" s="44"/>
      <c r="CRY41" s="44"/>
      <c r="CRZ41" s="44"/>
      <c r="CSA41" s="44"/>
      <c r="CSB41" s="44"/>
      <c r="CSC41" s="44"/>
      <c r="CSD41" s="44"/>
      <c r="CSE41" s="44"/>
      <c r="CSF41" s="44"/>
      <c r="CSG41" s="44"/>
      <c r="CSH41" s="44"/>
      <c r="CSI41" s="44"/>
      <c r="CSJ41" s="44"/>
      <c r="CSK41" s="44"/>
      <c r="CSL41" s="44"/>
      <c r="CSM41" s="44"/>
      <c r="CSN41" s="44"/>
      <c r="CSO41" s="44"/>
      <c r="CSP41" s="44"/>
      <c r="CSQ41" s="44"/>
      <c r="CSR41" s="44"/>
      <c r="CSS41" s="44"/>
      <c r="CST41" s="44"/>
      <c r="CSU41" s="44"/>
      <c r="CSV41" s="44"/>
      <c r="CSW41" s="44"/>
      <c r="CSX41" s="44"/>
      <c r="CSY41" s="44"/>
      <c r="CSZ41" s="44"/>
      <c r="CTA41" s="44"/>
      <c r="CTB41" s="44"/>
      <c r="CTC41" s="44"/>
      <c r="CTD41" s="44"/>
      <c r="CTE41" s="44"/>
      <c r="CTF41" s="44"/>
      <c r="CTG41" s="44"/>
      <c r="CTH41" s="44"/>
      <c r="CTI41" s="44"/>
      <c r="CTJ41" s="44"/>
      <c r="CTK41" s="44"/>
      <c r="CTL41" s="44"/>
      <c r="CTM41" s="44"/>
      <c r="CTN41" s="44"/>
      <c r="CTO41" s="44"/>
      <c r="CTP41" s="44"/>
      <c r="CTQ41" s="44"/>
      <c r="CTR41" s="44"/>
      <c r="CTS41" s="44"/>
      <c r="CTT41" s="44"/>
      <c r="CTU41" s="44"/>
      <c r="CTV41" s="44"/>
      <c r="CTW41" s="44"/>
      <c r="CTX41" s="44"/>
      <c r="CTY41" s="44"/>
      <c r="CTZ41" s="44"/>
      <c r="CUA41" s="44"/>
      <c r="CUB41" s="44"/>
      <c r="CUC41" s="44"/>
      <c r="CUD41" s="44"/>
      <c r="CUE41" s="44"/>
      <c r="CUF41" s="44"/>
      <c r="CUG41" s="44"/>
      <c r="CUH41" s="44"/>
      <c r="CUI41" s="44"/>
      <c r="CUJ41" s="44"/>
      <c r="CUK41" s="44"/>
      <c r="CUL41" s="44"/>
      <c r="CUM41" s="44"/>
      <c r="CUN41" s="44"/>
      <c r="CUO41" s="44"/>
      <c r="CUP41" s="44"/>
      <c r="CUQ41" s="44"/>
      <c r="CUR41" s="44"/>
      <c r="CUS41" s="44"/>
      <c r="CUT41" s="44"/>
      <c r="CUU41" s="44"/>
      <c r="CUV41" s="44"/>
      <c r="CUW41" s="44"/>
      <c r="CUX41" s="44"/>
      <c r="CUY41" s="44"/>
      <c r="CUZ41" s="44"/>
      <c r="CVA41" s="44"/>
      <c r="CVB41" s="44"/>
      <c r="CVC41" s="44"/>
      <c r="CVD41" s="44"/>
      <c r="CVE41" s="44"/>
      <c r="CVF41" s="44"/>
      <c r="CVG41" s="44"/>
      <c r="CVH41" s="44"/>
      <c r="CVI41" s="44"/>
      <c r="CVJ41" s="44"/>
      <c r="CVK41" s="44"/>
      <c r="CVL41" s="44"/>
      <c r="CVM41" s="44"/>
      <c r="CVN41" s="44"/>
      <c r="CVO41" s="44"/>
      <c r="CVP41" s="44"/>
      <c r="CVQ41" s="44"/>
      <c r="CVR41" s="44"/>
      <c r="CVS41" s="44"/>
      <c r="CVT41" s="44"/>
      <c r="CVU41" s="44"/>
      <c r="CVV41" s="44"/>
      <c r="CVW41" s="44"/>
      <c r="CVX41" s="44"/>
      <c r="CVY41" s="44"/>
      <c r="CVZ41" s="44"/>
      <c r="CWA41" s="44"/>
      <c r="CWB41" s="44"/>
      <c r="CWC41" s="44"/>
      <c r="CWD41" s="44"/>
      <c r="CWE41" s="44"/>
      <c r="CWF41" s="44"/>
      <c r="CWG41" s="44"/>
      <c r="CWH41" s="44"/>
      <c r="CWI41" s="44"/>
      <c r="CWJ41" s="44"/>
      <c r="CWK41" s="44"/>
      <c r="CWL41" s="44"/>
      <c r="CWM41" s="44"/>
      <c r="CWN41" s="44"/>
      <c r="CWO41" s="44"/>
      <c r="CWP41" s="44"/>
      <c r="CWQ41" s="44"/>
      <c r="CWR41" s="44"/>
      <c r="CWS41" s="44"/>
      <c r="CWT41" s="44"/>
      <c r="CWU41" s="44"/>
      <c r="CWV41" s="44"/>
      <c r="CWW41" s="44"/>
      <c r="CWX41" s="44"/>
      <c r="CWY41" s="44"/>
      <c r="CWZ41" s="44"/>
      <c r="CXA41" s="44"/>
      <c r="CXB41" s="44"/>
      <c r="CXC41" s="44"/>
      <c r="CXD41" s="44"/>
      <c r="CXE41" s="44"/>
      <c r="CXF41" s="44"/>
      <c r="CXG41" s="44"/>
      <c r="CXH41" s="44"/>
      <c r="CXI41" s="44"/>
      <c r="CXJ41" s="44"/>
      <c r="CXK41" s="44"/>
      <c r="CXL41" s="44"/>
      <c r="CXM41" s="44"/>
      <c r="CXN41" s="44"/>
      <c r="CXO41" s="44"/>
      <c r="CXP41" s="44"/>
      <c r="CXQ41" s="44"/>
      <c r="CXR41" s="44"/>
      <c r="CXS41" s="44"/>
      <c r="CXT41" s="44"/>
      <c r="CXU41" s="44"/>
      <c r="CXV41" s="44"/>
      <c r="CXW41" s="44"/>
      <c r="CXX41" s="44"/>
      <c r="CXY41" s="44"/>
      <c r="CXZ41" s="44"/>
      <c r="CYA41" s="44"/>
      <c r="CYB41" s="44"/>
      <c r="CYC41" s="44"/>
      <c r="CYD41" s="44"/>
      <c r="CYE41" s="44"/>
      <c r="CYF41" s="44"/>
      <c r="CYG41" s="44"/>
      <c r="CYH41" s="44"/>
      <c r="CYI41" s="44"/>
      <c r="CYJ41" s="44"/>
      <c r="CYK41" s="44"/>
      <c r="CYL41" s="44"/>
      <c r="CYM41" s="44"/>
      <c r="CYN41" s="44"/>
      <c r="CYO41" s="44"/>
      <c r="CYP41" s="44"/>
      <c r="CYQ41" s="44"/>
      <c r="CYR41" s="44"/>
      <c r="CYS41" s="44"/>
      <c r="CYT41" s="44"/>
      <c r="CYU41" s="44"/>
      <c r="CYV41" s="44"/>
      <c r="CYW41" s="44"/>
      <c r="CYX41" s="44"/>
      <c r="CYY41" s="44"/>
      <c r="CYZ41" s="44"/>
      <c r="CZA41" s="44"/>
      <c r="CZB41" s="44"/>
      <c r="CZC41" s="44"/>
      <c r="CZD41" s="44"/>
      <c r="CZE41" s="44"/>
      <c r="CZF41" s="44"/>
      <c r="CZG41" s="44"/>
      <c r="CZH41" s="44"/>
      <c r="CZI41" s="44"/>
      <c r="CZJ41" s="44"/>
      <c r="CZK41" s="44"/>
      <c r="CZL41" s="44"/>
      <c r="CZM41" s="44"/>
      <c r="CZN41" s="44"/>
      <c r="CZO41" s="44"/>
      <c r="CZP41" s="44"/>
      <c r="CZQ41" s="44"/>
      <c r="CZR41" s="44"/>
      <c r="CZS41" s="44"/>
      <c r="CZT41" s="44"/>
      <c r="CZU41" s="44"/>
      <c r="CZV41" s="44"/>
      <c r="CZW41" s="44"/>
      <c r="CZX41" s="44"/>
      <c r="CZY41" s="44"/>
      <c r="CZZ41" s="44"/>
      <c r="DAA41" s="44"/>
      <c r="DAB41" s="44"/>
      <c r="DAC41" s="44"/>
      <c r="DAD41" s="44"/>
      <c r="DAE41" s="44"/>
      <c r="DAF41" s="44"/>
      <c r="DAG41" s="44"/>
      <c r="DAH41" s="44"/>
      <c r="DAI41" s="44"/>
      <c r="DAJ41" s="44"/>
      <c r="DAK41" s="44"/>
      <c r="DAL41" s="44"/>
      <c r="DAM41" s="44"/>
      <c r="DAN41" s="44"/>
      <c r="DAO41" s="44"/>
      <c r="DAP41" s="44"/>
      <c r="DAQ41" s="44"/>
      <c r="DAR41" s="44"/>
      <c r="DAS41" s="44"/>
      <c r="DAT41" s="44"/>
      <c r="DAU41" s="44"/>
      <c r="DAV41" s="44"/>
      <c r="DAW41" s="44"/>
      <c r="DAX41" s="44"/>
      <c r="DAY41" s="44"/>
      <c r="DAZ41" s="44"/>
      <c r="DBA41" s="44"/>
      <c r="DBB41" s="44"/>
      <c r="DBC41" s="44"/>
      <c r="DBD41" s="44"/>
      <c r="DBE41" s="44"/>
      <c r="DBF41" s="44"/>
      <c r="DBG41" s="44"/>
      <c r="DBH41" s="44"/>
      <c r="DBI41" s="44"/>
      <c r="DBJ41" s="44"/>
      <c r="DBK41" s="44"/>
      <c r="DBL41" s="44"/>
      <c r="DBM41" s="44"/>
      <c r="DBN41" s="44"/>
      <c r="DBO41" s="44"/>
      <c r="DBP41" s="44"/>
      <c r="DBQ41" s="44"/>
      <c r="DBR41" s="44"/>
      <c r="DBS41" s="44"/>
      <c r="DBT41" s="44"/>
      <c r="DBU41" s="44"/>
      <c r="DBV41" s="44"/>
      <c r="DBW41" s="44"/>
      <c r="DBX41" s="44"/>
      <c r="DBY41" s="44"/>
      <c r="DBZ41" s="44"/>
      <c r="DCA41" s="44"/>
      <c r="DCB41" s="44"/>
      <c r="DCC41" s="44"/>
      <c r="DCD41" s="44"/>
      <c r="DCE41" s="44"/>
      <c r="DCF41" s="44"/>
      <c r="DCG41" s="44"/>
      <c r="DCH41" s="44"/>
      <c r="DCI41" s="44"/>
      <c r="DCJ41" s="44"/>
      <c r="DCK41" s="44"/>
      <c r="DCL41" s="44"/>
      <c r="DCM41" s="44"/>
      <c r="DCN41" s="44"/>
      <c r="DCO41" s="44"/>
      <c r="DCP41" s="44"/>
      <c r="DCQ41" s="44"/>
      <c r="DCR41" s="44"/>
      <c r="DCS41" s="44"/>
      <c r="DCT41" s="44"/>
      <c r="DCU41" s="44"/>
      <c r="DCV41" s="44"/>
      <c r="DCW41" s="44"/>
      <c r="DCX41" s="44"/>
      <c r="DCY41" s="44"/>
      <c r="DCZ41" s="44"/>
      <c r="DDA41" s="44"/>
      <c r="DDB41" s="44"/>
      <c r="DDC41" s="44"/>
      <c r="DDD41" s="44"/>
      <c r="DDE41" s="44"/>
      <c r="DDF41" s="44"/>
      <c r="DDG41" s="44"/>
      <c r="DDH41" s="44"/>
      <c r="DDI41" s="44"/>
      <c r="DDJ41" s="44"/>
      <c r="DDK41" s="44"/>
      <c r="DDL41" s="44"/>
      <c r="DDM41" s="44"/>
      <c r="DDN41" s="44"/>
      <c r="DDO41" s="44"/>
      <c r="DDP41" s="44"/>
      <c r="DDQ41" s="44"/>
      <c r="DDR41" s="44"/>
      <c r="DDS41" s="44"/>
      <c r="DDT41" s="44"/>
      <c r="DDU41" s="44"/>
      <c r="DDV41" s="44"/>
      <c r="DDW41" s="44"/>
      <c r="DDX41" s="44"/>
      <c r="DDY41" s="44"/>
      <c r="DDZ41" s="44"/>
      <c r="DEA41" s="44"/>
      <c r="DEB41" s="44"/>
      <c r="DEC41" s="44"/>
      <c r="DED41" s="44"/>
      <c r="DEE41" s="44"/>
      <c r="DEF41" s="44"/>
      <c r="DEG41" s="44"/>
      <c r="DEH41" s="44"/>
      <c r="DEI41" s="44"/>
      <c r="DEJ41" s="44"/>
      <c r="DEK41" s="44"/>
      <c r="DEL41" s="44"/>
      <c r="DEM41" s="44"/>
      <c r="DEN41" s="44"/>
      <c r="DEO41" s="44"/>
      <c r="DEP41" s="44"/>
      <c r="DEQ41" s="44"/>
      <c r="DER41" s="44"/>
      <c r="DES41" s="44"/>
      <c r="DET41" s="44"/>
      <c r="DEU41" s="44"/>
      <c r="DEV41" s="44"/>
      <c r="DEW41" s="44"/>
      <c r="DEX41" s="44"/>
      <c r="DEY41" s="44"/>
      <c r="DEZ41" s="44"/>
      <c r="DFA41" s="44"/>
      <c r="DFB41" s="44"/>
      <c r="DFC41" s="44"/>
      <c r="DFD41" s="44"/>
      <c r="DFE41" s="44"/>
      <c r="DFF41" s="44"/>
      <c r="DFG41" s="44"/>
      <c r="DFH41" s="44"/>
      <c r="DFI41" s="44"/>
      <c r="DFJ41" s="44"/>
      <c r="DFK41" s="44"/>
      <c r="DFL41" s="44"/>
      <c r="DFM41" s="44"/>
      <c r="DFN41" s="44"/>
      <c r="DFO41" s="44"/>
      <c r="DFP41" s="44"/>
      <c r="DFQ41" s="44"/>
      <c r="DFR41" s="44"/>
      <c r="DFS41" s="44"/>
      <c r="DFT41" s="44"/>
      <c r="DFU41" s="44"/>
      <c r="DFV41" s="44"/>
      <c r="DFW41" s="44"/>
      <c r="DFX41" s="44"/>
      <c r="DFY41" s="44"/>
      <c r="DFZ41" s="44"/>
      <c r="DGA41" s="44"/>
      <c r="DGB41" s="44"/>
      <c r="DGC41" s="44"/>
      <c r="DGD41" s="44"/>
      <c r="DGE41" s="44"/>
      <c r="DGF41" s="44"/>
      <c r="DGG41" s="44"/>
      <c r="DGH41" s="44"/>
      <c r="DGI41" s="44"/>
      <c r="DGJ41" s="44"/>
      <c r="DGK41" s="44"/>
      <c r="DGL41" s="44"/>
      <c r="DGM41" s="44"/>
      <c r="DGN41" s="44"/>
      <c r="DGO41" s="44"/>
      <c r="DGP41" s="44"/>
      <c r="DGQ41" s="44"/>
      <c r="DGR41" s="44"/>
      <c r="DGS41" s="44"/>
      <c r="DGT41" s="44"/>
      <c r="DGU41" s="44"/>
      <c r="DGV41" s="44"/>
      <c r="DGW41" s="44"/>
      <c r="DGX41" s="44"/>
      <c r="DGY41" s="44"/>
      <c r="DGZ41" s="44"/>
      <c r="DHA41" s="44"/>
      <c r="DHB41" s="44"/>
      <c r="DHC41" s="44"/>
      <c r="DHD41" s="44"/>
      <c r="DHE41" s="44"/>
      <c r="DHF41" s="44"/>
      <c r="DHG41" s="44"/>
      <c r="DHH41" s="44"/>
      <c r="DHI41" s="44"/>
      <c r="DHJ41" s="44"/>
      <c r="DHK41" s="44"/>
      <c r="DHL41" s="44"/>
      <c r="DHM41" s="44"/>
      <c r="DHN41" s="44"/>
      <c r="DHO41" s="44"/>
      <c r="DHP41" s="44"/>
      <c r="DHQ41" s="44"/>
      <c r="DHR41" s="44"/>
      <c r="DHS41" s="44"/>
      <c r="DHT41" s="44"/>
      <c r="DHU41" s="44"/>
      <c r="DHV41" s="44"/>
      <c r="DHW41" s="44"/>
      <c r="DHX41" s="44"/>
      <c r="DHY41" s="44"/>
      <c r="DHZ41" s="44"/>
      <c r="DIA41" s="44"/>
      <c r="DIB41" s="44"/>
      <c r="DIC41" s="44"/>
      <c r="DID41" s="44"/>
      <c r="DIE41" s="44"/>
      <c r="DIF41" s="44"/>
      <c r="DIG41" s="44"/>
      <c r="DIH41" s="44"/>
      <c r="DII41" s="44"/>
      <c r="DIJ41" s="44"/>
      <c r="DIK41" s="44"/>
      <c r="DIL41" s="44"/>
      <c r="DIM41" s="44"/>
      <c r="DIN41" s="44"/>
      <c r="DIO41" s="44"/>
      <c r="DIP41" s="44"/>
      <c r="DIQ41" s="44"/>
      <c r="DIR41" s="44"/>
      <c r="DIS41" s="44"/>
      <c r="DIT41" s="44"/>
      <c r="DIU41" s="44"/>
      <c r="DIV41" s="44"/>
      <c r="DIW41" s="44"/>
      <c r="DIX41" s="44"/>
      <c r="DIY41" s="44"/>
      <c r="DIZ41" s="44"/>
      <c r="DJA41" s="44"/>
      <c r="DJB41" s="44"/>
      <c r="DJC41" s="44"/>
      <c r="DJD41" s="44"/>
      <c r="DJE41" s="44"/>
      <c r="DJF41" s="44"/>
      <c r="DJG41" s="44"/>
      <c r="DJH41" s="44"/>
      <c r="DJI41" s="44"/>
      <c r="DJJ41" s="44"/>
      <c r="DJK41" s="44"/>
      <c r="DJL41" s="44"/>
      <c r="DJM41" s="44"/>
      <c r="DJN41" s="44"/>
      <c r="DJO41" s="44"/>
      <c r="DJP41" s="44"/>
      <c r="DJQ41" s="44"/>
      <c r="DJR41" s="44"/>
      <c r="DJS41" s="44"/>
      <c r="DJT41" s="44"/>
      <c r="DJU41" s="44"/>
      <c r="DJV41" s="44"/>
      <c r="DJW41" s="44"/>
      <c r="DJX41" s="44"/>
      <c r="DJY41" s="44"/>
      <c r="DJZ41" s="44"/>
      <c r="DKA41" s="44"/>
      <c r="DKB41" s="44"/>
      <c r="DKC41" s="44"/>
      <c r="DKD41" s="44"/>
      <c r="DKE41" s="44"/>
      <c r="DKF41" s="44"/>
      <c r="DKG41" s="44"/>
      <c r="DKH41" s="44"/>
      <c r="DKI41" s="44"/>
      <c r="DKJ41" s="44"/>
      <c r="DKK41" s="44"/>
      <c r="DKL41" s="44"/>
      <c r="DKM41" s="44"/>
      <c r="DKN41" s="44"/>
      <c r="DKO41" s="44"/>
      <c r="DKP41" s="44"/>
      <c r="DKQ41" s="44"/>
      <c r="DKR41" s="44"/>
      <c r="DKS41" s="44"/>
      <c r="DKT41" s="44"/>
      <c r="DKU41" s="44"/>
      <c r="DKV41" s="44"/>
      <c r="DKW41" s="44"/>
      <c r="DKX41" s="44"/>
      <c r="DKY41" s="44"/>
      <c r="DKZ41" s="44"/>
      <c r="DLA41" s="44"/>
      <c r="DLB41" s="44"/>
      <c r="DLC41" s="44"/>
      <c r="DLD41" s="44"/>
      <c r="DLE41" s="44"/>
      <c r="DLF41" s="44"/>
      <c r="DLG41" s="44"/>
      <c r="DLH41" s="44"/>
      <c r="DLI41" s="44"/>
      <c r="DLJ41" s="44"/>
      <c r="DLK41" s="44"/>
      <c r="DLL41" s="44"/>
      <c r="DLM41" s="44"/>
      <c r="DLN41" s="44"/>
      <c r="DLO41" s="44"/>
      <c r="DLP41" s="44"/>
      <c r="DLQ41" s="44"/>
      <c r="DLR41" s="44"/>
      <c r="DLS41" s="44"/>
      <c r="DLT41" s="44"/>
      <c r="DLU41" s="44"/>
      <c r="DLV41" s="44"/>
      <c r="DLW41" s="44"/>
      <c r="DLX41" s="44"/>
      <c r="DLY41" s="44"/>
      <c r="DLZ41" s="44"/>
      <c r="DMA41" s="44"/>
      <c r="DMB41" s="44"/>
      <c r="DMC41" s="44"/>
      <c r="DMD41" s="44"/>
      <c r="DME41" s="44"/>
      <c r="DMF41" s="44"/>
      <c r="DMG41" s="44"/>
      <c r="DMH41" s="44"/>
      <c r="DMI41" s="44"/>
      <c r="DMJ41" s="44"/>
      <c r="DMK41" s="44"/>
      <c r="DML41" s="44"/>
      <c r="DMM41" s="44"/>
      <c r="DMN41" s="44"/>
      <c r="DMO41" s="44"/>
      <c r="DMP41" s="44"/>
      <c r="DMQ41" s="44"/>
      <c r="DMR41" s="44"/>
      <c r="DMS41" s="44"/>
      <c r="DMT41" s="44"/>
      <c r="DMU41" s="44"/>
      <c r="DMV41" s="44"/>
      <c r="DMW41" s="44"/>
      <c r="DMX41" s="44"/>
      <c r="DMY41" s="44"/>
      <c r="DMZ41" s="44"/>
      <c r="DNA41" s="44"/>
      <c r="DNB41" s="44"/>
      <c r="DNC41" s="44"/>
      <c r="DND41" s="44"/>
      <c r="DNE41" s="44"/>
      <c r="DNF41" s="44"/>
      <c r="DNG41" s="44"/>
      <c r="DNH41" s="44"/>
      <c r="DNI41" s="44"/>
      <c r="DNJ41" s="44"/>
      <c r="DNK41" s="44"/>
      <c r="DNL41" s="44"/>
      <c r="DNM41" s="44"/>
      <c r="DNN41" s="44"/>
      <c r="DNO41" s="44"/>
      <c r="DNP41" s="44"/>
      <c r="DNQ41" s="44"/>
      <c r="DNR41" s="44"/>
      <c r="DNS41" s="44"/>
      <c r="DNT41" s="44"/>
      <c r="DNU41" s="44"/>
      <c r="DNV41" s="44"/>
      <c r="DNW41" s="44"/>
      <c r="DNX41" s="44"/>
      <c r="DNY41" s="44"/>
      <c r="DNZ41" s="44"/>
      <c r="DOA41" s="44"/>
      <c r="DOB41" s="44"/>
      <c r="DOC41" s="44"/>
      <c r="DOD41" s="44"/>
      <c r="DOE41" s="44"/>
      <c r="DOF41" s="44"/>
      <c r="DOG41" s="44"/>
      <c r="DOH41" s="44"/>
      <c r="DOI41" s="44"/>
      <c r="DOJ41" s="44"/>
      <c r="DOK41" s="44"/>
      <c r="DOL41" s="44"/>
      <c r="DOM41" s="44"/>
      <c r="DON41" s="44"/>
      <c r="DOO41" s="44"/>
      <c r="DOP41" s="44"/>
      <c r="DOQ41" s="44"/>
      <c r="DOR41" s="44"/>
      <c r="DOS41" s="44"/>
      <c r="DOT41" s="44"/>
      <c r="DOU41" s="44"/>
      <c r="DOV41" s="44"/>
      <c r="DOW41" s="44"/>
      <c r="DOX41" s="44"/>
      <c r="DOY41" s="44"/>
      <c r="DOZ41" s="44"/>
      <c r="DPA41" s="44"/>
      <c r="DPB41" s="44"/>
      <c r="DPC41" s="44"/>
      <c r="DPD41" s="44"/>
      <c r="DPE41" s="44"/>
      <c r="DPF41" s="44"/>
      <c r="DPG41" s="44"/>
      <c r="DPH41" s="44"/>
      <c r="DPI41" s="44"/>
      <c r="DPJ41" s="44"/>
      <c r="DPK41" s="44"/>
      <c r="DPL41" s="44"/>
      <c r="DPM41" s="44"/>
      <c r="DPN41" s="44"/>
      <c r="DPO41" s="44"/>
      <c r="DPP41" s="44"/>
      <c r="DPQ41" s="44"/>
      <c r="DPR41" s="44"/>
      <c r="DPS41" s="44"/>
      <c r="DPT41" s="44"/>
      <c r="DPU41" s="44"/>
      <c r="DPV41" s="44"/>
      <c r="DPW41" s="44"/>
      <c r="DPX41" s="44"/>
      <c r="DPY41" s="44"/>
      <c r="DPZ41" s="44"/>
      <c r="DQA41" s="44"/>
      <c r="DQB41" s="44"/>
      <c r="DQC41" s="44"/>
      <c r="DQD41" s="44"/>
      <c r="DQE41" s="44"/>
      <c r="DQF41" s="44"/>
      <c r="DQG41" s="44"/>
      <c r="DQH41" s="44"/>
      <c r="DQI41" s="44"/>
      <c r="DQJ41" s="44"/>
      <c r="DQK41" s="44"/>
      <c r="DQL41" s="44"/>
      <c r="DQM41" s="44"/>
      <c r="DQN41" s="44"/>
      <c r="DQO41" s="44"/>
      <c r="DQP41" s="44"/>
      <c r="DQQ41" s="44"/>
      <c r="DQR41" s="44"/>
      <c r="DQS41" s="44"/>
      <c r="DQT41" s="44"/>
      <c r="DQU41" s="44"/>
      <c r="DQV41" s="44"/>
      <c r="DQW41" s="44"/>
      <c r="DQX41" s="44"/>
      <c r="DQY41" s="44"/>
      <c r="DQZ41" s="44"/>
      <c r="DRA41" s="44"/>
      <c r="DRB41" s="44"/>
      <c r="DRC41" s="44"/>
      <c r="DRD41" s="44"/>
      <c r="DRE41" s="44"/>
      <c r="DRF41" s="44"/>
      <c r="DRG41" s="44"/>
      <c r="DRH41" s="44"/>
      <c r="DRI41" s="44"/>
      <c r="DRJ41" s="44"/>
      <c r="DRK41" s="44"/>
      <c r="DRL41" s="44"/>
      <c r="DRM41" s="44"/>
      <c r="DRN41" s="44"/>
      <c r="DRO41" s="44"/>
      <c r="DRP41" s="44"/>
      <c r="DRQ41" s="44"/>
      <c r="DRR41" s="44"/>
      <c r="DRS41" s="44"/>
      <c r="DRT41" s="44"/>
      <c r="DRU41" s="44"/>
      <c r="DRV41" s="44"/>
      <c r="DRW41" s="44"/>
      <c r="DRX41" s="44"/>
      <c r="DRY41" s="44"/>
      <c r="DRZ41" s="44"/>
      <c r="DSA41" s="44"/>
      <c r="DSB41" s="44"/>
      <c r="DSC41" s="44"/>
      <c r="DSD41" s="44"/>
      <c r="DSE41" s="44"/>
      <c r="DSF41" s="44"/>
      <c r="DSG41" s="44"/>
      <c r="DSH41" s="44"/>
      <c r="DSI41" s="44"/>
      <c r="DSJ41" s="44"/>
      <c r="DSK41" s="44"/>
      <c r="DSL41" s="44"/>
      <c r="DSM41" s="44"/>
      <c r="DSN41" s="44"/>
      <c r="DSO41" s="44"/>
      <c r="DSP41" s="44"/>
      <c r="DSQ41" s="44"/>
      <c r="DSR41" s="44"/>
      <c r="DSS41" s="44"/>
      <c r="DST41" s="44"/>
      <c r="DSU41" s="44"/>
      <c r="DSV41" s="44"/>
      <c r="DSW41" s="44"/>
      <c r="DSX41" s="44"/>
      <c r="DSY41" s="44"/>
      <c r="DSZ41" s="44"/>
      <c r="DTA41" s="44"/>
      <c r="DTB41" s="44"/>
      <c r="DTC41" s="44"/>
      <c r="DTD41" s="44"/>
      <c r="DTE41" s="44"/>
      <c r="DTF41" s="44"/>
      <c r="DTG41" s="44"/>
      <c r="DTH41" s="44"/>
      <c r="DTI41" s="44"/>
      <c r="DTJ41" s="44"/>
      <c r="DTK41" s="44"/>
      <c r="DTL41" s="44"/>
      <c r="DTM41" s="44"/>
      <c r="DTN41" s="44"/>
      <c r="DTO41" s="44"/>
      <c r="DTP41" s="44"/>
      <c r="DTQ41" s="44"/>
      <c r="DTR41" s="44"/>
      <c r="DTS41" s="44"/>
      <c r="DTT41" s="44"/>
      <c r="DTU41" s="44"/>
      <c r="DTV41" s="44"/>
      <c r="DTW41" s="44"/>
      <c r="DTX41" s="44"/>
      <c r="DTY41" s="44"/>
      <c r="DTZ41" s="44"/>
      <c r="DUA41" s="44"/>
      <c r="DUB41" s="44"/>
      <c r="DUC41" s="44"/>
      <c r="DUD41" s="44"/>
      <c r="DUE41" s="44"/>
      <c r="DUF41" s="44"/>
      <c r="DUG41" s="44"/>
      <c r="DUH41" s="44"/>
      <c r="DUI41" s="44"/>
      <c r="DUJ41" s="44"/>
      <c r="DUK41" s="44"/>
      <c r="DUL41" s="44"/>
      <c r="DUM41" s="44"/>
      <c r="DUN41" s="44"/>
      <c r="DUO41" s="44"/>
      <c r="DUP41" s="44"/>
      <c r="DUQ41" s="44"/>
      <c r="DUR41" s="44"/>
      <c r="DUS41" s="44"/>
      <c r="DUT41" s="44"/>
      <c r="DUU41" s="44"/>
      <c r="DUV41" s="44"/>
      <c r="DUW41" s="44"/>
      <c r="DUX41" s="44"/>
      <c r="DUY41" s="44"/>
      <c r="DUZ41" s="44"/>
      <c r="DVA41" s="44"/>
      <c r="DVB41" s="44"/>
      <c r="DVC41" s="44"/>
      <c r="DVD41" s="44"/>
      <c r="DVE41" s="44"/>
      <c r="DVF41" s="44"/>
      <c r="DVG41" s="44"/>
      <c r="DVH41" s="44"/>
      <c r="DVI41" s="44"/>
      <c r="DVJ41" s="44"/>
      <c r="DVK41" s="44"/>
      <c r="DVL41" s="44"/>
      <c r="DVM41" s="44"/>
      <c r="DVN41" s="44"/>
      <c r="DVO41" s="44"/>
      <c r="DVP41" s="44"/>
      <c r="DVQ41" s="44"/>
      <c r="DVR41" s="44"/>
      <c r="DVS41" s="44"/>
      <c r="DVT41" s="44"/>
      <c r="DVU41" s="44"/>
      <c r="DVV41" s="44"/>
      <c r="DVW41" s="44"/>
      <c r="DVX41" s="44"/>
      <c r="DVY41" s="44"/>
      <c r="DVZ41" s="44"/>
      <c r="DWA41" s="44"/>
      <c r="DWB41" s="44"/>
      <c r="DWC41" s="44"/>
      <c r="DWD41" s="44"/>
      <c r="DWE41" s="44"/>
      <c r="DWF41" s="44"/>
      <c r="DWG41" s="44"/>
      <c r="DWH41" s="44"/>
      <c r="DWI41" s="44"/>
      <c r="DWJ41" s="44"/>
      <c r="DWK41" s="44"/>
      <c r="DWL41" s="44"/>
      <c r="DWM41" s="44"/>
      <c r="DWN41" s="44"/>
      <c r="DWO41" s="44"/>
      <c r="DWP41" s="44"/>
      <c r="DWQ41" s="44"/>
      <c r="DWR41" s="44"/>
      <c r="DWS41" s="44"/>
      <c r="DWT41" s="44"/>
      <c r="DWU41" s="44"/>
      <c r="DWV41" s="44"/>
      <c r="DWW41" s="44"/>
      <c r="DWX41" s="44"/>
      <c r="DWY41" s="44"/>
      <c r="DWZ41" s="44"/>
      <c r="DXA41" s="44"/>
      <c r="DXB41" s="44"/>
      <c r="DXC41" s="44"/>
      <c r="DXD41" s="44"/>
      <c r="DXE41" s="44"/>
      <c r="DXF41" s="44"/>
      <c r="DXG41" s="44"/>
      <c r="DXH41" s="44"/>
      <c r="DXI41" s="44"/>
      <c r="DXJ41" s="44"/>
      <c r="DXK41" s="44"/>
      <c r="DXL41" s="44"/>
      <c r="DXM41" s="44"/>
      <c r="DXN41" s="44"/>
      <c r="DXO41" s="44"/>
      <c r="DXP41" s="44"/>
      <c r="DXQ41" s="44"/>
      <c r="DXR41" s="44"/>
      <c r="DXS41" s="44"/>
      <c r="DXT41" s="44"/>
      <c r="DXU41" s="44"/>
      <c r="DXV41" s="44"/>
      <c r="DXW41" s="44"/>
      <c r="DXX41" s="44"/>
      <c r="DXY41" s="44"/>
      <c r="DXZ41" s="44"/>
      <c r="DYA41" s="44"/>
      <c r="DYB41" s="44"/>
      <c r="DYC41" s="44"/>
      <c r="DYD41" s="44"/>
      <c r="DYE41" s="44"/>
      <c r="DYF41" s="44"/>
      <c r="DYG41" s="44"/>
      <c r="DYH41" s="44"/>
      <c r="DYI41" s="44"/>
      <c r="DYJ41" s="44"/>
      <c r="DYK41" s="44"/>
      <c r="DYL41" s="44"/>
      <c r="DYM41" s="44"/>
      <c r="DYN41" s="44"/>
      <c r="DYO41" s="44"/>
      <c r="DYP41" s="44"/>
      <c r="DYQ41" s="44"/>
      <c r="DYR41" s="44"/>
      <c r="DYS41" s="44"/>
      <c r="DYT41" s="44"/>
      <c r="DYU41" s="44"/>
      <c r="DYV41" s="44"/>
      <c r="DYW41" s="44"/>
      <c r="DYX41" s="44"/>
      <c r="DYY41" s="44"/>
      <c r="DYZ41" s="44"/>
      <c r="DZA41" s="44"/>
      <c r="DZB41" s="44"/>
      <c r="DZC41" s="44"/>
      <c r="DZD41" s="44"/>
      <c r="DZE41" s="44"/>
      <c r="DZF41" s="44"/>
      <c r="DZG41" s="44"/>
      <c r="DZH41" s="44"/>
      <c r="DZI41" s="44"/>
      <c r="DZJ41" s="44"/>
      <c r="DZK41" s="44"/>
      <c r="DZL41" s="44"/>
      <c r="DZM41" s="44"/>
      <c r="DZN41" s="44"/>
      <c r="DZO41" s="44"/>
      <c r="DZP41" s="44"/>
      <c r="DZQ41" s="44"/>
      <c r="DZR41" s="44"/>
      <c r="DZS41" s="44"/>
      <c r="DZT41" s="44"/>
      <c r="DZU41" s="44"/>
      <c r="DZV41" s="44"/>
      <c r="DZW41" s="44"/>
      <c r="DZX41" s="44"/>
      <c r="DZY41" s="44"/>
      <c r="DZZ41" s="44"/>
      <c r="EAA41" s="44"/>
      <c r="EAB41" s="44"/>
      <c r="EAC41" s="44"/>
      <c r="EAD41" s="44"/>
      <c r="EAE41" s="44"/>
      <c r="EAF41" s="44"/>
      <c r="EAG41" s="44"/>
      <c r="EAH41" s="44"/>
      <c r="EAI41" s="44"/>
      <c r="EAJ41" s="44"/>
      <c r="EAK41" s="44"/>
      <c r="EAL41" s="44"/>
      <c r="EAM41" s="44"/>
      <c r="EAN41" s="44"/>
      <c r="EAO41" s="44"/>
      <c r="EAP41" s="44"/>
      <c r="EAQ41" s="44"/>
      <c r="EAR41" s="44"/>
      <c r="EAS41" s="44"/>
      <c r="EAT41" s="44"/>
      <c r="EAU41" s="44"/>
      <c r="EAV41" s="44"/>
      <c r="EAW41" s="44"/>
      <c r="EAX41" s="44"/>
      <c r="EAY41" s="44"/>
      <c r="EAZ41" s="44"/>
      <c r="EBA41" s="44"/>
      <c r="EBB41" s="44"/>
      <c r="EBC41" s="44"/>
      <c r="EBD41" s="44"/>
      <c r="EBE41" s="44"/>
      <c r="EBF41" s="44"/>
      <c r="EBG41" s="44"/>
      <c r="EBH41" s="44"/>
      <c r="EBI41" s="44"/>
      <c r="EBJ41" s="44"/>
      <c r="EBK41" s="44"/>
      <c r="EBL41" s="44"/>
      <c r="EBM41" s="44"/>
      <c r="EBN41" s="44"/>
      <c r="EBO41" s="44"/>
      <c r="EBP41" s="44"/>
      <c r="EBQ41" s="44"/>
      <c r="EBR41" s="44"/>
      <c r="EBS41" s="44"/>
      <c r="EBT41" s="44"/>
      <c r="EBU41" s="44"/>
      <c r="EBV41" s="44"/>
      <c r="EBW41" s="44"/>
      <c r="EBX41" s="44"/>
      <c r="EBY41" s="44"/>
      <c r="EBZ41" s="44"/>
      <c r="ECA41" s="44"/>
      <c r="ECB41" s="44"/>
      <c r="ECC41" s="44"/>
      <c r="ECD41" s="44"/>
      <c r="ECE41" s="44"/>
      <c r="ECF41" s="44"/>
      <c r="ECG41" s="44"/>
      <c r="ECH41" s="44"/>
      <c r="ECI41" s="44"/>
      <c r="ECJ41" s="44"/>
      <c r="ECK41" s="44"/>
      <c r="ECL41" s="44"/>
      <c r="ECM41" s="44"/>
      <c r="ECN41" s="44"/>
      <c r="ECO41" s="44"/>
      <c r="ECP41" s="44"/>
      <c r="ECQ41" s="44"/>
      <c r="ECR41" s="44"/>
      <c r="ECS41" s="44"/>
      <c r="ECT41" s="44"/>
      <c r="ECU41" s="44"/>
      <c r="ECV41" s="44"/>
      <c r="ECW41" s="44"/>
      <c r="ECX41" s="44"/>
      <c r="ECY41" s="44"/>
      <c r="ECZ41" s="44"/>
      <c r="EDA41" s="44"/>
      <c r="EDB41" s="44"/>
      <c r="EDC41" s="44"/>
      <c r="EDD41" s="44"/>
      <c r="EDE41" s="44"/>
      <c r="EDF41" s="44"/>
      <c r="EDG41" s="44"/>
      <c r="EDH41" s="44"/>
      <c r="EDI41" s="44"/>
      <c r="EDJ41" s="44"/>
      <c r="EDK41" s="44"/>
      <c r="EDL41" s="44"/>
      <c r="EDM41" s="44"/>
      <c r="EDN41" s="44"/>
      <c r="EDO41" s="44"/>
      <c r="EDP41" s="44"/>
      <c r="EDQ41" s="44"/>
      <c r="EDR41" s="44"/>
      <c r="EDS41" s="44"/>
      <c r="EDT41" s="44"/>
      <c r="EDU41" s="44"/>
      <c r="EDV41" s="44"/>
      <c r="EDW41" s="44"/>
      <c r="EDX41" s="44"/>
      <c r="EDY41" s="44"/>
      <c r="EDZ41" s="44"/>
      <c r="EEA41" s="44"/>
      <c r="EEB41" s="44"/>
      <c r="EEC41" s="44"/>
      <c r="EED41" s="44"/>
      <c r="EEE41" s="44"/>
      <c r="EEF41" s="44"/>
      <c r="EEG41" s="44"/>
      <c r="EEH41" s="44"/>
      <c r="EEI41" s="44"/>
      <c r="EEJ41" s="44"/>
      <c r="EEK41" s="44"/>
      <c r="EEL41" s="44"/>
      <c r="EEM41" s="44"/>
      <c r="EEN41" s="44"/>
      <c r="EEO41" s="44"/>
      <c r="EEP41" s="44"/>
      <c r="EEQ41" s="44"/>
      <c r="EER41" s="44"/>
      <c r="EES41" s="44"/>
      <c r="EET41" s="44"/>
      <c r="EEU41" s="44"/>
      <c r="EEV41" s="44"/>
      <c r="EEW41" s="44"/>
      <c r="EEX41" s="44"/>
      <c r="EEY41" s="44"/>
      <c r="EEZ41" s="44"/>
      <c r="EFA41" s="44"/>
      <c r="EFB41" s="44"/>
      <c r="EFC41" s="44"/>
      <c r="EFD41" s="44"/>
      <c r="EFE41" s="44"/>
      <c r="EFF41" s="44"/>
      <c r="EFG41" s="44"/>
      <c r="EFH41" s="44"/>
      <c r="EFI41" s="44"/>
      <c r="EFJ41" s="44"/>
      <c r="EFK41" s="44"/>
      <c r="EFL41" s="44"/>
      <c r="EFM41" s="44"/>
      <c r="EFN41" s="44"/>
      <c r="EFO41" s="44"/>
      <c r="EFP41" s="44"/>
      <c r="EFQ41" s="44"/>
      <c r="EFR41" s="44"/>
      <c r="EFS41" s="44"/>
      <c r="EFT41" s="44"/>
      <c r="EFU41" s="44"/>
      <c r="EFV41" s="44"/>
      <c r="EFW41" s="44"/>
      <c r="EFX41" s="44"/>
      <c r="EFY41" s="44"/>
      <c r="EFZ41" s="44"/>
      <c r="EGA41" s="44"/>
      <c r="EGB41" s="44"/>
      <c r="EGC41" s="44"/>
      <c r="EGD41" s="44"/>
      <c r="EGE41" s="44"/>
      <c r="EGF41" s="44"/>
      <c r="EGG41" s="44"/>
      <c r="EGH41" s="44"/>
      <c r="EGI41" s="44"/>
      <c r="EGJ41" s="44"/>
      <c r="EGK41" s="44"/>
      <c r="EGL41" s="44"/>
      <c r="EGM41" s="44"/>
      <c r="EGN41" s="44"/>
      <c r="EGO41" s="44"/>
      <c r="EGP41" s="44"/>
      <c r="EGQ41" s="44"/>
      <c r="EGR41" s="44"/>
      <c r="EGS41" s="44"/>
      <c r="EGT41" s="44"/>
      <c r="EGU41" s="44"/>
      <c r="EGV41" s="44"/>
      <c r="EGW41" s="44"/>
      <c r="EGX41" s="44"/>
      <c r="EGY41" s="44"/>
      <c r="EGZ41" s="44"/>
      <c r="EHA41" s="44"/>
      <c r="EHB41" s="44"/>
      <c r="EHC41" s="44"/>
      <c r="EHD41" s="44"/>
      <c r="EHE41" s="44"/>
      <c r="EHF41" s="44"/>
      <c r="EHG41" s="44"/>
      <c r="EHH41" s="44"/>
      <c r="EHI41" s="44"/>
      <c r="EHJ41" s="44"/>
      <c r="EHK41" s="44"/>
      <c r="EHL41" s="44"/>
      <c r="EHM41" s="44"/>
      <c r="EHN41" s="44"/>
      <c r="EHO41" s="44"/>
      <c r="EHP41" s="44"/>
      <c r="EHQ41" s="44"/>
      <c r="EHR41" s="44"/>
      <c r="EHS41" s="44"/>
      <c r="EHT41" s="44"/>
      <c r="EHU41" s="44"/>
      <c r="EHV41" s="44"/>
      <c r="EHW41" s="44"/>
      <c r="EHX41" s="44"/>
      <c r="EHY41" s="44"/>
      <c r="EHZ41" s="44"/>
      <c r="EIA41" s="44"/>
      <c r="EIB41" s="44"/>
      <c r="EIC41" s="44"/>
      <c r="EID41" s="44"/>
      <c r="EIE41" s="44"/>
      <c r="EIF41" s="44"/>
      <c r="EIG41" s="44"/>
      <c r="EIH41" s="44"/>
      <c r="EII41" s="44"/>
      <c r="EIJ41" s="44"/>
      <c r="EIK41" s="44"/>
      <c r="EIL41" s="44"/>
      <c r="EIM41" s="44"/>
      <c r="EIN41" s="44"/>
      <c r="EIO41" s="44"/>
      <c r="EIP41" s="44"/>
      <c r="EIQ41" s="44"/>
      <c r="EIR41" s="44"/>
      <c r="EIS41" s="44"/>
      <c r="EIT41" s="44"/>
      <c r="EIU41" s="44"/>
      <c r="EIV41" s="44"/>
      <c r="EIW41" s="44"/>
      <c r="EIX41" s="44"/>
      <c r="EIY41" s="44"/>
      <c r="EIZ41" s="44"/>
      <c r="EJA41" s="44"/>
      <c r="EJB41" s="44"/>
      <c r="EJC41" s="44"/>
      <c r="EJD41" s="44"/>
      <c r="EJE41" s="44"/>
      <c r="EJF41" s="44"/>
      <c r="EJG41" s="44"/>
      <c r="EJH41" s="44"/>
      <c r="EJI41" s="44"/>
      <c r="EJJ41" s="44"/>
      <c r="EJK41" s="44"/>
      <c r="EJL41" s="44"/>
      <c r="EJM41" s="44"/>
      <c r="EJN41" s="44"/>
      <c r="EJO41" s="44"/>
      <c r="EJP41" s="44"/>
      <c r="EJQ41" s="44"/>
      <c r="EJR41" s="44"/>
      <c r="EJS41" s="44"/>
      <c r="EJT41" s="44"/>
      <c r="EJU41" s="44"/>
      <c r="EJV41" s="44"/>
      <c r="EJW41" s="44"/>
      <c r="EJX41" s="44"/>
      <c r="EJY41" s="44"/>
      <c r="EJZ41" s="44"/>
      <c r="EKA41" s="44"/>
      <c r="EKB41" s="44"/>
      <c r="EKC41" s="44"/>
      <c r="EKD41" s="44"/>
      <c r="EKE41" s="44"/>
      <c r="EKF41" s="44"/>
      <c r="EKG41" s="44"/>
      <c r="EKH41" s="44"/>
      <c r="EKI41" s="44"/>
      <c r="EKJ41" s="44"/>
      <c r="EKK41" s="44"/>
      <c r="EKL41" s="44"/>
      <c r="EKM41" s="44"/>
      <c r="EKN41" s="44"/>
      <c r="EKO41" s="44"/>
      <c r="EKP41" s="44"/>
      <c r="EKQ41" s="44"/>
      <c r="EKR41" s="44"/>
      <c r="EKS41" s="44"/>
      <c r="EKT41" s="44"/>
      <c r="EKU41" s="44"/>
      <c r="EKV41" s="44"/>
      <c r="EKW41" s="44"/>
      <c r="EKX41" s="44"/>
      <c r="EKY41" s="44"/>
      <c r="EKZ41" s="44"/>
      <c r="ELA41" s="44"/>
      <c r="ELB41" s="44"/>
      <c r="ELC41" s="44"/>
      <c r="ELD41" s="44"/>
      <c r="ELE41" s="44"/>
      <c r="ELF41" s="44"/>
      <c r="ELG41" s="44"/>
      <c r="ELH41" s="44"/>
      <c r="ELI41" s="44"/>
      <c r="ELJ41" s="44"/>
      <c r="ELK41" s="44"/>
      <c r="ELL41" s="44"/>
      <c r="ELM41" s="44"/>
      <c r="ELN41" s="44"/>
      <c r="ELO41" s="44"/>
      <c r="ELP41" s="44"/>
      <c r="ELQ41" s="44"/>
      <c r="ELR41" s="44"/>
      <c r="ELS41" s="44"/>
      <c r="ELT41" s="44"/>
      <c r="ELU41" s="44"/>
      <c r="ELV41" s="44"/>
      <c r="ELW41" s="44"/>
      <c r="ELX41" s="44"/>
      <c r="ELY41" s="44"/>
      <c r="ELZ41" s="44"/>
      <c r="EMA41" s="44"/>
      <c r="EMB41" s="44"/>
      <c r="EMC41" s="44"/>
      <c r="EMD41" s="44"/>
      <c r="EME41" s="44"/>
      <c r="EMF41" s="44"/>
      <c r="EMG41" s="44"/>
      <c r="EMH41" s="44"/>
      <c r="EMI41" s="44"/>
      <c r="EMJ41" s="44"/>
      <c r="EMK41" s="44"/>
      <c r="EML41" s="44"/>
      <c r="EMM41" s="44"/>
      <c r="EMN41" s="44"/>
      <c r="EMO41" s="44"/>
      <c r="EMP41" s="44"/>
      <c r="EMQ41" s="44"/>
      <c r="EMR41" s="44"/>
      <c r="EMS41" s="44"/>
      <c r="EMT41" s="44"/>
      <c r="EMU41" s="44"/>
      <c r="EMV41" s="44"/>
      <c r="EMW41" s="44"/>
      <c r="EMX41" s="44"/>
      <c r="EMY41" s="44"/>
      <c r="EMZ41" s="44"/>
      <c r="ENA41" s="44"/>
      <c r="ENB41" s="44"/>
      <c r="ENC41" s="44"/>
      <c r="END41" s="44"/>
      <c r="ENE41" s="44"/>
      <c r="ENF41" s="44"/>
      <c r="ENG41" s="44"/>
      <c r="ENH41" s="44"/>
      <c r="ENI41" s="44"/>
      <c r="ENJ41" s="44"/>
      <c r="ENK41" s="44"/>
      <c r="ENL41" s="44"/>
      <c r="ENM41" s="44"/>
      <c r="ENN41" s="44"/>
      <c r="ENO41" s="44"/>
      <c r="ENP41" s="44"/>
      <c r="ENQ41" s="44"/>
      <c r="ENR41" s="44"/>
      <c r="ENS41" s="44"/>
      <c r="ENT41" s="44"/>
      <c r="ENU41" s="44"/>
      <c r="ENV41" s="44"/>
      <c r="ENW41" s="44"/>
      <c r="ENX41" s="44"/>
      <c r="ENY41" s="44"/>
      <c r="ENZ41" s="44"/>
      <c r="EOA41" s="44"/>
      <c r="EOB41" s="44"/>
      <c r="EOC41" s="44"/>
      <c r="EOD41" s="44"/>
      <c r="EOE41" s="44"/>
      <c r="EOF41" s="44"/>
      <c r="EOG41" s="44"/>
      <c r="EOH41" s="44"/>
      <c r="EOI41" s="44"/>
      <c r="EOJ41" s="44"/>
      <c r="EOK41" s="44"/>
      <c r="EOL41" s="44"/>
      <c r="EOM41" s="44"/>
      <c r="EON41" s="44"/>
      <c r="EOO41" s="44"/>
      <c r="EOP41" s="44"/>
      <c r="EOQ41" s="44"/>
      <c r="EOR41" s="44"/>
      <c r="EOS41" s="44"/>
      <c r="EOT41" s="44"/>
      <c r="EOU41" s="44"/>
      <c r="EOV41" s="44"/>
      <c r="EOW41" s="44"/>
      <c r="EOX41" s="44"/>
      <c r="EOY41" s="44"/>
      <c r="EOZ41" s="44"/>
      <c r="EPA41" s="44"/>
      <c r="EPB41" s="44"/>
      <c r="EPC41" s="44"/>
      <c r="EPD41" s="44"/>
      <c r="EPE41" s="44"/>
      <c r="EPF41" s="44"/>
      <c r="EPG41" s="44"/>
      <c r="EPH41" s="44"/>
      <c r="EPI41" s="44"/>
      <c r="EPJ41" s="44"/>
      <c r="EPK41" s="44"/>
      <c r="EPL41" s="44"/>
      <c r="EPM41" s="44"/>
      <c r="EPN41" s="44"/>
      <c r="EPO41" s="44"/>
      <c r="EPP41" s="44"/>
      <c r="EPQ41" s="44"/>
      <c r="EPR41" s="44"/>
      <c r="EPS41" s="44"/>
      <c r="EPT41" s="44"/>
      <c r="EPU41" s="44"/>
      <c r="EPV41" s="44"/>
      <c r="EPW41" s="44"/>
      <c r="EPX41" s="44"/>
      <c r="EPY41" s="44"/>
      <c r="EPZ41" s="44"/>
      <c r="EQA41" s="44"/>
      <c r="EQB41" s="44"/>
      <c r="EQC41" s="44"/>
      <c r="EQD41" s="44"/>
      <c r="EQE41" s="44"/>
      <c r="EQF41" s="44"/>
      <c r="EQG41" s="44"/>
      <c r="EQH41" s="44"/>
      <c r="EQI41" s="44"/>
      <c r="EQJ41" s="44"/>
      <c r="EQK41" s="44"/>
      <c r="EQL41" s="44"/>
      <c r="EQM41" s="44"/>
      <c r="EQN41" s="44"/>
      <c r="EQO41" s="44"/>
      <c r="EQP41" s="44"/>
      <c r="EQQ41" s="44"/>
      <c r="EQR41" s="44"/>
      <c r="EQS41" s="44"/>
      <c r="EQT41" s="44"/>
      <c r="EQU41" s="44"/>
      <c r="EQV41" s="44"/>
      <c r="EQW41" s="44"/>
      <c r="EQX41" s="44"/>
      <c r="EQY41" s="44"/>
      <c r="EQZ41" s="44"/>
      <c r="ERA41" s="44"/>
      <c r="ERB41" s="44"/>
      <c r="ERC41" s="44"/>
      <c r="ERD41" s="44"/>
      <c r="ERE41" s="44"/>
      <c r="ERF41" s="44"/>
      <c r="ERG41" s="44"/>
      <c r="ERH41" s="44"/>
      <c r="ERI41" s="44"/>
      <c r="ERJ41" s="44"/>
      <c r="ERK41" s="44"/>
      <c r="ERL41" s="44"/>
      <c r="ERM41" s="44"/>
      <c r="ERN41" s="44"/>
      <c r="ERO41" s="44"/>
      <c r="ERP41" s="44"/>
      <c r="ERQ41" s="44"/>
      <c r="ERR41" s="44"/>
      <c r="ERS41" s="44"/>
      <c r="ERT41" s="44"/>
      <c r="ERU41" s="44"/>
      <c r="ERV41" s="44"/>
      <c r="ERW41" s="44"/>
      <c r="ERX41" s="44"/>
      <c r="ERY41" s="44"/>
      <c r="ERZ41" s="44"/>
      <c r="ESA41" s="44"/>
      <c r="ESB41" s="44"/>
      <c r="ESC41" s="44"/>
      <c r="ESD41" s="44"/>
      <c r="ESE41" s="44"/>
      <c r="ESF41" s="44"/>
      <c r="ESG41" s="44"/>
      <c r="ESH41" s="44"/>
      <c r="ESI41" s="44"/>
      <c r="ESJ41" s="44"/>
      <c r="ESK41" s="44"/>
      <c r="ESL41" s="44"/>
      <c r="ESM41" s="44"/>
      <c r="ESN41" s="44"/>
      <c r="ESO41" s="44"/>
      <c r="ESP41" s="44"/>
      <c r="ESQ41" s="44"/>
      <c r="ESR41" s="44"/>
      <c r="ESS41" s="44"/>
      <c r="EST41" s="44"/>
      <c r="ESU41" s="44"/>
      <c r="ESV41" s="44"/>
      <c r="ESW41" s="44"/>
      <c r="ESX41" s="44"/>
      <c r="ESY41" s="44"/>
      <c r="ESZ41" s="44"/>
      <c r="ETA41" s="44"/>
      <c r="ETB41" s="44"/>
      <c r="ETC41" s="44"/>
      <c r="ETD41" s="44"/>
      <c r="ETE41" s="44"/>
      <c r="ETF41" s="44"/>
      <c r="ETG41" s="44"/>
      <c r="ETH41" s="44"/>
      <c r="ETI41" s="44"/>
      <c r="ETJ41" s="44"/>
      <c r="ETK41" s="44"/>
      <c r="ETL41" s="44"/>
      <c r="ETM41" s="44"/>
      <c r="ETN41" s="44"/>
      <c r="ETO41" s="44"/>
      <c r="ETP41" s="44"/>
      <c r="ETQ41" s="44"/>
      <c r="ETR41" s="44"/>
      <c r="ETS41" s="44"/>
      <c r="ETT41" s="44"/>
      <c r="ETU41" s="44"/>
      <c r="ETV41" s="44"/>
      <c r="ETW41" s="44"/>
      <c r="ETX41" s="44"/>
      <c r="ETY41" s="44"/>
      <c r="ETZ41" s="44"/>
      <c r="EUA41" s="44"/>
      <c r="EUB41" s="44"/>
      <c r="EUC41" s="44"/>
      <c r="EUD41" s="44"/>
      <c r="EUE41" s="44"/>
      <c r="EUF41" s="44"/>
      <c r="EUG41" s="44"/>
      <c r="EUH41" s="44"/>
      <c r="EUI41" s="44"/>
      <c r="EUJ41" s="44"/>
      <c r="EUK41" s="44"/>
      <c r="EUL41" s="44"/>
      <c r="EUM41" s="44"/>
      <c r="EUN41" s="44"/>
      <c r="EUO41" s="44"/>
      <c r="EUP41" s="44"/>
      <c r="EUQ41" s="44"/>
      <c r="EUR41" s="44"/>
      <c r="EUS41" s="44"/>
      <c r="EUT41" s="44"/>
      <c r="EUU41" s="44"/>
      <c r="EUV41" s="44"/>
      <c r="EUW41" s="44"/>
      <c r="EUX41" s="44"/>
      <c r="EUY41" s="44"/>
      <c r="EUZ41" s="44"/>
      <c r="EVA41" s="44"/>
      <c r="EVB41" s="44"/>
      <c r="EVC41" s="44"/>
      <c r="EVD41" s="44"/>
      <c r="EVE41" s="44"/>
      <c r="EVF41" s="44"/>
      <c r="EVG41" s="44"/>
      <c r="EVH41" s="44"/>
      <c r="EVI41" s="44"/>
      <c r="EVJ41" s="44"/>
      <c r="EVK41" s="44"/>
      <c r="EVL41" s="44"/>
      <c r="EVM41" s="44"/>
      <c r="EVN41" s="44"/>
      <c r="EVO41" s="44"/>
      <c r="EVP41" s="44"/>
      <c r="EVQ41" s="44"/>
      <c r="EVR41" s="44"/>
      <c r="EVS41" s="44"/>
      <c r="EVT41" s="44"/>
      <c r="EVU41" s="44"/>
      <c r="EVV41" s="44"/>
      <c r="EVW41" s="44"/>
      <c r="EVX41" s="44"/>
      <c r="EVY41" s="44"/>
      <c r="EVZ41" s="44"/>
      <c r="EWA41" s="44"/>
      <c r="EWB41" s="44"/>
      <c r="EWC41" s="44"/>
      <c r="EWD41" s="44"/>
      <c r="EWE41" s="44"/>
      <c r="EWF41" s="44"/>
      <c r="EWG41" s="44"/>
      <c r="EWH41" s="44"/>
      <c r="EWI41" s="44"/>
      <c r="EWJ41" s="44"/>
      <c r="EWK41" s="44"/>
      <c r="EWL41" s="44"/>
      <c r="EWM41" s="44"/>
      <c r="EWN41" s="44"/>
      <c r="EWO41" s="44"/>
      <c r="EWP41" s="44"/>
      <c r="EWQ41" s="44"/>
      <c r="EWR41" s="44"/>
      <c r="EWS41" s="44"/>
      <c r="EWT41" s="44"/>
      <c r="EWU41" s="44"/>
      <c r="EWV41" s="44"/>
      <c r="EWW41" s="44"/>
      <c r="EWX41" s="44"/>
      <c r="EWY41" s="44"/>
      <c r="EWZ41" s="44"/>
      <c r="EXA41" s="44"/>
      <c r="EXB41" s="44"/>
      <c r="EXC41" s="44"/>
      <c r="EXD41" s="44"/>
      <c r="EXE41" s="44"/>
      <c r="EXF41" s="44"/>
      <c r="EXG41" s="44"/>
      <c r="EXH41" s="44"/>
      <c r="EXI41" s="44"/>
      <c r="EXJ41" s="44"/>
      <c r="EXK41" s="44"/>
      <c r="EXL41" s="44"/>
      <c r="EXM41" s="44"/>
      <c r="EXN41" s="44"/>
      <c r="EXO41" s="44"/>
      <c r="EXP41" s="44"/>
      <c r="EXQ41" s="44"/>
      <c r="EXR41" s="44"/>
      <c r="EXS41" s="44"/>
      <c r="EXT41" s="44"/>
      <c r="EXU41" s="44"/>
      <c r="EXV41" s="44"/>
      <c r="EXW41" s="44"/>
      <c r="EXX41" s="44"/>
      <c r="EXY41" s="44"/>
      <c r="EXZ41" s="44"/>
      <c r="EYA41" s="44"/>
      <c r="EYB41" s="44"/>
      <c r="EYC41" s="44"/>
      <c r="EYD41" s="44"/>
      <c r="EYE41" s="44"/>
      <c r="EYF41" s="44"/>
      <c r="EYG41" s="44"/>
      <c r="EYH41" s="44"/>
      <c r="EYI41" s="44"/>
      <c r="EYJ41" s="44"/>
      <c r="EYK41" s="44"/>
      <c r="EYL41" s="44"/>
      <c r="EYM41" s="44"/>
      <c r="EYN41" s="44"/>
      <c r="EYO41" s="44"/>
      <c r="EYP41" s="44"/>
      <c r="EYQ41" s="44"/>
      <c r="EYR41" s="44"/>
      <c r="EYS41" s="44"/>
      <c r="EYT41" s="44"/>
      <c r="EYU41" s="44"/>
      <c r="EYV41" s="44"/>
      <c r="EYW41" s="44"/>
      <c r="EYX41" s="44"/>
      <c r="EYY41" s="44"/>
      <c r="EYZ41" s="44"/>
      <c r="EZA41" s="44"/>
      <c r="EZB41" s="44"/>
      <c r="EZC41" s="44"/>
      <c r="EZD41" s="44"/>
      <c r="EZE41" s="44"/>
      <c r="EZF41" s="44"/>
      <c r="EZG41" s="44"/>
      <c r="EZH41" s="44"/>
      <c r="EZI41" s="44"/>
      <c r="EZJ41" s="44"/>
      <c r="EZK41" s="44"/>
      <c r="EZL41" s="44"/>
      <c r="EZM41" s="44"/>
      <c r="EZN41" s="44"/>
      <c r="EZO41" s="44"/>
      <c r="EZP41" s="44"/>
      <c r="EZQ41" s="44"/>
      <c r="EZR41" s="44"/>
      <c r="EZS41" s="44"/>
      <c r="EZT41" s="44"/>
      <c r="EZU41" s="44"/>
      <c r="EZV41" s="44"/>
      <c r="EZW41" s="44"/>
      <c r="EZX41" s="44"/>
      <c r="EZY41" s="44"/>
      <c r="EZZ41" s="44"/>
      <c r="FAA41" s="44"/>
      <c r="FAB41" s="44"/>
      <c r="FAC41" s="44"/>
      <c r="FAD41" s="44"/>
      <c r="FAE41" s="44"/>
      <c r="FAF41" s="44"/>
      <c r="FAG41" s="44"/>
      <c r="FAH41" s="44"/>
      <c r="FAI41" s="44"/>
      <c r="FAJ41" s="44"/>
      <c r="FAK41" s="44"/>
      <c r="FAL41" s="44"/>
      <c r="FAM41" s="44"/>
      <c r="FAN41" s="44"/>
      <c r="FAO41" s="44"/>
      <c r="FAP41" s="44"/>
      <c r="FAQ41" s="44"/>
      <c r="FAR41" s="44"/>
      <c r="FAS41" s="44"/>
      <c r="FAT41" s="44"/>
      <c r="FAU41" s="44"/>
      <c r="FAV41" s="44"/>
      <c r="FAW41" s="44"/>
      <c r="FAX41" s="44"/>
      <c r="FAY41" s="44"/>
      <c r="FAZ41" s="44"/>
      <c r="FBA41" s="44"/>
      <c r="FBB41" s="44"/>
      <c r="FBC41" s="44"/>
      <c r="FBD41" s="44"/>
      <c r="FBE41" s="44"/>
      <c r="FBF41" s="44"/>
      <c r="FBG41" s="44"/>
      <c r="FBH41" s="44"/>
      <c r="FBI41" s="44"/>
      <c r="FBJ41" s="44"/>
      <c r="FBK41" s="44"/>
      <c r="FBL41" s="44"/>
      <c r="FBM41" s="44"/>
      <c r="FBN41" s="44"/>
      <c r="FBO41" s="44"/>
      <c r="FBP41" s="44"/>
      <c r="FBQ41" s="44"/>
      <c r="FBR41" s="44"/>
      <c r="FBS41" s="44"/>
      <c r="FBT41" s="44"/>
      <c r="FBU41" s="44"/>
      <c r="FBV41" s="44"/>
      <c r="FBW41" s="44"/>
      <c r="FBX41" s="44"/>
      <c r="FBY41" s="44"/>
      <c r="FBZ41" s="44"/>
      <c r="FCA41" s="44"/>
      <c r="FCB41" s="44"/>
      <c r="FCC41" s="44"/>
      <c r="FCD41" s="44"/>
      <c r="FCE41" s="44"/>
      <c r="FCF41" s="44"/>
      <c r="FCG41" s="44"/>
      <c r="FCH41" s="44"/>
      <c r="FCI41" s="44"/>
      <c r="FCJ41" s="44"/>
      <c r="FCK41" s="44"/>
      <c r="FCL41" s="44"/>
      <c r="FCM41" s="44"/>
      <c r="FCN41" s="44"/>
      <c r="FCO41" s="44"/>
      <c r="FCP41" s="44"/>
      <c r="FCQ41" s="44"/>
      <c r="FCR41" s="44"/>
      <c r="FCS41" s="44"/>
      <c r="FCT41" s="44"/>
      <c r="FCU41" s="44"/>
      <c r="FCV41" s="44"/>
      <c r="FCW41" s="44"/>
      <c r="FCX41" s="44"/>
      <c r="FCY41" s="44"/>
      <c r="FCZ41" s="44"/>
      <c r="FDA41" s="44"/>
      <c r="FDB41" s="44"/>
      <c r="FDC41" s="44"/>
      <c r="FDD41" s="44"/>
      <c r="FDE41" s="44"/>
      <c r="FDF41" s="44"/>
      <c r="FDG41" s="44"/>
      <c r="FDH41" s="44"/>
      <c r="FDI41" s="44"/>
      <c r="FDJ41" s="44"/>
      <c r="FDK41" s="44"/>
      <c r="FDL41" s="44"/>
      <c r="FDM41" s="44"/>
      <c r="FDN41" s="44"/>
      <c r="FDO41" s="44"/>
      <c r="FDP41" s="44"/>
      <c r="FDQ41" s="44"/>
      <c r="FDR41" s="44"/>
      <c r="FDS41" s="44"/>
      <c r="FDT41" s="44"/>
      <c r="FDU41" s="44"/>
      <c r="FDV41" s="44"/>
      <c r="FDW41" s="44"/>
      <c r="FDX41" s="44"/>
      <c r="FDY41" s="44"/>
      <c r="FDZ41" s="44"/>
      <c r="FEA41" s="44"/>
      <c r="FEB41" s="44"/>
      <c r="FEC41" s="44"/>
      <c r="FED41" s="44"/>
      <c r="FEE41" s="44"/>
      <c r="FEF41" s="44"/>
      <c r="FEG41" s="44"/>
      <c r="FEH41" s="44"/>
      <c r="FEI41" s="44"/>
      <c r="FEJ41" s="44"/>
      <c r="FEK41" s="44"/>
      <c r="FEL41" s="44"/>
      <c r="FEM41" s="44"/>
      <c r="FEN41" s="44"/>
      <c r="FEO41" s="44"/>
      <c r="FEP41" s="44"/>
      <c r="FEQ41" s="44"/>
      <c r="FER41" s="44"/>
      <c r="FES41" s="44"/>
      <c r="FET41" s="44"/>
      <c r="FEU41" s="44"/>
      <c r="FEV41" s="44"/>
      <c r="FEW41" s="44"/>
      <c r="FEX41" s="44"/>
      <c r="FEY41" s="44"/>
      <c r="FEZ41" s="44"/>
      <c r="FFA41" s="44"/>
      <c r="FFB41" s="44"/>
      <c r="FFC41" s="44"/>
      <c r="FFD41" s="44"/>
      <c r="FFE41" s="44"/>
      <c r="FFF41" s="44"/>
      <c r="FFG41" s="44"/>
      <c r="FFH41" s="44"/>
      <c r="FFI41" s="44"/>
      <c r="FFJ41" s="44"/>
      <c r="FFK41" s="44"/>
      <c r="FFL41" s="44"/>
      <c r="FFM41" s="44"/>
      <c r="FFN41" s="44"/>
      <c r="FFO41" s="44"/>
      <c r="FFP41" s="44"/>
      <c r="FFQ41" s="44"/>
      <c r="FFR41" s="44"/>
      <c r="FFS41" s="44"/>
      <c r="FFT41" s="44"/>
      <c r="FFU41" s="44"/>
      <c r="FFV41" s="44"/>
      <c r="FFW41" s="44"/>
      <c r="FFX41" s="44"/>
      <c r="FFY41" s="44"/>
      <c r="FFZ41" s="44"/>
      <c r="FGA41" s="44"/>
      <c r="FGB41" s="44"/>
      <c r="FGC41" s="44"/>
      <c r="FGD41" s="44"/>
      <c r="FGE41" s="44"/>
      <c r="FGF41" s="44"/>
      <c r="FGG41" s="44"/>
      <c r="FGH41" s="44"/>
      <c r="FGI41" s="44"/>
      <c r="FGJ41" s="44"/>
      <c r="FGK41" s="44"/>
      <c r="FGL41" s="44"/>
      <c r="FGM41" s="44"/>
      <c r="FGN41" s="44"/>
      <c r="FGO41" s="44"/>
      <c r="FGP41" s="44"/>
      <c r="FGQ41" s="44"/>
      <c r="FGR41" s="44"/>
      <c r="FGS41" s="44"/>
      <c r="FGT41" s="44"/>
      <c r="FGU41" s="44"/>
      <c r="FGV41" s="44"/>
      <c r="FGW41" s="44"/>
      <c r="FGX41" s="44"/>
      <c r="FGY41" s="44"/>
      <c r="FGZ41" s="44"/>
      <c r="FHA41" s="44"/>
      <c r="FHB41" s="44"/>
      <c r="FHC41" s="44"/>
      <c r="FHD41" s="44"/>
      <c r="FHE41" s="44"/>
      <c r="FHF41" s="44"/>
      <c r="FHG41" s="44"/>
      <c r="FHH41" s="44"/>
      <c r="FHI41" s="44"/>
      <c r="FHJ41" s="44"/>
      <c r="FHK41" s="44"/>
      <c r="FHL41" s="44"/>
      <c r="FHM41" s="44"/>
      <c r="FHN41" s="44"/>
      <c r="FHO41" s="44"/>
      <c r="FHP41" s="44"/>
      <c r="FHQ41" s="44"/>
      <c r="FHR41" s="44"/>
      <c r="FHS41" s="44"/>
      <c r="FHT41" s="44"/>
      <c r="FHU41" s="44"/>
      <c r="FHV41" s="44"/>
      <c r="FHW41" s="44"/>
      <c r="FHX41" s="44"/>
      <c r="FHY41" s="44"/>
      <c r="FHZ41" s="44"/>
      <c r="FIA41" s="44"/>
      <c r="FIB41" s="44"/>
      <c r="FIC41" s="44"/>
      <c r="FID41" s="44"/>
      <c r="FIE41" s="44"/>
      <c r="FIF41" s="44"/>
      <c r="FIG41" s="44"/>
      <c r="FIH41" s="44"/>
      <c r="FII41" s="44"/>
      <c r="FIJ41" s="44"/>
      <c r="FIK41" s="44"/>
      <c r="FIL41" s="44"/>
      <c r="FIM41" s="44"/>
      <c r="FIN41" s="44"/>
      <c r="FIO41" s="44"/>
      <c r="FIP41" s="44"/>
      <c r="FIQ41" s="44"/>
      <c r="FIR41" s="44"/>
      <c r="FIS41" s="44"/>
      <c r="FIT41" s="44"/>
      <c r="FIU41" s="44"/>
      <c r="FIV41" s="44"/>
      <c r="FIW41" s="44"/>
      <c r="FIX41" s="44"/>
      <c r="FIY41" s="44"/>
      <c r="FIZ41" s="44"/>
      <c r="FJA41" s="44"/>
      <c r="FJB41" s="44"/>
      <c r="FJC41" s="44"/>
      <c r="FJD41" s="44"/>
      <c r="FJE41" s="44"/>
      <c r="FJF41" s="44"/>
      <c r="FJG41" s="44"/>
      <c r="FJH41" s="44"/>
      <c r="FJI41" s="44"/>
      <c r="FJJ41" s="44"/>
      <c r="FJK41" s="44"/>
      <c r="FJL41" s="44"/>
      <c r="FJM41" s="44"/>
      <c r="FJN41" s="44"/>
      <c r="FJO41" s="44"/>
      <c r="FJP41" s="44"/>
      <c r="FJQ41" s="44"/>
      <c r="FJR41" s="44"/>
      <c r="FJS41" s="44"/>
      <c r="FJT41" s="44"/>
      <c r="FJU41" s="44"/>
      <c r="FJV41" s="44"/>
      <c r="FJW41" s="44"/>
      <c r="FJX41" s="44"/>
      <c r="FJY41" s="44"/>
      <c r="FJZ41" s="44"/>
      <c r="FKA41" s="44"/>
      <c r="FKB41" s="44"/>
      <c r="FKC41" s="44"/>
      <c r="FKD41" s="44"/>
      <c r="FKE41" s="44"/>
      <c r="FKF41" s="44"/>
      <c r="FKG41" s="44"/>
      <c r="FKH41" s="44"/>
      <c r="FKI41" s="44"/>
      <c r="FKJ41" s="44"/>
      <c r="FKK41" s="44"/>
      <c r="FKL41" s="44"/>
      <c r="FKM41" s="44"/>
      <c r="FKN41" s="44"/>
      <c r="FKO41" s="44"/>
      <c r="FKP41" s="44"/>
      <c r="FKQ41" s="44"/>
      <c r="FKR41" s="44"/>
      <c r="FKS41" s="44"/>
      <c r="FKT41" s="44"/>
      <c r="FKU41" s="44"/>
      <c r="FKV41" s="44"/>
      <c r="FKW41" s="44"/>
      <c r="FKX41" s="44"/>
      <c r="FKY41" s="44"/>
      <c r="FKZ41" s="44"/>
      <c r="FLA41" s="44"/>
      <c r="FLB41" s="44"/>
      <c r="FLC41" s="44"/>
      <c r="FLD41" s="44"/>
      <c r="FLE41" s="44"/>
      <c r="FLF41" s="44"/>
      <c r="FLG41" s="44"/>
      <c r="FLH41" s="44"/>
      <c r="FLI41" s="44"/>
      <c r="FLJ41" s="44"/>
      <c r="FLK41" s="44"/>
      <c r="FLL41" s="44"/>
      <c r="FLM41" s="44"/>
      <c r="FLN41" s="44"/>
      <c r="FLO41" s="44"/>
      <c r="FLP41" s="44"/>
      <c r="FLQ41" s="44"/>
      <c r="FLR41" s="44"/>
      <c r="FLS41" s="44"/>
      <c r="FLT41" s="44"/>
      <c r="FLU41" s="44"/>
      <c r="FLV41" s="44"/>
      <c r="FLW41" s="44"/>
      <c r="FLX41" s="44"/>
      <c r="FLY41" s="44"/>
      <c r="FLZ41" s="44"/>
      <c r="FMA41" s="44"/>
      <c r="FMB41" s="44"/>
      <c r="FMC41" s="44"/>
      <c r="FMD41" s="44"/>
      <c r="FME41" s="44"/>
      <c r="FMF41" s="44"/>
      <c r="FMG41" s="44"/>
      <c r="FMH41" s="44"/>
      <c r="FMI41" s="44"/>
      <c r="FMJ41" s="44"/>
      <c r="FMK41" s="44"/>
      <c r="FML41" s="44"/>
      <c r="FMM41" s="44"/>
      <c r="FMN41" s="44"/>
      <c r="FMO41" s="44"/>
      <c r="FMP41" s="44"/>
      <c r="FMQ41" s="44"/>
      <c r="FMR41" s="44"/>
      <c r="FMS41" s="44"/>
      <c r="FMT41" s="44"/>
      <c r="FMU41" s="44"/>
      <c r="FMV41" s="44"/>
      <c r="FMW41" s="44"/>
      <c r="FMX41" s="44"/>
      <c r="FMY41" s="44"/>
      <c r="FMZ41" s="44"/>
      <c r="FNA41" s="44"/>
      <c r="FNB41" s="44"/>
      <c r="FNC41" s="44"/>
      <c r="FND41" s="44"/>
      <c r="FNE41" s="44"/>
      <c r="FNF41" s="44"/>
      <c r="FNG41" s="44"/>
      <c r="FNH41" s="44"/>
      <c r="FNI41" s="44"/>
      <c r="FNJ41" s="44"/>
      <c r="FNK41" s="44"/>
      <c r="FNL41" s="44"/>
      <c r="FNM41" s="44"/>
      <c r="FNN41" s="44"/>
      <c r="FNO41" s="44"/>
      <c r="FNP41" s="44"/>
      <c r="FNQ41" s="44"/>
      <c r="FNR41" s="44"/>
      <c r="FNS41" s="44"/>
      <c r="FNT41" s="44"/>
      <c r="FNU41" s="44"/>
      <c r="FNV41" s="44"/>
      <c r="FNW41" s="44"/>
      <c r="FNX41" s="44"/>
      <c r="FNY41" s="44"/>
      <c r="FNZ41" s="44"/>
      <c r="FOA41" s="44"/>
      <c r="FOB41" s="44"/>
      <c r="FOC41" s="44"/>
      <c r="FOD41" s="44"/>
      <c r="FOE41" s="44"/>
      <c r="FOF41" s="44"/>
      <c r="FOG41" s="44"/>
      <c r="FOH41" s="44"/>
      <c r="FOI41" s="44"/>
      <c r="FOJ41" s="44"/>
      <c r="FOK41" s="44"/>
      <c r="FOL41" s="44"/>
      <c r="FOM41" s="44"/>
      <c r="FON41" s="44"/>
      <c r="FOO41" s="44"/>
      <c r="FOP41" s="44"/>
      <c r="FOQ41" s="44"/>
      <c r="FOR41" s="44"/>
      <c r="FOS41" s="44"/>
      <c r="FOT41" s="44"/>
      <c r="FOU41" s="44"/>
      <c r="FOV41" s="44"/>
      <c r="FOW41" s="44"/>
      <c r="FOX41" s="44"/>
      <c r="FOY41" s="44"/>
      <c r="FOZ41" s="44"/>
      <c r="FPA41" s="44"/>
      <c r="FPB41" s="44"/>
      <c r="FPC41" s="44"/>
      <c r="FPD41" s="44"/>
      <c r="FPE41" s="44"/>
      <c r="FPF41" s="44"/>
      <c r="FPG41" s="44"/>
      <c r="FPH41" s="44"/>
      <c r="FPI41" s="44"/>
      <c r="FPJ41" s="44"/>
      <c r="FPK41" s="44"/>
      <c r="FPL41" s="44"/>
      <c r="FPM41" s="44"/>
      <c r="FPN41" s="44"/>
      <c r="FPO41" s="44"/>
      <c r="FPP41" s="44"/>
      <c r="FPQ41" s="44"/>
      <c r="FPR41" s="44"/>
      <c r="FPS41" s="44"/>
      <c r="FPT41" s="44"/>
      <c r="FPU41" s="44"/>
      <c r="FPV41" s="44"/>
      <c r="FPW41" s="44"/>
      <c r="FPX41" s="44"/>
      <c r="FPY41" s="44"/>
      <c r="FPZ41" s="44"/>
      <c r="FQA41" s="44"/>
      <c r="FQB41" s="44"/>
      <c r="FQC41" s="44"/>
      <c r="FQD41" s="44"/>
      <c r="FQE41" s="44"/>
      <c r="FQF41" s="44"/>
      <c r="FQG41" s="44"/>
      <c r="FQH41" s="44"/>
      <c r="FQI41" s="44"/>
      <c r="FQJ41" s="44"/>
      <c r="FQK41" s="44"/>
      <c r="FQL41" s="44"/>
      <c r="FQM41" s="44"/>
      <c r="FQN41" s="44"/>
      <c r="FQO41" s="44"/>
      <c r="FQP41" s="44"/>
      <c r="FQQ41" s="44"/>
      <c r="FQR41" s="44"/>
      <c r="FQS41" s="44"/>
      <c r="FQT41" s="44"/>
      <c r="FQU41" s="44"/>
      <c r="FQV41" s="44"/>
      <c r="FQW41" s="44"/>
      <c r="FQX41" s="44"/>
      <c r="FQY41" s="44"/>
      <c r="FQZ41" s="44"/>
      <c r="FRA41" s="44"/>
      <c r="FRB41" s="44"/>
      <c r="FRC41" s="44"/>
      <c r="FRD41" s="44"/>
      <c r="FRE41" s="44"/>
      <c r="FRF41" s="44"/>
      <c r="FRG41" s="44"/>
      <c r="FRH41" s="44"/>
      <c r="FRI41" s="44"/>
      <c r="FRJ41" s="44"/>
      <c r="FRK41" s="44"/>
      <c r="FRL41" s="44"/>
      <c r="FRM41" s="44"/>
      <c r="FRN41" s="44"/>
      <c r="FRO41" s="44"/>
      <c r="FRP41" s="44"/>
      <c r="FRQ41" s="44"/>
      <c r="FRR41" s="44"/>
      <c r="FRS41" s="44"/>
      <c r="FRT41" s="44"/>
      <c r="FRU41" s="44"/>
      <c r="FRV41" s="44"/>
      <c r="FRW41" s="44"/>
      <c r="FRX41" s="44"/>
      <c r="FRY41" s="44"/>
      <c r="FRZ41" s="44"/>
      <c r="FSA41" s="44"/>
      <c r="FSB41" s="44"/>
      <c r="FSC41" s="44"/>
      <c r="FSD41" s="44"/>
      <c r="FSE41" s="44"/>
      <c r="FSF41" s="44"/>
      <c r="FSG41" s="44"/>
      <c r="FSH41" s="44"/>
      <c r="FSI41" s="44"/>
      <c r="FSJ41" s="44"/>
      <c r="FSK41" s="44"/>
      <c r="FSL41" s="44"/>
      <c r="FSM41" s="44"/>
      <c r="FSN41" s="44"/>
      <c r="FSO41" s="44"/>
      <c r="FSP41" s="44"/>
      <c r="FSQ41" s="44"/>
      <c r="FSR41" s="44"/>
      <c r="FSS41" s="44"/>
      <c r="FST41" s="44"/>
      <c r="FSU41" s="44"/>
      <c r="FSV41" s="44"/>
      <c r="FSW41" s="44"/>
      <c r="FSX41" s="44"/>
      <c r="FSY41" s="44"/>
      <c r="FSZ41" s="44"/>
      <c r="FTA41" s="44"/>
      <c r="FTB41" s="44"/>
      <c r="FTC41" s="44"/>
      <c r="FTD41" s="44"/>
      <c r="FTE41" s="44"/>
      <c r="FTF41" s="44"/>
      <c r="FTG41" s="44"/>
      <c r="FTH41" s="44"/>
      <c r="FTI41" s="44"/>
      <c r="FTJ41" s="44"/>
      <c r="FTK41" s="44"/>
      <c r="FTL41" s="44"/>
      <c r="FTM41" s="44"/>
      <c r="FTN41" s="44"/>
      <c r="FTO41" s="44"/>
      <c r="FTP41" s="44"/>
      <c r="FTQ41" s="44"/>
      <c r="FTR41" s="44"/>
      <c r="FTS41" s="44"/>
      <c r="FTT41" s="44"/>
      <c r="FTU41" s="44"/>
      <c r="FTV41" s="44"/>
      <c r="FTW41" s="44"/>
      <c r="FTX41" s="44"/>
      <c r="FTY41" s="44"/>
      <c r="FTZ41" s="44"/>
      <c r="FUA41" s="44"/>
      <c r="FUB41" s="44"/>
      <c r="FUC41" s="44"/>
      <c r="FUD41" s="44"/>
      <c r="FUE41" s="44"/>
      <c r="FUF41" s="44"/>
      <c r="FUG41" s="44"/>
      <c r="FUH41" s="44"/>
      <c r="FUI41" s="44"/>
      <c r="FUJ41" s="44"/>
      <c r="FUK41" s="44"/>
      <c r="FUL41" s="44"/>
      <c r="FUM41" s="44"/>
      <c r="FUN41" s="44"/>
      <c r="FUO41" s="44"/>
      <c r="FUP41" s="44"/>
      <c r="FUQ41" s="44"/>
      <c r="FUR41" s="44"/>
      <c r="FUS41" s="44"/>
      <c r="FUT41" s="44"/>
      <c r="FUU41" s="44"/>
      <c r="FUV41" s="44"/>
      <c r="FUW41" s="44"/>
      <c r="FUX41" s="44"/>
      <c r="FUY41" s="44"/>
      <c r="FUZ41" s="44"/>
      <c r="FVA41" s="44"/>
      <c r="FVB41" s="44"/>
      <c r="FVC41" s="44"/>
      <c r="FVD41" s="44"/>
      <c r="FVE41" s="44"/>
      <c r="FVF41" s="44"/>
      <c r="FVG41" s="44"/>
      <c r="FVH41" s="44"/>
      <c r="FVI41" s="44"/>
      <c r="FVJ41" s="44"/>
      <c r="FVK41" s="44"/>
      <c r="FVL41" s="44"/>
      <c r="FVM41" s="44"/>
      <c r="FVN41" s="44"/>
      <c r="FVO41" s="44"/>
      <c r="FVP41" s="44"/>
      <c r="FVQ41" s="44"/>
      <c r="FVR41" s="44"/>
      <c r="FVS41" s="44"/>
      <c r="FVT41" s="44"/>
      <c r="FVU41" s="44"/>
      <c r="FVV41" s="44"/>
      <c r="FVW41" s="44"/>
      <c r="FVX41" s="44"/>
      <c r="FVY41" s="44"/>
      <c r="FVZ41" s="44"/>
      <c r="FWA41" s="44"/>
      <c r="FWB41" s="44"/>
      <c r="FWC41" s="44"/>
      <c r="FWD41" s="44"/>
      <c r="FWE41" s="44"/>
      <c r="FWF41" s="44"/>
      <c r="FWG41" s="44"/>
      <c r="FWH41" s="44"/>
      <c r="FWI41" s="44"/>
      <c r="FWJ41" s="44"/>
      <c r="FWK41" s="44"/>
      <c r="FWL41" s="44"/>
      <c r="FWM41" s="44"/>
      <c r="FWN41" s="44"/>
      <c r="FWO41" s="44"/>
      <c r="FWP41" s="44"/>
      <c r="FWQ41" s="44"/>
      <c r="FWR41" s="44"/>
      <c r="FWS41" s="44"/>
      <c r="FWT41" s="44"/>
      <c r="FWU41" s="44"/>
      <c r="FWV41" s="44"/>
      <c r="FWW41" s="44"/>
      <c r="FWX41" s="44"/>
      <c r="FWY41" s="44"/>
      <c r="FWZ41" s="44"/>
      <c r="FXA41" s="44"/>
      <c r="FXB41" s="44"/>
      <c r="FXC41" s="44"/>
      <c r="FXD41" s="44"/>
      <c r="FXE41" s="44"/>
      <c r="FXF41" s="44"/>
      <c r="FXG41" s="44"/>
      <c r="FXH41" s="44"/>
      <c r="FXI41" s="44"/>
      <c r="FXJ41" s="44"/>
      <c r="FXK41" s="44"/>
      <c r="FXL41" s="44"/>
      <c r="FXM41" s="44"/>
      <c r="FXN41" s="44"/>
      <c r="FXO41" s="44"/>
      <c r="FXP41" s="44"/>
      <c r="FXQ41" s="44"/>
      <c r="FXR41" s="44"/>
      <c r="FXS41" s="44"/>
      <c r="FXT41" s="44"/>
      <c r="FXU41" s="44"/>
      <c r="FXV41" s="44"/>
      <c r="FXW41" s="44"/>
      <c r="FXX41" s="44"/>
      <c r="FXY41" s="44"/>
      <c r="FXZ41" s="44"/>
      <c r="FYA41" s="44"/>
      <c r="FYB41" s="44"/>
      <c r="FYC41" s="44"/>
      <c r="FYD41" s="44"/>
      <c r="FYE41" s="44"/>
      <c r="FYF41" s="44"/>
      <c r="FYG41" s="44"/>
      <c r="FYH41" s="44"/>
      <c r="FYI41" s="44"/>
      <c r="FYJ41" s="44"/>
      <c r="FYK41" s="44"/>
      <c r="FYL41" s="44"/>
      <c r="FYM41" s="44"/>
      <c r="FYN41" s="44"/>
      <c r="FYO41" s="44"/>
      <c r="FYP41" s="44"/>
      <c r="FYQ41" s="44"/>
      <c r="FYR41" s="44"/>
      <c r="FYS41" s="44"/>
      <c r="FYT41" s="44"/>
      <c r="FYU41" s="44"/>
      <c r="FYV41" s="44"/>
      <c r="FYW41" s="44"/>
      <c r="FYX41" s="44"/>
      <c r="FYY41" s="44"/>
      <c r="FYZ41" s="44"/>
      <c r="FZA41" s="44"/>
      <c r="FZB41" s="44"/>
      <c r="FZC41" s="44"/>
      <c r="FZD41" s="44"/>
      <c r="FZE41" s="44"/>
      <c r="FZF41" s="44"/>
      <c r="FZG41" s="44"/>
      <c r="FZH41" s="44"/>
      <c r="FZI41" s="44"/>
      <c r="FZJ41" s="44"/>
      <c r="FZK41" s="44"/>
      <c r="FZL41" s="44"/>
      <c r="FZM41" s="44"/>
      <c r="FZN41" s="44"/>
      <c r="FZO41" s="44"/>
      <c r="FZP41" s="44"/>
      <c r="FZQ41" s="44"/>
      <c r="FZR41" s="44"/>
      <c r="FZS41" s="44"/>
      <c r="FZT41" s="44"/>
      <c r="FZU41" s="44"/>
      <c r="FZV41" s="44"/>
      <c r="FZW41" s="44"/>
      <c r="FZX41" s="44"/>
      <c r="FZY41" s="44"/>
      <c r="FZZ41" s="44"/>
      <c r="GAA41" s="44"/>
      <c r="GAB41" s="44"/>
      <c r="GAC41" s="44"/>
      <c r="GAD41" s="44"/>
      <c r="GAE41" s="44"/>
      <c r="GAF41" s="44"/>
      <c r="GAG41" s="44"/>
      <c r="GAH41" s="44"/>
      <c r="GAI41" s="44"/>
      <c r="GAJ41" s="44"/>
      <c r="GAK41" s="44"/>
      <c r="GAL41" s="44"/>
      <c r="GAM41" s="44"/>
      <c r="GAN41" s="44"/>
      <c r="GAO41" s="44"/>
      <c r="GAP41" s="44"/>
      <c r="GAQ41" s="44"/>
      <c r="GAR41" s="44"/>
      <c r="GAS41" s="44"/>
      <c r="GAT41" s="44"/>
      <c r="GAU41" s="44"/>
      <c r="GAV41" s="44"/>
      <c r="GAW41" s="44"/>
      <c r="GAX41" s="44"/>
      <c r="GAY41" s="44"/>
      <c r="GAZ41" s="44"/>
      <c r="GBA41" s="44"/>
      <c r="GBB41" s="44"/>
      <c r="GBC41" s="44"/>
      <c r="GBD41" s="44"/>
      <c r="GBE41" s="44"/>
      <c r="GBF41" s="44"/>
      <c r="GBG41" s="44"/>
      <c r="GBH41" s="44"/>
      <c r="GBI41" s="44"/>
      <c r="GBJ41" s="44"/>
      <c r="GBK41" s="44"/>
      <c r="GBL41" s="44"/>
      <c r="GBM41" s="44"/>
      <c r="GBN41" s="44"/>
      <c r="GBO41" s="44"/>
      <c r="GBP41" s="44"/>
      <c r="GBQ41" s="44"/>
      <c r="GBR41" s="44"/>
      <c r="GBS41" s="44"/>
      <c r="GBT41" s="44"/>
      <c r="GBU41" s="44"/>
      <c r="GBV41" s="44"/>
      <c r="GBW41" s="44"/>
      <c r="GBX41" s="44"/>
      <c r="GBY41" s="44"/>
      <c r="GBZ41" s="44"/>
      <c r="GCA41" s="44"/>
      <c r="GCB41" s="44"/>
      <c r="GCC41" s="44"/>
      <c r="GCD41" s="44"/>
      <c r="GCE41" s="44"/>
      <c r="GCF41" s="44"/>
      <c r="GCG41" s="44"/>
      <c r="GCH41" s="44"/>
      <c r="GCI41" s="44"/>
      <c r="GCJ41" s="44"/>
      <c r="GCK41" s="44"/>
      <c r="GCL41" s="44"/>
      <c r="GCM41" s="44"/>
      <c r="GCN41" s="44"/>
      <c r="GCO41" s="44"/>
      <c r="GCP41" s="44"/>
      <c r="GCQ41" s="44"/>
      <c r="GCR41" s="44"/>
      <c r="GCS41" s="44"/>
      <c r="GCT41" s="44"/>
      <c r="GCU41" s="44"/>
      <c r="GCV41" s="44"/>
      <c r="GCW41" s="44"/>
      <c r="GCX41" s="44"/>
      <c r="GCY41" s="44"/>
      <c r="GCZ41" s="44"/>
      <c r="GDA41" s="44"/>
      <c r="GDB41" s="44"/>
      <c r="GDC41" s="44"/>
      <c r="GDD41" s="44"/>
      <c r="GDE41" s="44"/>
      <c r="GDF41" s="44"/>
      <c r="GDG41" s="44"/>
      <c r="GDH41" s="44"/>
      <c r="GDI41" s="44"/>
      <c r="GDJ41" s="44"/>
      <c r="GDK41" s="44"/>
      <c r="GDL41" s="44"/>
      <c r="GDM41" s="44"/>
      <c r="GDN41" s="44"/>
      <c r="GDO41" s="44"/>
      <c r="GDP41" s="44"/>
      <c r="GDQ41" s="44"/>
      <c r="GDR41" s="44"/>
      <c r="GDS41" s="44"/>
      <c r="GDT41" s="44"/>
      <c r="GDU41" s="44"/>
      <c r="GDV41" s="44"/>
      <c r="GDW41" s="44"/>
      <c r="GDX41" s="44"/>
      <c r="GDY41" s="44"/>
      <c r="GDZ41" s="44"/>
      <c r="GEA41" s="44"/>
      <c r="GEB41" s="44"/>
      <c r="GEC41" s="44"/>
      <c r="GED41" s="44"/>
      <c r="GEE41" s="44"/>
      <c r="GEF41" s="44"/>
      <c r="GEG41" s="44"/>
      <c r="GEH41" s="44"/>
      <c r="GEI41" s="44"/>
      <c r="GEJ41" s="44"/>
      <c r="GEK41" s="44"/>
      <c r="GEL41" s="44"/>
      <c r="GEM41" s="44"/>
      <c r="GEN41" s="44"/>
      <c r="GEO41" s="44"/>
      <c r="GEP41" s="44"/>
      <c r="GEQ41" s="44"/>
      <c r="GER41" s="44"/>
      <c r="GES41" s="44"/>
      <c r="GET41" s="44"/>
      <c r="GEU41" s="44"/>
      <c r="GEV41" s="44"/>
      <c r="GEW41" s="44"/>
      <c r="GEX41" s="44"/>
      <c r="GEY41" s="44"/>
      <c r="GEZ41" s="44"/>
      <c r="GFA41" s="44"/>
      <c r="GFB41" s="44"/>
      <c r="GFC41" s="44"/>
      <c r="GFD41" s="44"/>
      <c r="GFE41" s="44"/>
      <c r="GFF41" s="44"/>
      <c r="GFG41" s="44"/>
      <c r="GFH41" s="44"/>
      <c r="GFI41" s="44"/>
      <c r="GFJ41" s="44"/>
      <c r="GFK41" s="44"/>
      <c r="GFL41" s="44"/>
      <c r="GFM41" s="44"/>
      <c r="GFN41" s="44"/>
      <c r="GFO41" s="44"/>
      <c r="GFP41" s="44"/>
      <c r="GFQ41" s="44"/>
      <c r="GFR41" s="44"/>
      <c r="GFS41" s="44"/>
      <c r="GFT41" s="44"/>
      <c r="GFU41" s="44"/>
      <c r="GFV41" s="44"/>
      <c r="GFW41" s="44"/>
      <c r="GFX41" s="44"/>
      <c r="GFY41" s="44"/>
      <c r="GFZ41" s="44"/>
      <c r="GGA41" s="44"/>
      <c r="GGB41" s="44"/>
      <c r="GGC41" s="44"/>
      <c r="GGD41" s="44"/>
      <c r="GGE41" s="44"/>
      <c r="GGF41" s="44"/>
      <c r="GGG41" s="44"/>
      <c r="GGH41" s="44"/>
      <c r="GGI41" s="44"/>
      <c r="GGJ41" s="44"/>
      <c r="GGK41" s="44"/>
      <c r="GGL41" s="44"/>
      <c r="GGM41" s="44"/>
      <c r="GGN41" s="44"/>
      <c r="GGO41" s="44"/>
      <c r="GGP41" s="44"/>
      <c r="GGQ41" s="44"/>
      <c r="GGR41" s="44"/>
      <c r="GGS41" s="44"/>
      <c r="GGT41" s="44"/>
      <c r="GGU41" s="44"/>
      <c r="GGV41" s="44"/>
      <c r="GGW41" s="44"/>
      <c r="GGX41" s="44"/>
      <c r="GGY41" s="44"/>
      <c r="GGZ41" s="44"/>
      <c r="GHA41" s="44"/>
      <c r="GHB41" s="44"/>
      <c r="GHC41" s="44"/>
      <c r="GHD41" s="44"/>
      <c r="GHE41" s="44"/>
      <c r="GHF41" s="44"/>
      <c r="GHG41" s="44"/>
      <c r="GHH41" s="44"/>
      <c r="GHI41" s="44"/>
      <c r="GHJ41" s="44"/>
      <c r="GHK41" s="44"/>
      <c r="GHL41" s="44"/>
      <c r="GHM41" s="44"/>
      <c r="GHN41" s="44"/>
      <c r="GHO41" s="44"/>
      <c r="GHP41" s="44"/>
      <c r="GHQ41" s="44"/>
      <c r="GHR41" s="44"/>
      <c r="GHS41" s="44"/>
      <c r="GHT41" s="44"/>
      <c r="GHU41" s="44"/>
      <c r="GHV41" s="44"/>
      <c r="GHW41" s="44"/>
      <c r="GHX41" s="44"/>
      <c r="GHY41" s="44"/>
      <c r="GHZ41" s="44"/>
      <c r="GIA41" s="44"/>
      <c r="GIB41" s="44"/>
      <c r="GIC41" s="44"/>
      <c r="GID41" s="44"/>
      <c r="GIE41" s="44"/>
      <c r="GIF41" s="44"/>
      <c r="GIG41" s="44"/>
      <c r="GIH41" s="44"/>
      <c r="GII41" s="44"/>
      <c r="GIJ41" s="44"/>
      <c r="GIK41" s="44"/>
      <c r="GIL41" s="44"/>
      <c r="GIM41" s="44"/>
      <c r="GIN41" s="44"/>
      <c r="GIO41" s="44"/>
      <c r="GIP41" s="44"/>
      <c r="GIQ41" s="44"/>
      <c r="GIR41" s="44"/>
      <c r="GIS41" s="44"/>
      <c r="GIT41" s="44"/>
      <c r="GIU41" s="44"/>
      <c r="GIV41" s="44"/>
      <c r="GIW41" s="44"/>
      <c r="GIX41" s="44"/>
      <c r="GIY41" s="44"/>
      <c r="GIZ41" s="44"/>
      <c r="GJA41" s="44"/>
      <c r="GJB41" s="44"/>
      <c r="GJC41" s="44"/>
      <c r="GJD41" s="44"/>
      <c r="GJE41" s="44"/>
      <c r="GJF41" s="44"/>
      <c r="GJG41" s="44"/>
      <c r="GJH41" s="44"/>
      <c r="GJI41" s="44"/>
      <c r="GJJ41" s="44"/>
      <c r="GJK41" s="44"/>
      <c r="GJL41" s="44"/>
      <c r="GJM41" s="44"/>
      <c r="GJN41" s="44"/>
      <c r="GJO41" s="44"/>
      <c r="GJP41" s="44"/>
      <c r="GJQ41" s="44"/>
      <c r="GJR41" s="44"/>
      <c r="GJS41" s="44"/>
      <c r="GJT41" s="44"/>
      <c r="GJU41" s="44"/>
      <c r="GJV41" s="44"/>
      <c r="GJW41" s="44"/>
      <c r="GJX41" s="44"/>
      <c r="GJY41" s="44"/>
      <c r="GJZ41" s="44"/>
      <c r="GKA41" s="44"/>
      <c r="GKB41" s="44"/>
      <c r="GKC41" s="44"/>
      <c r="GKD41" s="44"/>
      <c r="GKE41" s="44"/>
      <c r="GKF41" s="44"/>
      <c r="GKG41" s="44"/>
      <c r="GKH41" s="44"/>
      <c r="GKI41" s="44"/>
      <c r="GKJ41" s="44"/>
      <c r="GKK41" s="44"/>
      <c r="GKL41" s="44"/>
      <c r="GKM41" s="44"/>
      <c r="GKN41" s="44"/>
      <c r="GKO41" s="44"/>
      <c r="GKP41" s="44"/>
      <c r="GKQ41" s="44"/>
      <c r="GKR41" s="44"/>
      <c r="GKS41" s="44"/>
      <c r="GKT41" s="44"/>
      <c r="GKU41" s="44"/>
      <c r="GKV41" s="44"/>
      <c r="GKW41" s="44"/>
      <c r="GKX41" s="44"/>
      <c r="GKY41" s="44"/>
      <c r="GKZ41" s="44"/>
      <c r="GLA41" s="44"/>
      <c r="GLB41" s="44"/>
      <c r="GLC41" s="44"/>
      <c r="GLD41" s="44"/>
      <c r="GLE41" s="44"/>
      <c r="GLF41" s="44"/>
      <c r="GLG41" s="44"/>
      <c r="GLH41" s="44"/>
      <c r="GLI41" s="44"/>
      <c r="GLJ41" s="44"/>
      <c r="GLK41" s="44"/>
      <c r="GLL41" s="44"/>
      <c r="GLM41" s="44"/>
      <c r="GLN41" s="44"/>
      <c r="GLO41" s="44"/>
      <c r="GLP41" s="44"/>
      <c r="GLQ41" s="44"/>
      <c r="GLR41" s="44"/>
      <c r="GLS41" s="44"/>
      <c r="GLT41" s="44"/>
      <c r="GLU41" s="44"/>
      <c r="GLV41" s="44"/>
      <c r="GLW41" s="44"/>
      <c r="GLX41" s="44"/>
      <c r="GLY41" s="44"/>
      <c r="GLZ41" s="44"/>
      <c r="GMA41" s="44"/>
      <c r="GMB41" s="44"/>
      <c r="GMC41" s="44"/>
      <c r="GMD41" s="44"/>
      <c r="GME41" s="44"/>
      <c r="GMF41" s="44"/>
      <c r="GMG41" s="44"/>
      <c r="GMH41" s="44"/>
      <c r="GMI41" s="44"/>
      <c r="GMJ41" s="44"/>
      <c r="GMK41" s="44"/>
      <c r="GML41" s="44"/>
      <c r="GMM41" s="44"/>
      <c r="GMN41" s="44"/>
      <c r="GMO41" s="44"/>
      <c r="GMP41" s="44"/>
      <c r="GMQ41" s="44"/>
      <c r="GMR41" s="44"/>
      <c r="GMS41" s="44"/>
      <c r="GMT41" s="44"/>
      <c r="GMU41" s="44"/>
      <c r="GMV41" s="44"/>
      <c r="GMW41" s="44"/>
      <c r="GMX41" s="44"/>
      <c r="GMY41" s="44"/>
      <c r="GMZ41" s="44"/>
      <c r="GNA41" s="44"/>
      <c r="GNB41" s="44"/>
      <c r="GNC41" s="44"/>
      <c r="GND41" s="44"/>
      <c r="GNE41" s="44"/>
      <c r="GNF41" s="44"/>
      <c r="GNG41" s="44"/>
      <c r="GNH41" s="44"/>
      <c r="GNI41" s="44"/>
      <c r="GNJ41" s="44"/>
      <c r="GNK41" s="44"/>
      <c r="GNL41" s="44"/>
      <c r="GNM41" s="44"/>
      <c r="GNN41" s="44"/>
      <c r="GNO41" s="44"/>
      <c r="GNP41" s="44"/>
      <c r="GNQ41" s="44"/>
      <c r="GNR41" s="44"/>
      <c r="GNS41" s="44"/>
      <c r="GNT41" s="44"/>
      <c r="GNU41" s="44"/>
      <c r="GNV41" s="44"/>
      <c r="GNW41" s="44"/>
      <c r="GNX41" s="44"/>
      <c r="GNY41" s="44"/>
      <c r="GNZ41" s="44"/>
      <c r="GOA41" s="44"/>
      <c r="GOB41" s="44"/>
      <c r="GOC41" s="44"/>
      <c r="GOD41" s="44"/>
      <c r="GOE41" s="44"/>
      <c r="GOF41" s="44"/>
      <c r="GOG41" s="44"/>
      <c r="GOH41" s="44"/>
      <c r="GOI41" s="44"/>
      <c r="GOJ41" s="44"/>
      <c r="GOK41" s="44"/>
      <c r="GOL41" s="44"/>
      <c r="GOM41" s="44"/>
      <c r="GON41" s="44"/>
      <c r="GOO41" s="44"/>
      <c r="GOP41" s="44"/>
      <c r="GOQ41" s="44"/>
      <c r="GOR41" s="44"/>
      <c r="GOS41" s="44"/>
      <c r="GOT41" s="44"/>
      <c r="GOU41" s="44"/>
      <c r="GOV41" s="44"/>
      <c r="GOW41" s="44"/>
      <c r="GOX41" s="44"/>
      <c r="GOY41" s="44"/>
      <c r="GOZ41" s="44"/>
      <c r="GPA41" s="44"/>
      <c r="GPB41" s="44"/>
      <c r="GPC41" s="44"/>
      <c r="GPD41" s="44"/>
      <c r="GPE41" s="44"/>
      <c r="GPF41" s="44"/>
      <c r="GPG41" s="44"/>
      <c r="GPH41" s="44"/>
      <c r="GPI41" s="44"/>
      <c r="GPJ41" s="44"/>
      <c r="GPK41" s="44"/>
      <c r="GPL41" s="44"/>
      <c r="GPM41" s="44"/>
      <c r="GPN41" s="44"/>
      <c r="GPO41" s="44"/>
      <c r="GPP41" s="44"/>
      <c r="GPQ41" s="44"/>
      <c r="GPR41" s="44"/>
      <c r="GPS41" s="44"/>
      <c r="GPT41" s="44"/>
      <c r="GPU41" s="44"/>
      <c r="GPV41" s="44"/>
      <c r="GPW41" s="44"/>
      <c r="GPX41" s="44"/>
      <c r="GPY41" s="44"/>
      <c r="GPZ41" s="44"/>
      <c r="GQA41" s="44"/>
      <c r="GQB41" s="44"/>
      <c r="GQC41" s="44"/>
      <c r="GQD41" s="44"/>
      <c r="GQE41" s="44"/>
      <c r="GQF41" s="44"/>
      <c r="GQG41" s="44"/>
      <c r="GQH41" s="44"/>
      <c r="GQI41" s="44"/>
      <c r="GQJ41" s="44"/>
      <c r="GQK41" s="44"/>
      <c r="GQL41" s="44"/>
      <c r="GQM41" s="44"/>
      <c r="GQN41" s="44"/>
      <c r="GQO41" s="44"/>
      <c r="GQP41" s="44"/>
      <c r="GQQ41" s="44"/>
      <c r="GQR41" s="44"/>
      <c r="GQS41" s="44"/>
      <c r="GQT41" s="44"/>
      <c r="GQU41" s="44"/>
      <c r="GQV41" s="44"/>
      <c r="GQW41" s="44"/>
      <c r="GQX41" s="44"/>
      <c r="GQY41" s="44"/>
      <c r="GQZ41" s="44"/>
      <c r="GRA41" s="44"/>
      <c r="GRB41" s="44"/>
      <c r="GRC41" s="44"/>
      <c r="GRD41" s="44"/>
      <c r="GRE41" s="44"/>
      <c r="GRF41" s="44"/>
      <c r="GRG41" s="44"/>
      <c r="GRH41" s="44"/>
      <c r="GRI41" s="44"/>
      <c r="GRJ41" s="44"/>
      <c r="GRK41" s="44"/>
      <c r="GRL41" s="44"/>
      <c r="GRM41" s="44"/>
      <c r="GRN41" s="44"/>
      <c r="GRO41" s="44"/>
      <c r="GRP41" s="44"/>
      <c r="GRQ41" s="44"/>
      <c r="GRR41" s="44"/>
      <c r="GRS41" s="44"/>
      <c r="GRT41" s="44"/>
      <c r="GRU41" s="44"/>
      <c r="GRV41" s="44"/>
      <c r="GRW41" s="44"/>
      <c r="GRX41" s="44"/>
      <c r="GRY41" s="44"/>
      <c r="GRZ41" s="44"/>
      <c r="GSA41" s="44"/>
      <c r="GSB41" s="44"/>
      <c r="GSC41" s="44"/>
      <c r="GSD41" s="44"/>
      <c r="GSE41" s="44"/>
      <c r="GSF41" s="44"/>
      <c r="GSG41" s="44"/>
      <c r="GSH41" s="44"/>
      <c r="GSI41" s="44"/>
      <c r="GSJ41" s="44"/>
      <c r="GSK41" s="44"/>
      <c r="GSL41" s="44"/>
      <c r="GSM41" s="44"/>
      <c r="GSN41" s="44"/>
      <c r="GSO41" s="44"/>
      <c r="GSP41" s="44"/>
      <c r="GSQ41" s="44"/>
      <c r="GSR41" s="44"/>
      <c r="GSS41" s="44"/>
      <c r="GST41" s="44"/>
      <c r="GSU41" s="44"/>
      <c r="GSV41" s="44"/>
      <c r="GSW41" s="44"/>
      <c r="GSX41" s="44"/>
      <c r="GSY41" s="44"/>
      <c r="GSZ41" s="44"/>
      <c r="GTA41" s="44"/>
      <c r="GTB41" s="44"/>
      <c r="GTC41" s="44"/>
      <c r="GTD41" s="44"/>
      <c r="GTE41" s="44"/>
      <c r="GTF41" s="44"/>
      <c r="GTG41" s="44"/>
      <c r="GTH41" s="44"/>
      <c r="GTI41" s="44"/>
      <c r="GTJ41" s="44"/>
      <c r="GTK41" s="44"/>
      <c r="GTL41" s="44"/>
      <c r="GTM41" s="44"/>
      <c r="GTN41" s="44"/>
      <c r="GTO41" s="44"/>
      <c r="GTP41" s="44"/>
      <c r="GTQ41" s="44"/>
      <c r="GTR41" s="44"/>
      <c r="GTS41" s="44"/>
      <c r="GTT41" s="44"/>
      <c r="GTU41" s="44"/>
      <c r="GTV41" s="44"/>
      <c r="GTW41" s="44"/>
      <c r="GTX41" s="44"/>
      <c r="GTY41" s="44"/>
      <c r="GTZ41" s="44"/>
      <c r="GUA41" s="44"/>
      <c r="GUB41" s="44"/>
      <c r="GUC41" s="44"/>
      <c r="GUD41" s="44"/>
      <c r="GUE41" s="44"/>
      <c r="GUF41" s="44"/>
      <c r="GUG41" s="44"/>
      <c r="GUH41" s="44"/>
      <c r="GUI41" s="44"/>
      <c r="GUJ41" s="44"/>
      <c r="GUK41" s="44"/>
      <c r="GUL41" s="44"/>
      <c r="GUM41" s="44"/>
      <c r="GUN41" s="44"/>
      <c r="GUO41" s="44"/>
      <c r="GUP41" s="44"/>
      <c r="GUQ41" s="44"/>
      <c r="GUR41" s="44"/>
      <c r="GUS41" s="44"/>
      <c r="GUT41" s="44"/>
      <c r="GUU41" s="44"/>
      <c r="GUV41" s="44"/>
      <c r="GUW41" s="44"/>
      <c r="GUX41" s="44"/>
      <c r="GUY41" s="44"/>
      <c r="GUZ41" s="44"/>
      <c r="GVA41" s="44"/>
      <c r="GVB41" s="44"/>
      <c r="GVC41" s="44"/>
      <c r="GVD41" s="44"/>
      <c r="GVE41" s="44"/>
      <c r="GVF41" s="44"/>
      <c r="GVG41" s="44"/>
      <c r="GVH41" s="44"/>
      <c r="GVI41" s="44"/>
      <c r="GVJ41" s="44"/>
      <c r="GVK41" s="44"/>
      <c r="GVL41" s="44"/>
      <c r="GVM41" s="44"/>
      <c r="GVN41" s="44"/>
      <c r="GVO41" s="44"/>
      <c r="GVP41" s="44"/>
      <c r="GVQ41" s="44"/>
      <c r="GVR41" s="44"/>
      <c r="GVS41" s="44"/>
      <c r="GVT41" s="44"/>
      <c r="GVU41" s="44"/>
      <c r="GVV41" s="44"/>
      <c r="GVW41" s="44"/>
      <c r="GVX41" s="44"/>
      <c r="GVY41" s="44"/>
      <c r="GVZ41" s="44"/>
      <c r="GWA41" s="44"/>
      <c r="GWB41" s="44"/>
      <c r="GWC41" s="44"/>
      <c r="GWD41" s="44"/>
      <c r="GWE41" s="44"/>
      <c r="GWF41" s="44"/>
      <c r="GWG41" s="44"/>
      <c r="GWH41" s="44"/>
      <c r="GWI41" s="44"/>
      <c r="GWJ41" s="44"/>
      <c r="GWK41" s="44"/>
      <c r="GWL41" s="44"/>
      <c r="GWM41" s="44"/>
      <c r="GWN41" s="44"/>
      <c r="GWO41" s="44"/>
      <c r="GWP41" s="44"/>
      <c r="GWQ41" s="44"/>
      <c r="GWR41" s="44"/>
      <c r="GWS41" s="44"/>
      <c r="GWT41" s="44"/>
      <c r="GWU41" s="44"/>
      <c r="GWV41" s="44"/>
      <c r="GWW41" s="44"/>
      <c r="GWX41" s="44"/>
      <c r="GWY41" s="44"/>
      <c r="GWZ41" s="44"/>
      <c r="GXA41" s="44"/>
      <c r="GXB41" s="44"/>
      <c r="GXC41" s="44"/>
      <c r="GXD41" s="44"/>
      <c r="GXE41" s="44"/>
      <c r="GXF41" s="44"/>
      <c r="GXG41" s="44"/>
      <c r="GXH41" s="44"/>
      <c r="GXI41" s="44"/>
      <c r="GXJ41" s="44"/>
      <c r="GXK41" s="44"/>
      <c r="GXL41" s="44"/>
      <c r="GXM41" s="44"/>
      <c r="GXN41" s="44"/>
      <c r="GXO41" s="44"/>
      <c r="GXP41" s="44"/>
      <c r="GXQ41" s="44"/>
      <c r="GXR41" s="44"/>
      <c r="GXS41" s="44"/>
      <c r="GXT41" s="44"/>
      <c r="GXU41" s="44"/>
      <c r="GXV41" s="44"/>
      <c r="GXW41" s="44"/>
      <c r="GXX41" s="44"/>
      <c r="GXY41" s="44"/>
      <c r="GXZ41" s="44"/>
      <c r="GYA41" s="44"/>
      <c r="GYB41" s="44"/>
      <c r="GYC41" s="44"/>
      <c r="GYD41" s="44"/>
      <c r="GYE41" s="44"/>
      <c r="GYF41" s="44"/>
      <c r="GYG41" s="44"/>
      <c r="GYH41" s="44"/>
      <c r="GYI41" s="44"/>
      <c r="GYJ41" s="44"/>
      <c r="GYK41" s="44"/>
      <c r="GYL41" s="44"/>
      <c r="GYM41" s="44"/>
      <c r="GYN41" s="44"/>
      <c r="GYO41" s="44"/>
      <c r="GYP41" s="44"/>
      <c r="GYQ41" s="44"/>
      <c r="GYR41" s="44"/>
      <c r="GYS41" s="44"/>
      <c r="GYT41" s="44"/>
      <c r="GYU41" s="44"/>
      <c r="GYV41" s="44"/>
      <c r="GYW41" s="44"/>
      <c r="GYX41" s="44"/>
      <c r="GYY41" s="44"/>
      <c r="GYZ41" s="44"/>
      <c r="GZA41" s="44"/>
      <c r="GZB41" s="44"/>
      <c r="GZC41" s="44"/>
      <c r="GZD41" s="44"/>
      <c r="GZE41" s="44"/>
      <c r="GZF41" s="44"/>
      <c r="GZG41" s="44"/>
      <c r="GZH41" s="44"/>
      <c r="GZI41" s="44"/>
      <c r="GZJ41" s="44"/>
      <c r="GZK41" s="44"/>
      <c r="GZL41" s="44"/>
      <c r="GZM41" s="44"/>
      <c r="GZN41" s="44"/>
      <c r="GZO41" s="44"/>
      <c r="GZP41" s="44"/>
      <c r="GZQ41" s="44"/>
      <c r="GZR41" s="44"/>
      <c r="GZS41" s="44"/>
      <c r="GZT41" s="44"/>
      <c r="GZU41" s="44"/>
      <c r="GZV41" s="44"/>
      <c r="GZW41" s="44"/>
      <c r="GZX41" s="44"/>
      <c r="GZY41" s="44"/>
      <c r="GZZ41" s="44"/>
      <c r="HAA41" s="44"/>
      <c r="HAB41" s="44"/>
      <c r="HAC41" s="44"/>
      <c r="HAD41" s="44"/>
      <c r="HAE41" s="44"/>
      <c r="HAF41" s="44"/>
      <c r="HAG41" s="44"/>
      <c r="HAH41" s="44"/>
      <c r="HAI41" s="44"/>
      <c r="HAJ41" s="44"/>
      <c r="HAK41" s="44"/>
      <c r="HAL41" s="44"/>
      <c r="HAM41" s="44"/>
      <c r="HAN41" s="44"/>
      <c r="HAO41" s="44"/>
      <c r="HAP41" s="44"/>
      <c r="HAQ41" s="44"/>
      <c r="HAR41" s="44"/>
      <c r="HAS41" s="44"/>
      <c r="HAT41" s="44"/>
      <c r="HAU41" s="44"/>
      <c r="HAV41" s="44"/>
      <c r="HAW41" s="44"/>
      <c r="HAX41" s="44"/>
      <c r="HAY41" s="44"/>
      <c r="HAZ41" s="44"/>
      <c r="HBA41" s="44"/>
      <c r="HBB41" s="44"/>
      <c r="HBC41" s="44"/>
      <c r="HBD41" s="44"/>
      <c r="HBE41" s="44"/>
      <c r="HBF41" s="44"/>
      <c r="HBG41" s="44"/>
      <c r="HBH41" s="44"/>
      <c r="HBI41" s="44"/>
      <c r="HBJ41" s="44"/>
      <c r="HBK41" s="44"/>
      <c r="HBL41" s="44"/>
      <c r="HBM41" s="44"/>
      <c r="HBN41" s="44"/>
      <c r="HBO41" s="44"/>
      <c r="HBP41" s="44"/>
      <c r="HBQ41" s="44"/>
      <c r="HBR41" s="44"/>
      <c r="HBS41" s="44"/>
      <c r="HBT41" s="44"/>
      <c r="HBU41" s="44"/>
      <c r="HBV41" s="44"/>
      <c r="HBW41" s="44"/>
      <c r="HBX41" s="44"/>
      <c r="HBY41" s="44"/>
      <c r="HBZ41" s="44"/>
      <c r="HCA41" s="44"/>
      <c r="HCB41" s="44"/>
      <c r="HCC41" s="44"/>
      <c r="HCD41" s="44"/>
      <c r="HCE41" s="44"/>
      <c r="HCF41" s="44"/>
      <c r="HCG41" s="44"/>
      <c r="HCH41" s="44"/>
      <c r="HCI41" s="44"/>
      <c r="HCJ41" s="44"/>
      <c r="HCK41" s="44"/>
      <c r="HCL41" s="44"/>
      <c r="HCM41" s="44"/>
      <c r="HCN41" s="44"/>
      <c r="HCO41" s="44"/>
      <c r="HCP41" s="44"/>
      <c r="HCQ41" s="44"/>
      <c r="HCR41" s="44"/>
      <c r="HCS41" s="44"/>
      <c r="HCT41" s="44"/>
      <c r="HCU41" s="44"/>
      <c r="HCV41" s="44"/>
      <c r="HCW41" s="44"/>
      <c r="HCX41" s="44"/>
      <c r="HCY41" s="44"/>
      <c r="HCZ41" s="44"/>
      <c r="HDA41" s="44"/>
      <c r="HDB41" s="44"/>
      <c r="HDC41" s="44"/>
      <c r="HDD41" s="44"/>
      <c r="HDE41" s="44"/>
      <c r="HDF41" s="44"/>
      <c r="HDG41" s="44"/>
      <c r="HDH41" s="44"/>
      <c r="HDI41" s="44"/>
      <c r="HDJ41" s="44"/>
      <c r="HDK41" s="44"/>
      <c r="HDL41" s="44"/>
      <c r="HDM41" s="44"/>
      <c r="HDN41" s="44"/>
      <c r="HDO41" s="44"/>
      <c r="HDP41" s="44"/>
      <c r="HDQ41" s="44"/>
      <c r="HDR41" s="44"/>
      <c r="HDS41" s="44"/>
      <c r="HDT41" s="44"/>
      <c r="HDU41" s="44"/>
      <c r="HDV41" s="44"/>
      <c r="HDW41" s="44"/>
      <c r="HDX41" s="44"/>
      <c r="HDY41" s="44"/>
      <c r="HDZ41" s="44"/>
      <c r="HEA41" s="44"/>
      <c r="HEB41" s="44"/>
      <c r="HEC41" s="44"/>
      <c r="HED41" s="44"/>
      <c r="HEE41" s="44"/>
      <c r="HEF41" s="44"/>
      <c r="HEG41" s="44"/>
      <c r="HEH41" s="44"/>
      <c r="HEI41" s="44"/>
      <c r="HEJ41" s="44"/>
      <c r="HEK41" s="44"/>
      <c r="HEL41" s="44"/>
      <c r="HEM41" s="44"/>
      <c r="HEN41" s="44"/>
      <c r="HEO41" s="44"/>
      <c r="HEP41" s="44"/>
      <c r="HEQ41" s="44"/>
      <c r="HER41" s="44"/>
      <c r="HES41" s="44"/>
      <c r="HET41" s="44"/>
      <c r="HEU41" s="44"/>
      <c r="HEV41" s="44"/>
      <c r="HEW41" s="44"/>
      <c r="HEX41" s="44"/>
      <c r="HEY41" s="44"/>
      <c r="HEZ41" s="44"/>
      <c r="HFA41" s="44"/>
      <c r="HFB41" s="44"/>
      <c r="HFC41" s="44"/>
      <c r="HFD41" s="44"/>
      <c r="HFE41" s="44"/>
      <c r="HFF41" s="44"/>
      <c r="HFG41" s="44"/>
      <c r="HFH41" s="44"/>
      <c r="HFI41" s="44"/>
      <c r="HFJ41" s="44"/>
      <c r="HFK41" s="44"/>
      <c r="HFL41" s="44"/>
      <c r="HFM41" s="44"/>
      <c r="HFN41" s="44"/>
      <c r="HFO41" s="44"/>
      <c r="HFP41" s="44"/>
      <c r="HFQ41" s="44"/>
      <c r="HFR41" s="44"/>
      <c r="HFS41" s="44"/>
      <c r="HFT41" s="44"/>
      <c r="HFU41" s="44"/>
      <c r="HFV41" s="44"/>
      <c r="HFW41" s="44"/>
      <c r="HFX41" s="44"/>
      <c r="HFY41" s="44"/>
      <c r="HFZ41" s="44"/>
      <c r="HGA41" s="44"/>
      <c r="HGB41" s="44"/>
      <c r="HGC41" s="44"/>
      <c r="HGD41" s="44"/>
      <c r="HGE41" s="44"/>
      <c r="HGF41" s="44"/>
      <c r="HGG41" s="44"/>
      <c r="HGH41" s="44"/>
      <c r="HGI41" s="44"/>
      <c r="HGJ41" s="44"/>
      <c r="HGK41" s="44"/>
      <c r="HGL41" s="44"/>
      <c r="HGM41" s="44"/>
      <c r="HGN41" s="44"/>
      <c r="HGO41" s="44"/>
      <c r="HGP41" s="44"/>
      <c r="HGQ41" s="44"/>
      <c r="HGR41" s="44"/>
      <c r="HGS41" s="44"/>
      <c r="HGT41" s="44"/>
      <c r="HGU41" s="44"/>
      <c r="HGV41" s="44"/>
      <c r="HGW41" s="44"/>
      <c r="HGX41" s="44"/>
      <c r="HGY41" s="44"/>
      <c r="HGZ41" s="44"/>
      <c r="HHA41" s="44"/>
      <c r="HHB41" s="44"/>
      <c r="HHC41" s="44"/>
      <c r="HHD41" s="44"/>
      <c r="HHE41" s="44"/>
      <c r="HHF41" s="44"/>
      <c r="HHG41" s="44"/>
      <c r="HHH41" s="44"/>
      <c r="HHI41" s="44"/>
      <c r="HHJ41" s="44"/>
      <c r="HHK41" s="44"/>
      <c r="HHL41" s="44"/>
      <c r="HHM41" s="44"/>
      <c r="HHN41" s="44"/>
      <c r="HHO41" s="44"/>
      <c r="HHP41" s="44"/>
      <c r="HHQ41" s="44"/>
      <c r="HHR41" s="44"/>
      <c r="HHS41" s="44"/>
      <c r="HHT41" s="44"/>
      <c r="HHU41" s="44"/>
      <c r="HHV41" s="44"/>
      <c r="HHW41" s="44"/>
      <c r="HHX41" s="44"/>
      <c r="HHY41" s="44"/>
      <c r="HHZ41" s="44"/>
      <c r="HIA41" s="44"/>
      <c r="HIB41" s="44"/>
      <c r="HIC41" s="44"/>
      <c r="HID41" s="44"/>
      <c r="HIE41" s="44"/>
      <c r="HIF41" s="44"/>
      <c r="HIG41" s="44"/>
      <c r="HIH41" s="44"/>
      <c r="HII41" s="44"/>
      <c r="HIJ41" s="44"/>
      <c r="HIK41" s="44"/>
      <c r="HIL41" s="44"/>
      <c r="HIM41" s="44"/>
      <c r="HIN41" s="44"/>
      <c r="HIO41" s="44"/>
      <c r="HIP41" s="44"/>
      <c r="HIQ41" s="44"/>
      <c r="HIR41" s="44"/>
      <c r="HIS41" s="44"/>
      <c r="HIT41" s="44"/>
      <c r="HIU41" s="44"/>
      <c r="HIV41" s="44"/>
      <c r="HIW41" s="44"/>
      <c r="HIX41" s="44"/>
      <c r="HIY41" s="44"/>
      <c r="HIZ41" s="44"/>
      <c r="HJA41" s="44"/>
      <c r="HJB41" s="44"/>
      <c r="HJC41" s="44"/>
      <c r="HJD41" s="44"/>
      <c r="HJE41" s="44"/>
      <c r="HJF41" s="44"/>
      <c r="HJG41" s="44"/>
      <c r="HJH41" s="44"/>
      <c r="HJI41" s="44"/>
      <c r="HJJ41" s="44"/>
      <c r="HJK41" s="44"/>
      <c r="HJL41" s="44"/>
      <c r="HJM41" s="44"/>
      <c r="HJN41" s="44"/>
      <c r="HJO41" s="44"/>
      <c r="HJP41" s="44"/>
      <c r="HJQ41" s="44"/>
      <c r="HJR41" s="44"/>
      <c r="HJS41" s="44"/>
      <c r="HJT41" s="44"/>
      <c r="HJU41" s="44"/>
      <c r="HJV41" s="44"/>
      <c r="HJW41" s="44"/>
      <c r="HJX41" s="44"/>
      <c r="HJY41" s="44"/>
      <c r="HJZ41" s="44"/>
      <c r="HKA41" s="44"/>
      <c r="HKB41" s="44"/>
      <c r="HKC41" s="44"/>
      <c r="HKD41" s="44"/>
      <c r="HKE41" s="44"/>
      <c r="HKF41" s="44"/>
      <c r="HKG41" s="44"/>
      <c r="HKH41" s="44"/>
      <c r="HKI41" s="44"/>
      <c r="HKJ41" s="44"/>
      <c r="HKK41" s="44"/>
      <c r="HKL41" s="44"/>
      <c r="HKM41" s="44"/>
      <c r="HKN41" s="44"/>
      <c r="HKO41" s="44"/>
      <c r="HKP41" s="44"/>
      <c r="HKQ41" s="44"/>
      <c r="HKR41" s="44"/>
      <c r="HKS41" s="44"/>
      <c r="HKT41" s="44"/>
      <c r="HKU41" s="44"/>
      <c r="HKV41" s="44"/>
      <c r="HKW41" s="44"/>
      <c r="HKX41" s="44"/>
      <c r="HKY41" s="44"/>
      <c r="HKZ41" s="44"/>
      <c r="HLA41" s="44"/>
      <c r="HLB41" s="44"/>
      <c r="HLC41" s="44"/>
      <c r="HLD41" s="44"/>
      <c r="HLE41" s="44"/>
      <c r="HLF41" s="44"/>
      <c r="HLG41" s="44"/>
      <c r="HLH41" s="44"/>
      <c r="HLI41" s="44"/>
      <c r="HLJ41" s="44"/>
      <c r="HLK41" s="44"/>
      <c r="HLL41" s="44"/>
      <c r="HLM41" s="44"/>
      <c r="HLN41" s="44"/>
      <c r="HLO41" s="44"/>
      <c r="HLP41" s="44"/>
      <c r="HLQ41" s="44"/>
      <c r="HLR41" s="44"/>
      <c r="HLS41" s="44"/>
      <c r="HLT41" s="44"/>
      <c r="HLU41" s="44"/>
      <c r="HLV41" s="44"/>
      <c r="HLW41" s="44"/>
      <c r="HLX41" s="44"/>
      <c r="HLY41" s="44"/>
      <c r="HLZ41" s="44"/>
      <c r="HMA41" s="44"/>
      <c r="HMB41" s="44"/>
      <c r="HMC41" s="44"/>
      <c r="HMD41" s="44"/>
      <c r="HME41" s="44"/>
      <c r="HMF41" s="44"/>
      <c r="HMG41" s="44"/>
      <c r="HMH41" s="44"/>
      <c r="HMI41" s="44"/>
      <c r="HMJ41" s="44"/>
      <c r="HMK41" s="44"/>
      <c r="HML41" s="44"/>
      <c r="HMM41" s="44"/>
      <c r="HMN41" s="44"/>
      <c r="HMO41" s="44"/>
      <c r="HMP41" s="44"/>
      <c r="HMQ41" s="44"/>
      <c r="HMR41" s="44"/>
      <c r="HMS41" s="44"/>
      <c r="HMT41" s="44"/>
      <c r="HMU41" s="44"/>
      <c r="HMV41" s="44"/>
      <c r="HMW41" s="44"/>
      <c r="HMX41" s="44"/>
      <c r="HMY41" s="44"/>
      <c r="HMZ41" s="44"/>
      <c r="HNA41" s="44"/>
      <c r="HNB41" s="44"/>
      <c r="HNC41" s="44"/>
      <c r="HND41" s="44"/>
      <c r="HNE41" s="44"/>
      <c r="HNF41" s="44"/>
      <c r="HNG41" s="44"/>
      <c r="HNH41" s="44"/>
      <c r="HNI41" s="44"/>
      <c r="HNJ41" s="44"/>
      <c r="HNK41" s="44"/>
      <c r="HNL41" s="44"/>
      <c r="HNM41" s="44"/>
      <c r="HNN41" s="44"/>
      <c r="HNO41" s="44"/>
      <c r="HNP41" s="44"/>
      <c r="HNQ41" s="44"/>
      <c r="HNR41" s="44"/>
      <c r="HNS41" s="44"/>
      <c r="HNT41" s="44"/>
      <c r="HNU41" s="44"/>
      <c r="HNV41" s="44"/>
      <c r="HNW41" s="44"/>
      <c r="HNX41" s="44"/>
      <c r="HNY41" s="44"/>
      <c r="HNZ41" s="44"/>
      <c r="HOA41" s="44"/>
      <c r="HOB41" s="44"/>
      <c r="HOC41" s="44"/>
      <c r="HOD41" s="44"/>
      <c r="HOE41" s="44"/>
      <c r="HOF41" s="44"/>
      <c r="HOG41" s="44"/>
      <c r="HOH41" s="44"/>
      <c r="HOI41" s="44"/>
      <c r="HOJ41" s="44"/>
      <c r="HOK41" s="44"/>
      <c r="HOL41" s="44"/>
      <c r="HOM41" s="44"/>
      <c r="HON41" s="44"/>
      <c r="HOO41" s="44"/>
      <c r="HOP41" s="44"/>
      <c r="HOQ41" s="44"/>
      <c r="HOR41" s="44"/>
      <c r="HOS41" s="44"/>
      <c r="HOT41" s="44"/>
      <c r="HOU41" s="44"/>
      <c r="HOV41" s="44"/>
      <c r="HOW41" s="44"/>
      <c r="HOX41" s="44"/>
      <c r="HOY41" s="44"/>
      <c r="HOZ41" s="44"/>
      <c r="HPA41" s="44"/>
      <c r="HPB41" s="44"/>
      <c r="HPC41" s="44"/>
      <c r="HPD41" s="44"/>
      <c r="HPE41" s="44"/>
      <c r="HPF41" s="44"/>
      <c r="HPG41" s="44"/>
      <c r="HPH41" s="44"/>
      <c r="HPI41" s="44"/>
      <c r="HPJ41" s="44"/>
      <c r="HPK41" s="44"/>
      <c r="HPL41" s="44"/>
      <c r="HPM41" s="44"/>
      <c r="HPN41" s="44"/>
      <c r="HPO41" s="44"/>
      <c r="HPP41" s="44"/>
      <c r="HPQ41" s="44"/>
      <c r="HPR41" s="44"/>
      <c r="HPS41" s="44"/>
      <c r="HPT41" s="44"/>
      <c r="HPU41" s="44"/>
      <c r="HPV41" s="44"/>
      <c r="HPW41" s="44"/>
      <c r="HPX41" s="44"/>
      <c r="HPY41" s="44"/>
      <c r="HPZ41" s="44"/>
      <c r="HQA41" s="44"/>
      <c r="HQB41" s="44"/>
      <c r="HQC41" s="44"/>
      <c r="HQD41" s="44"/>
      <c r="HQE41" s="44"/>
      <c r="HQF41" s="44"/>
      <c r="HQG41" s="44"/>
      <c r="HQH41" s="44"/>
      <c r="HQI41" s="44"/>
      <c r="HQJ41" s="44"/>
      <c r="HQK41" s="44"/>
      <c r="HQL41" s="44"/>
      <c r="HQM41" s="44"/>
      <c r="HQN41" s="44"/>
      <c r="HQO41" s="44"/>
      <c r="HQP41" s="44"/>
      <c r="HQQ41" s="44"/>
      <c r="HQR41" s="44"/>
      <c r="HQS41" s="44"/>
      <c r="HQT41" s="44"/>
      <c r="HQU41" s="44"/>
      <c r="HQV41" s="44"/>
      <c r="HQW41" s="44"/>
      <c r="HQX41" s="44"/>
      <c r="HQY41" s="44"/>
      <c r="HQZ41" s="44"/>
      <c r="HRA41" s="44"/>
      <c r="HRB41" s="44"/>
      <c r="HRC41" s="44"/>
      <c r="HRD41" s="44"/>
      <c r="HRE41" s="44"/>
      <c r="HRF41" s="44"/>
      <c r="HRG41" s="44"/>
      <c r="HRH41" s="44"/>
      <c r="HRI41" s="44"/>
      <c r="HRJ41" s="44"/>
      <c r="HRK41" s="44"/>
      <c r="HRL41" s="44"/>
      <c r="HRM41" s="44"/>
      <c r="HRN41" s="44"/>
      <c r="HRO41" s="44"/>
      <c r="HRP41" s="44"/>
      <c r="HRQ41" s="44"/>
      <c r="HRR41" s="44"/>
      <c r="HRS41" s="44"/>
      <c r="HRT41" s="44"/>
      <c r="HRU41" s="44"/>
      <c r="HRV41" s="44"/>
      <c r="HRW41" s="44"/>
      <c r="HRX41" s="44"/>
      <c r="HRY41" s="44"/>
      <c r="HRZ41" s="44"/>
      <c r="HSA41" s="44"/>
      <c r="HSB41" s="44"/>
      <c r="HSC41" s="44"/>
      <c r="HSD41" s="44"/>
      <c r="HSE41" s="44"/>
      <c r="HSF41" s="44"/>
      <c r="HSG41" s="44"/>
      <c r="HSH41" s="44"/>
      <c r="HSI41" s="44"/>
      <c r="HSJ41" s="44"/>
      <c r="HSK41" s="44"/>
      <c r="HSL41" s="44"/>
      <c r="HSM41" s="44"/>
      <c r="HSN41" s="44"/>
      <c r="HSO41" s="44"/>
      <c r="HSP41" s="44"/>
      <c r="HSQ41" s="44"/>
      <c r="HSR41" s="44"/>
      <c r="HSS41" s="44"/>
      <c r="HST41" s="44"/>
      <c r="HSU41" s="44"/>
      <c r="HSV41" s="44"/>
      <c r="HSW41" s="44"/>
      <c r="HSX41" s="44"/>
      <c r="HSY41" s="44"/>
      <c r="HSZ41" s="44"/>
      <c r="HTA41" s="44"/>
      <c r="HTB41" s="44"/>
      <c r="HTC41" s="44"/>
      <c r="HTD41" s="44"/>
      <c r="HTE41" s="44"/>
      <c r="HTF41" s="44"/>
      <c r="HTG41" s="44"/>
      <c r="HTH41" s="44"/>
      <c r="HTI41" s="44"/>
      <c r="HTJ41" s="44"/>
      <c r="HTK41" s="44"/>
      <c r="HTL41" s="44"/>
      <c r="HTM41" s="44"/>
      <c r="HTN41" s="44"/>
      <c r="HTO41" s="44"/>
      <c r="HTP41" s="44"/>
      <c r="HTQ41" s="44"/>
      <c r="HTR41" s="44"/>
      <c r="HTS41" s="44"/>
      <c r="HTT41" s="44"/>
      <c r="HTU41" s="44"/>
      <c r="HTV41" s="44"/>
      <c r="HTW41" s="44"/>
      <c r="HTX41" s="44"/>
      <c r="HTY41" s="44"/>
      <c r="HTZ41" s="44"/>
      <c r="HUA41" s="44"/>
      <c r="HUB41" s="44"/>
      <c r="HUC41" s="44"/>
      <c r="HUD41" s="44"/>
      <c r="HUE41" s="44"/>
      <c r="HUF41" s="44"/>
      <c r="HUG41" s="44"/>
      <c r="HUH41" s="44"/>
      <c r="HUI41" s="44"/>
      <c r="HUJ41" s="44"/>
      <c r="HUK41" s="44"/>
      <c r="HUL41" s="44"/>
      <c r="HUM41" s="44"/>
      <c r="HUN41" s="44"/>
      <c r="HUO41" s="44"/>
      <c r="HUP41" s="44"/>
      <c r="HUQ41" s="44"/>
      <c r="HUR41" s="44"/>
      <c r="HUS41" s="44"/>
      <c r="HUT41" s="44"/>
      <c r="HUU41" s="44"/>
      <c r="HUV41" s="44"/>
      <c r="HUW41" s="44"/>
      <c r="HUX41" s="44"/>
      <c r="HUY41" s="44"/>
      <c r="HUZ41" s="44"/>
      <c r="HVA41" s="44"/>
      <c r="HVB41" s="44"/>
      <c r="HVC41" s="44"/>
      <c r="HVD41" s="44"/>
      <c r="HVE41" s="44"/>
      <c r="HVF41" s="44"/>
      <c r="HVG41" s="44"/>
      <c r="HVH41" s="44"/>
      <c r="HVI41" s="44"/>
      <c r="HVJ41" s="44"/>
      <c r="HVK41" s="44"/>
      <c r="HVL41" s="44"/>
      <c r="HVM41" s="44"/>
      <c r="HVN41" s="44"/>
      <c r="HVO41" s="44"/>
      <c r="HVP41" s="44"/>
      <c r="HVQ41" s="44"/>
      <c r="HVR41" s="44"/>
      <c r="HVS41" s="44"/>
      <c r="HVT41" s="44"/>
      <c r="HVU41" s="44"/>
      <c r="HVV41" s="44"/>
      <c r="HVW41" s="44"/>
      <c r="HVX41" s="44"/>
      <c r="HVY41" s="44"/>
      <c r="HVZ41" s="44"/>
      <c r="HWA41" s="44"/>
      <c r="HWB41" s="44"/>
      <c r="HWC41" s="44"/>
      <c r="HWD41" s="44"/>
      <c r="HWE41" s="44"/>
      <c r="HWF41" s="44"/>
      <c r="HWG41" s="44"/>
      <c r="HWH41" s="44"/>
      <c r="HWI41" s="44"/>
      <c r="HWJ41" s="44"/>
      <c r="HWK41" s="44"/>
      <c r="HWL41" s="44"/>
      <c r="HWM41" s="44"/>
      <c r="HWN41" s="44"/>
      <c r="HWO41" s="44"/>
      <c r="HWP41" s="44"/>
      <c r="HWQ41" s="44"/>
      <c r="HWR41" s="44"/>
      <c r="HWS41" s="44"/>
      <c r="HWT41" s="44"/>
      <c r="HWU41" s="44"/>
      <c r="HWV41" s="44"/>
      <c r="HWW41" s="44"/>
      <c r="HWX41" s="44"/>
      <c r="HWY41" s="44"/>
      <c r="HWZ41" s="44"/>
      <c r="HXA41" s="44"/>
      <c r="HXB41" s="44"/>
      <c r="HXC41" s="44"/>
      <c r="HXD41" s="44"/>
      <c r="HXE41" s="44"/>
      <c r="HXF41" s="44"/>
      <c r="HXG41" s="44"/>
      <c r="HXH41" s="44"/>
      <c r="HXI41" s="44"/>
      <c r="HXJ41" s="44"/>
      <c r="HXK41" s="44"/>
      <c r="HXL41" s="44"/>
      <c r="HXM41" s="44"/>
      <c r="HXN41" s="44"/>
      <c r="HXO41" s="44"/>
      <c r="HXP41" s="44"/>
      <c r="HXQ41" s="44"/>
      <c r="HXR41" s="44"/>
      <c r="HXS41" s="44"/>
      <c r="HXT41" s="44"/>
      <c r="HXU41" s="44"/>
      <c r="HXV41" s="44"/>
      <c r="HXW41" s="44"/>
      <c r="HXX41" s="44"/>
      <c r="HXY41" s="44"/>
      <c r="HXZ41" s="44"/>
      <c r="HYA41" s="44"/>
      <c r="HYB41" s="44"/>
      <c r="HYC41" s="44"/>
      <c r="HYD41" s="44"/>
      <c r="HYE41" s="44"/>
      <c r="HYF41" s="44"/>
      <c r="HYG41" s="44"/>
      <c r="HYH41" s="44"/>
      <c r="HYI41" s="44"/>
      <c r="HYJ41" s="44"/>
      <c r="HYK41" s="44"/>
      <c r="HYL41" s="44"/>
      <c r="HYM41" s="44"/>
      <c r="HYN41" s="44"/>
      <c r="HYO41" s="44"/>
      <c r="HYP41" s="44"/>
      <c r="HYQ41" s="44"/>
      <c r="HYR41" s="44"/>
      <c r="HYS41" s="44"/>
      <c r="HYT41" s="44"/>
      <c r="HYU41" s="44"/>
      <c r="HYV41" s="44"/>
      <c r="HYW41" s="44"/>
      <c r="HYX41" s="44"/>
      <c r="HYY41" s="44"/>
      <c r="HYZ41" s="44"/>
      <c r="HZA41" s="44"/>
      <c r="HZB41" s="44"/>
      <c r="HZC41" s="44"/>
      <c r="HZD41" s="44"/>
      <c r="HZE41" s="44"/>
      <c r="HZF41" s="44"/>
      <c r="HZG41" s="44"/>
      <c r="HZH41" s="44"/>
      <c r="HZI41" s="44"/>
      <c r="HZJ41" s="44"/>
      <c r="HZK41" s="44"/>
      <c r="HZL41" s="44"/>
      <c r="HZM41" s="44"/>
      <c r="HZN41" s="44"/>
      <c r="HZO41" s="44"/>
      <c r="HZP41" s="44"/>
      <c r="HZQ41" s="44"/>
      <c r="HZR41" s="44"/>
      <c r="HZS41" s="44"/>
      <c r="HZT41" s="44"/>
      <c r="HZU41" s="44"/>
      <c r="HZV41" s="44"/>
      <c r="HZW41" s="44"/>
      <c r="HZX41" s="44"/>
      <c r="HZY41" s="44"/>
      <c r="HZZ41" s="44"/>
      <c r="IAA41" s="44"/>
      <c r="IAB41" s="44"/>
      <c r="IAC41" s="44"/>
      <c r="IAD41" s="44"/>
      <c r="IAE41" s="44"/>
      <c r="IAF41" s="44"/>
      <c r="IAG41" s="44"/>
      <c r="IAH41" s="44"/>
      <c r="IAI41" s="44"/>
      <c r="IAJ41" s="44"/>
      <c r="IAK41" s="44"/>
      <c r="IAL41" s="44"/>
      <c r="IAM41" s="44"/>
      <c r="IAN41" s="44"/>
      <c r="IAO41" s="44"/>
      <c r="IAP41" s="44"/>
      <c r="IAQ41" s="44"/>
      <c r="IAR41" s="44"/>
      <c r="IAS41" s="44"/>
      <c r="IAT41" s="44"/>
      <c r="IAU41" s="44"/>
      <c r="IAV41" s="44"/>
      <c r="IAW41" s="44"/>
      <c r="IAX41" s="44"/>
      <c r="IAY41" s="44"/>
      <c r="IAZ41" s="44"/>
      <c r="IBA41" s="44"/>
      <c r="IBB41" s="44"/>
      <c r="IBC41" s="44"/>
      <c r="IBD41" s="44"/>
      <c r="IBE41" s="44"/>
      <c r="IBF41" s="44"/>
      <c r="IBG41" s="44"/>
      <c r="IBH41" s="44"/>
      <c r="IBI41" s="44"/>
      <c r="IBJ41" s="44"/>
      <c r="IBK41" s="44"/>
      <c r="IBL41" s="44"/>
      <c r="IBM41" s="44"/>
      <c r="IBN41" s="44"/>
      <c r="IBO41" s="44"/>
      <c r="IBP41" s="44"/>
      <c r="IBQ41" s="44"/>
      <c r="IBR41" s="44"/>
      <c r="IBS41" s="44"/>
      <c r="IBT41" s="44"/>
      <c r="IBU41" s="44"/>
      <c r="IBV41" s="44"/>
      <c r="IBW41" s="44"/>
      <c r="IBX41" s="44"/>
      <c r="IBY41" s="44"/>
      <c r="IBZ41" s="44"/>
      <c r="ICA41" s="44"/>
      <c r="ICB41" s="44"/>
      <c r="ICC41" s="44"/>
      <c r="ICD41" s="44"/>
      <c r="ICE41" s="44"/>
      <c r="ICF41" s="44"/>
      <c r="ICG41" s="44"/>
      <c r="ICH41" s="44"/>
      <c r="ICI41" s="44"/>
      <c r="ICJ41" s="44"/>
      <c r="ICK41" s="44"/>
      <c r="ICL41" s="44"/>
      <c r="ICM41" s="44"/>
      <c r="ICN41" s="44"/>
      <c r="ICO41" s="44"/>
      <c r="ICP41" s="44"/>
      <c r="ICQ41" s="44"/>
      <c r="ICR41" s="44"/>
      <c r="ICS41" s="44"/>
      <c r="ICT41" s="44"/>
      <c r="ICU41" s="44"/>
      <c r="ICV41" s="44"/>
      <c r="ICW41" s="44"/>
      <c r="ICX41" s="44"/>
      <c r="ICY41" s="44"/>
      <c r="ICZ41" s="44"/>
      <c r="IDA41" s="44"/>
      <c r="IDB41" s="44"/>
      <c r="IDC41" s="44"/>
      <c r="IDD41" s="44"/>
      <c r="IDE41" s="44"/>
      <c r="IDF41" s="44"/>
      <c r="IDG41" s="44"/>
      <c r="IDH41" s="44"/>
      <c r="IDI41" s="44"/>
      <c r="IDJ41" s="44"/>
      <c r="IDK41" s="44"/>
      <c r="IDL41" s="44"/>
      <c r="IDM41" s="44"/>
      <c r="IDN41" s="44"/>
      <c r="IDO41" s="44"/>
      <c r="IDP41" s="44"/>
      <c r="IDQ41" s="44"/>
      <c r="IDR41" s="44"/>
      <c r="IDS41" s="44"/>
      <c r="IDT41" s="44"/>
      <c r="IDU41" s="44"/>
      <c r="IDV41" s="44"/>
      <c r="IDW41" s="44"/>
      <c r="IDX41" s="44"/>
      <c r="IDY41" s="44"/>
      <c r="IDZ41" s="44"/>
      <c r="IEA41" s="44"/>
      <c r="IEB41" s="44"/>
      <c r="IEC41" s="44"/>
      <c r="IED41" s="44"/>
      <c r="IEE41" s="44"/>
      <c r="IEF41" s="44"/>
      <c r="IEG41" s="44"/>
      <c r="IEH41" s="44"/>
      <c r="IEI41" s="44"/>
      <c r="IEJ41" s="44"/>
      <c r="IEK41" s="44"/>
      <c r="IEL41" s="44"/>
      <c r="IEM41" s="44"/>
      <c r="IEN41" s="44"/>
      <c r="IEO41" s="44"/>
      <c r="IEP41" s="44"/>
      <c r="IEQ41" s="44"/>
      <c r="IER41" s="44"/>
      <c r="IES41" s="44"/>
      <c r="IET41" s="44"/>
      <c r="IEU41" s="44"/>
      <c r="IEV41" s="44"/>
      <c r="IEW41" s="44"/>
      <c r="IEX41" s="44"/>
      <c r="IEY41" s="44"/>
      <c r="IEZ41" s="44"/>
      <c r="IFA41" s="44"/>
      <c r="IFB41" s="44"/>
      <c r="IFC41" s="44"/>
      <c r="IFD41" s="44"/>
      <c r="IFE41" s="44"/>
      <c r="IFF41" s="44"/>
      <c r="IFG41" s="44"/>
      <c r="IFH41" s="44"/>
      <c r="IFI41" s="44"/>
      <c r="IFJ41" s="44"/>
      <c r="IFK41" s="44"/>
      <c r="IFL41" s="44"/>
      <c r="IFM41" s="44"/>
      <c r="IFN41" s="44"/>
      <c r="IFO41" s="44"/>
      <c r="IFP41" s="44"/>
      <c r="IFQ41" s="44"/>
      <c r="IFR41" s="44"/>
      <c r="IFS41" s="44"/>
      <c r="IFT41" s="44"/>
      <c r="IFU41" s="44"/>
      <c r="IFV41" s="44"/>
      <c r="IFW41" s="44"/>
      <c r="IFX41" s="44"/>
      <c r="IFY41" s="44"/>
      <c r="IFZ41" s="44"/>
      <c r="IGA41" s="44"/>
      <c r="IGB41" s="44"/>
      <c r="IGC41" s="44"/>
      <c r="IGD41" s="44"/>
      <c r="IGE41" s="44"/>
      <c r="IGF41" s="44"/>
      <c r="IGG41" s="44"/>
      <c r="IGH41" s="44"/>
      <c r="IGI41" s="44"/>
      <c r="IGJ41" s="44"/>
      <c r="IGK41" s="44"/>
      <c r="IGL41" s="44"/>
      <c r="IGM41" s="44"/>
      <c r="IGN41" s="44"/>
      <c r="IGO41" s="44"/>
      <c r="IGP41" s="44"/>
      <c r="IGQ41" s="44"/>
      <c r="IGR41" s="44"/>
      <c r="IGS41" s="44"/>
      <c r="IGT41" s="44"/>
      <c r="IGU41" s="44"/>
      <c r="IGV41" s="44"/>
      <c r="IGW41" s="44"/>
      <c r="IGX41" s="44"/>
      <c r="IGY41" s="44"/>
      <c r="IGZ41" s="44"/>
      <c r="IHA41" s="44"/>
      <c r="IHB41" s="44"/>
      <c r="IHC41" s="44"/>
      <c r="IHD41" s="44"/>
      <c r="IHE41" s="44"/>
      <c r="IHF41" s="44"/>
      <c r="IHG41" s="44"/>
      <c r="IHH41" s="44"/>
      <c r="IHI41" s="44"/>
      <c r="IHJ41" s="44"/>
      <c r="IHK41" s="44"/>
      <c r="IHL41" s="44"/>
      <c r="IHM41" s="44"/>
      <c r="IHN41" s="44"/>
      <c r="IHO41" s="44"/>
      <c r="IHP41" s="44"/>
      <c r="IHQ41" s="44"/>
      <c r="IHR41" s="44"/>
      <c r="IHS41" s="44"/>
      <c r="IHT41" s="44"/>
      <c r="IHU41" s="44"/>
      <c r="IHV41" s="44"/>
      <c r="IHW41" s="44"/>
      <c r="IHX41" s="44"/>
      <c r="IHY41" s="44"/>
      <c r="IHZ41" s="44"/>
      <c r="IIA41" s="44"/>
      <c r="IIB41" s="44"/>
      <c r="IIC41" s="44"/>
      <c r="IID41" s="44"/>
      <c r="IIE41" s="44"/>
      <c r="IIF41" s="44"/>
      <c r="IIG41" s="44"/>
      <c r="IIH41" s="44"/>
      <c r="III41" s="44"/>
      <c r="IIJ41" s="44"/>
      <c r="IIK41" s="44"/>
      <c r="IIL41" s="44"/>
      <c r="IIM41" s="44"/>
      <c r="IIN41" s="44"/>
      <c r="IIO41" s="44"/>
      <c r="IIP41" s="44"/>
      <c r="IIQ41" s="44"/>
      <c r="IIR41" s="44"/>
      <c r="IIS41" s="44"/>
      <c r="IIT41" s="44"/>
      <c r="IIU41" s="44"/>
      <c r="IIV41" s="44"/>
      <c r="IIW41" s="44"/>
      <c r="IIX41" s="44"/>
      <c r="IIY41" s="44"/>
      <c r="IIZ41" s="44"/>
      <c r="IJA41" s="44"/>
      <c r="IJB41" s="44"/>
      <c r="IJC41" s="44"/>
      <c r="IJD41" s="44"/>
      <c r="IJE41" s="44"/>
      <c r="IJF41" s="44"/>
      <c r="IJG41" s="44"/>
      <c r="IJH41" s="44"/>
      <c r="IJI41" s="44"/>
      <c r="IJJ41" s="44"/>
      <c r="IJK41" s="44"/>
      <c r="IJL41" s="44"/>
      <c r="IJM41" s="44"/>
      <c r="IJN41" s="44"/>
      <c r="IJO41" s="44"/>
      <c r="IJP41" s="44"/>
      <c r="IJQ41" s="44"/>
      <c r="IJR41" s="44"/>
      <c r="IJS41" s="44"/>
      <c r="IJT41" s="44"/>
      <c r="IJU41" s="44"/>
      <c r="IJV41" s="44"/>
      <c r="IJW41" s="44"/>
      <c r="IJX41" s="44"/>
      <c r="IJY41" s="44"/>
      <c r="IJZ41" s="44"/>
      <c r="IKA41" s="44"/>
      <c r="IKB41" s="44"/>
      <c r="IKC41" s="44"/>
      <c r="IKD41" s="44"/>
      <c r="IKE41" s="44"/>
      <c r="IKF41" s="44"/>
      <c r="IKG41" s="44"/>
      <c r="IKH41" s="44"/>
      <c r="IKI41" s="44"/>
      <c r="IKJ41" s="44"/>
      <c r="IKK41" s="44"/>
      <c r="IKL41" s="44"/>
      <c r="IKM41" s="44"/>
      <c r="IKN41" s="44"/>
      <c r="IKO41" s="44"/>
      <c r="IKP41" s="44"/>
      <c r="IKQ41" s="44"/>
      <c r="IKR41" s="44"/>
      <c r="IKS41" s="44"/>
      <c r="IKT41" s="44"/>
      <c r="IKU41" s="44"/>
      <c r="IKV41" s="44"/>
      <c r="IKW41" s="44"/>
      <c r="IKX41" s="44"/>
      <c r="IKY41" s="44"/>
      <c r="IKZ41" s="44"/>
      <c r="ILA41" s="44"/>
      <c r="ILB41" s="44"/>
      <c r="ILC41" s="44"/>
      <c r="ILD41" s="44"/>
      <c r="ILE41" s="44"/>
      <c r="ILF41" s="44"/>
      <c r="ILG41" s="44"/>
      <c r="ILH41" s="44"/>
      <c r="ILI41" s="44"/>
      <c r="ILJ41" s="44"/>
      <c r="ILK41" s="44"/>
      <c r="ILL41" s="44"/>
      <c r="ILM41" s="44"/>
      <c r="ILN41" s="44"/>
      <c r="ILO41" s="44"/>
      <c r="ILP41" s="44"/>
      <c r="ILQ41" s="44"/>
      <c r="ILR41" s="44"/>
      <c r="ILS41" s="44"/>
      <c r="ILT41" s="44"/>
      <c r="ILU41" s="44"/>
      <c r="ILV41" s="44"/>
      <c r="ILW41" s="44"/>
      <c r="ILX41" s="44"/>
      <c r="ILY41" s="44"/>
      <c r="ILZ41" s="44"/>
      <c r="IMA41" s="44"/>
      <c r="IMB41" s="44"/>
      <c r="IMC41" s="44"/>
      <c r="IMD41" s="44"/>
      <c r="IME41" s="44"/>
      <c r="IMF41" s="44"/>
      <c r="IMG41" s="44"/>
      <c r="IMH41" s="44"/>
      <c r="IMI41" s="44"/>
      <c r="IMJ41" s="44"/>
      <c r="IMK41" s="44"/>
      <c r="IML41" s="44"/>
      <c r="IMM41" s="44"/>
      <c r="IMN41" s="44"/>
      <c r="IMO41" s="44"/>
      <c r="IMP41" s="44"/>
      <c r="IMQ41" s="44"/>
      <c r="IMR41" s="44"/>
      <c r="IMS41" s="44"/>
      <c r="IMT41" s="44"/>
      <c r="IMU41" s="44"/>
      <c r="IMV41" s="44"/>
      <c r="IMW41" s="44"/>
      <c r="IMX41" s="44"/>
      <c r="IMY41" s="44"/>
      <c r="IMZ41" s="44"/>
      <c r="INA41" s="44"/>
      <c r="INB41" s="44"/>
      <c r="INC41" s="44"/>
      <c r="IND41" s="44"/>
      <c r="INE41" s="44"/>
      <c r="INF41" s="44"/>
      <c r="ING41" s="44"/>
      <c r="INH41" s="44"/>
      <c r="INI41" s="44"/>
      <c r="INJ41" s="44"/>
      <c r="INK41" s="44"/>
      <c r="INL41" s="44"/>
      <c r="INM41" s="44"/>
      <c r="INN41" s="44"/>
      <c r="INO41" s="44"/>
      <c r="INP41" s="44"/>
      <c r="INQ41" s="44"/>
      <c r="INR41" s="44"/>
      <c r="INS41" s="44"/>
      <c r="INT41" s="44"/>
      <c r="INU41" s="44"/>
      <c r="INV41" s="44"/>
      <c r="INW41" s="44"/>
      <c r="INX41" s="44"/>
      <c r="INY41" s="44"/>
      <c r="INZ41" s="44"/>
      <c r="IOA41" s="44"/>
      <c r="IOB41" s="44"/>
      <c r="IOC41" s="44"/>
      <c r="IOD41" s="44"/>
      <c r="IOE41" s="44"/>
      <c r="IOF41" s="44"/>
      <c r="IOG41" s="44"/>
      <c r="IOH41" s="44"/>
      <c r="IOI41" s="44"/>
      <c r="IOJ41" s="44"/>
      <c r="IOK41" s="44"/>
      <c r="IOL41" s="44"/>
      <c r="IOM41" s="44"/>
      <c r="ION41" s="44"/>
      <c r="IOO41" s="44"/>
      <c r="IOP41" s="44"/>
      <c r="IOQ41" s="44"/>
      <c r="IOR41" s="44"/>
      <c r="IOS41" s="44"/>
      <c r="IOT41" s="44"/>
      <c r="IOU41" s="44"/>
      <c r="IOV41" s="44"/>
      <c r="IOW41" s="44"/>
      <c r="IOX41" s="44"/>
      <c r="IOY41" s="44"/>
      <c r="IOZ41" s="44"/>
      <c r="IPA41" s="44"/>
      <c r="IPB41" s="44"/>
      <c r="IPC41" s="44"/>
      <c r="IPD41" s="44"/>
      <c r="IPE41" s="44"/>
      <c r="IPF41" s="44"/>
      <c r="IPG41" s="44"/>
      <c r="IPH41" s="44"/>
      <c r="IPI41" s="44"/>
      <c r="IPJ41" s="44"/>
      <c r="IPK41" s="44"/>
      <c r="IPL41" s="44"/>
      <c r="IPM41" s="44"/>
      <c r="IPN41" s="44"/>
      <c r="IPO41" s="44"/>
      <c r="IPP41" s="44"/>
      <c r="IPQ41" s="44"/>
      <c r="IPR41" s="44"/>
      <c r="IPS41" s="44"/>
      <c r="IPT41" s="44"/>
      <c r="IPU41" s="44"/>
      <c r="IPV41" s="44"/>
      <c r="IPW41" s="44"/>
      <c r="IPX41" s="44"/>
      <c r="IPY41" s="44"/>
      <c r="IPZ41" s="44"/>
      <c r="IQA41" s="44"/>
      <c r="IQB41" s="44"/>
      <c r="IQC41" s="44"/>
      <c r="IQD41" s="44"/>
      <c r="IQE41" s="44"/>
      <c r="IQF41" s="44"/>
      <c r="IQG41" s="44"/>
      <c r="IQH41" s="44"/>
      <c r="IQI41" s="44"/>
      <c r="IQJ41" s="44"/>
      <c r="IQK41" s="44"/>
      <c r="IQL41" s="44"/>
      <c r="IQM41" s="44"/>
      <c r="IQN41" s="44"/>
      <c r="IQO41" s="44"/>
      <c r="IQP41" s="44"/>
      <c r="IQQ41" s="44"/>
      <c r="IQR41" s="44"/>
      <c r="IQS41" s="44"/>
      <c r="IQT41" s="44"/>
      <c r="IQU41" s="44"/>
      <c r="IQV41" s="44"/>
      <c r="IQW41" s="44"/>
      <c r="IQX41" s="44"/>
      <c r="IQY41" s="44"/>
      <c r="IQZ41" s="44"/>
      <c r="IRA41" s="44"/>
      <c r="IRB41" s="44"/>
      <c r="IRC41" s="44"/>
      <c r="IRD41" s="44"/>
      <c r="IRE41" s="44"/>
      <c r="IRF41" s="44"/>
      <c r="IRG41" s="44"/>
      <c r="IRH41" s="44"/>
      <c r="IRI41" s="44"/>
      <c r="IRJ41" s="44"/>
      <c r="IRK41" s="44"/>
      <c r="IRL41" s="44"/>
      <c r="IRM41" s="44"/>
      <c r="IRN41" s="44"/>
      <c r="IRO41" s="44"/>
      <c r="IRP41" s="44"/>
      <c r="IRQ41" s="44"/>
      <c r="IRR41" s="44"/>
      <c r="IRS41" s="44"/>
      <c r="IRT41" s="44"/>
      <c r="IRU41" s="44"/>
      <c r="IRV41" s="44"/>
      <c r="IRW41" s="44"/>
      <c r="IRX41" s="44"/>
      <c r="IRY41" s="44"/>
      <c r="IRZ41" s="44"/>
      <c r="ISA41" s="44"/>
      <c r="ISB41" s="44"/>
      <c r="ISC41" s="44"/>
      <c r="ISD41" s="44"/>
      <c r="ISE41" s="44"/>
      <c r="ISF41" s="44"/>
      <c r="ISG41" s="44"/>
      <c r="ISH41" s="44"/>
      <c r="ISI41" s="44"/>
      <c r="ISJ41" s="44"/>
      <c r="ISK41" s="44"/>
      <c r="ISL41" s="44"/>
      <c r="ISM41" s="44"/>
      <c r="ISN41" s="44"/>
      <c r="ISO41" s="44"/>
      <c r="ISP41" s="44"/>
      <c r="ISQ41" s="44"/>
      <c r="ISR41" s="44"/>
      <c r="ISS41" s="44"/>
      <c r="IST41" s="44"/>
      <c r="ISU41" s="44"/>
      <c r="ISV41" s="44"/>
      <c r="ISW41" s="44"/>
      <c r="ISX41" s="44"/>
      <c r="ISY41" s="44"/>
      <c r="ISZ41" s="44"/>
      <c r="ITA41" s="44"/>
      <c r="ITB41" s="44"/>
      <c r="ITC41" s="44"/>
      <c r="ITD41" s="44"/>
      <c r="ITE41" s="44"/>
      <c r="ITF41" s="44"/>
      <c r="ITG41" s="44"/>
      <c r="ITH41" s="44"/>
      <c r="ITI41" s="44"/>
      <c r="ITJ41" s="44"/>
      <c r="ITK41" s="44"/>
      <c r="ITL41" s="44"/>
      <c r="ITM41" s="44"/>
      <c r="ITN41" s="44"/>
      <c r="ITO41" s="44"/>
      <c r="ITP41" s="44"/>
      <c r="ITQ41" s="44"/>
      <c r="ITR41" s="44"/>
      <c r="ITS41" s="44"/>
      <c r="ITT41" s="44"/>
      <c r="ITU41" s="44"/>
      <c r="ITV41" s="44"/>
      <c r="ITW41" s="44"/>
      <c r="ITX41" s="44"/>
      <c r="ITY41" s="44"/>
      <c r="ITZ41" s="44"/>
      <c r="IUA41" s="44"/>
      <c r="IUB41" s="44"/>
      <c r="IUC41" s="44"/>
      <c r="IUD41" s="44"/>
      <c r="IUE41" s="44"/>
      <c r="IUF41" s="44"/>
      <c r="IUG41" s="44"/>
      <c r="IUH41" s="44"/>
      <c r="IUI41" s="44"/>
      <c r="IUJ41" s="44"/>
      <c r="IUK41" s="44"/>
      <c r="IUL41" s="44"/>
      <c r="IUM41" s="44"/>
      <c r="IUN41" s="44"/>
      <c r="IUO41" s="44"/>
      <c r="IUP41" s="44"/>
      <c r="IUQ41" s="44"/>
      <c r="IUR41" s="44"/>
      <c r="IUS41" s="44"/>
      <c r="IUT41" s="44"/>
      <c r="IUU41" s="44"/>
      <c r="IUV41" s="44"/>
      <c r="IUW41" s="44"/>
      <c r="IUX41" s="44"/>
      <c r="IUY41" s="44"/>
      <c r="IUZ41" s="44"/>
      <c r="IVA41" s="44"/>
      <c r="IVB41" s="44"/>
      <c r="IVC41" s="44"/>
      <c r="IVD41" s="44"/>
      <c r="IVE41" s="44"/>
      <c r="IVF41" s="44"/>
      <c r="IVG41" s="44"/>
      <c r="IVH41" s="44"/>
      <c r="IVI41" s="44"/>
      <c r="IVJ41" s="44"/>
      <c r="IVK41" s="44"/>
      <c r="IVL41" s="44"/>
      <c r="IVM41" s="44"/>
      <c r="IVN41" s="44"/>
      <c r="IVO41" s="44"/>
      <c r="IVP41" s="44"/>
      <c r="IVQ41" s="44"/>
      <c r="IVR41" s="44"/>
      <c r="IVS41" s="44"/>
      <c r="IVT41" s="44"/>
      <c r="IVU41" s="44"/>
      <c r="IVV41" s="44"/>
      <c r="IVW41" s="44"/>
      <c r="IVX41" s="44"/>
      <c r="IVY41" s="44"/>
      <c r="IVZ41" s="44"/>
      <c r="IWA41" s="44"/>
      <c r="IWB41" s="44"/>
      <c r="IWC41" s="44"/>
      <c r="IWD41" s="44"/>
      <c r="IWE41" s="44"/>
      <c r="IWF41" s="44"/>
      <c r="IWG41" s="44"/>
      <c r="IWH41" s="44"/>
      <c r="IWI41" s="44"/>
      <c r="IWJ41" s="44"/>
      <c r="IWK41" s="44"/>
      <c r="IWL41" s="44"/>
      <c r="IWM41" s="44"/>
      <c r="IWN41" s="44"/>
      <c r="IWO41" s="44"/>
      <c r="IWP41" s="44"/>
      <c r="IWQ41" s="44"/>
      <c r="IWR41" s="44"/>
      <c r="IWS41" s="44"/>
      <c r="IWT41" s="44"/>
      <c r="IWU41" s="44"/>
      <c r="IWV41" s="44"/>
      <c r="IWW41" s="44"/>
      <c r="IWX41" s="44"/>
      <c r="IWY41" s="44"/>
      <c r="IWZ41" s="44"/>
      <c r="IXA41" s="44"/>
      <c r="IXB41" s="44"/>
      <c r="IXC41" s="44"/>
      <c r="IXD41" s="44"/>
      <c r="IXE41" s="44"/>
      <c r="IXF41" s="44"/>
      <c r="IXG41" s="44"/>
      <c r="IXH41" s="44"/>
      <c r="IXI41" s="44"/>
      <c r="IXJ41" s="44"/>
      <c r="IXK41" s="44"/>
      <c r="IXL41" s="44"/>
      <c r="IXM41" s="44"/>
      <c r="IXN41" s="44"/>
      <c r="IXO41" s="44"/>
      <c r="IXP41" s="44"/>
      <c r="IXQ41" s="44"/>
      <c r="IXR41" s="44"/>
      <c r="IXS41" s="44"/>
      <c r="IXT41" s="44"/>
      <c r="IXU41" s="44"/>
      <c r="IXV41" s="44"/>
      <c r="IXW41" s="44"/>
      <c r="IXX41" s="44"/>
      <c r="IXY41" s="44"/>
      <c r="IXZ41" s="44"/>
      <c r="IYA41" s="44"/>
      <c r="IYB41" s="44"/>
      <c r="IYC41" s="44"/>
      <c r="IYD41" s="44"/>
      <c r="IYE41" s="44"/>
      <c r="IYF41" s="44"/>
      <c r="IYG41" s="44"/>
      <c r="IYH41" s="44"/>
      <c r="IYI41" s="44"/>
      <c r="IYJ41" s="44"/>
      <c r="IYK41" s="44"/>
      <c r="IYL41" s="44"/>
      <c r="IYM41" s="44"/>
      <c r="IYN41" s="44"/>
      <c r="IYO41" s="44"/>
      <c r="IYP41" s="44"/>
      <c r="IYQ41" s="44"/>
      <c r="IYR41" s="44"/>
      <c r="IYS41" s="44"/>
      <c r="IYT41" s="44"/>
      <c r="IYU41" s="44"/>
      <c r="IYV41" s="44"/>
      <c r="IYW41" s="44"/>
      <c r="IYX41" s="44"/>
      <c r="IYY41" s="44"/>
      <c r="IYZ41" s="44"/>
      <c r="IZA41" s="44"/>
      <c r="IZB41" s="44"/>
      <c r="IZC41" s="44"/>
      <c r="IZD41" s="44"/>
      <c r="IZE41" s="44"/>
      <c r="IZF41" s="44"/>
      <c r="IZG41" s="44"/>
      <c r="IZH41" s="44"/>
      <c r="IZI41" s="44"/>
      <c r="IZJ41" s="44"/>
      <c r="IZK41" s="44"/>
      <c r="IZL41" s="44"/>
      <c r="IZM41" s="44"/>
      <c r="IZN41" s="44"/>
      <c r="IZO41" s="44"/>
      <c r="IZP41" s="44"/>
      <c r="IZQ41" s="44"/>
      <c r="IZR41" s="44"/>
      <c r="IZS41" s="44"/>
      <c r="IZT41" s="44"/>
      <c r="IZU41" s="44"/>
      <c r="IZV41" s="44"/>
      <c r="IZW41" s="44"/>
      <c r="IZX41" s="44"/>
      <c r="IZY41" s="44"/>
      <c r="IZZ41" s="44"/>
      <c r="JAA41" s="44"/>
      <c r="JAB41" s="44"/>
      <c r="JAC41" s="44"/>
      <c r="JAD41" s="44"/>
      <c r="JAE41" s="44"/>
      <c r="JAF41" s="44"/>
      <c r="JAG41" s="44"/>
      <c r="JAH41" s="44"/>
      <c r="JAI41" s="44"/>
      <c r="JAJ41" s="44"/>
      <c r="JAK41" s="44"/>
      <c r="JAL41" s="44"/>
      <c r="JAM41" s="44"/>
      <c r="JAN41" s="44"/>
      <c r="JAO41" s="44"/>
      <c r="JAP41" s="44"/>
      <c r="JAQ41" s="44"/>
      <c r="JAR41" s="44"/>
      <c r="JAS41" s="44"/>
      <c r="JAT41" s="44"/>
      <c r="JAU41" s="44"/>
      <c r="JAV41" s="44"/>
      <c r="JAW41" s="44"/>
      <c r="JAX41" s="44"/>
      <c r="JAY41" s="44"/>
      <c r="JAZ41" s="44"/>
      <c r="JBA41" s="44"/>
      <c r="JBB41" s="44"/>
      <c r="JBC41" s="44"/>
      <c r="JBD41" s="44"/>
      <c r="JBE41" s="44"/>
      <c r="JBF41" s="44"/>
      <c r="JBG41" s="44"/>
      <c r="JBH41" s="44"/>
      <c r="JBI41" s="44"/>
      <c r="JBJ41" s="44"/>
      <c r="JBK41" s="44"/>
      <c r="JBL41" s="44"/>
      <c r="JBM41" s="44"/>
      <c r="JBN41" s="44"/>
      <c r="JBO41" s="44"/>
      <c r="JBP41" s="44"/>
      <c r="JBQ41" s="44"/>
      <c r="JBR41" s="44"/>
      <c r="JBS41" s="44"/>
      <c r="JBT41" s="44"/>
      <c r="JBU41" s="44"/>
      <c r="JBV41" s="44"/>
      <c r="JBW41" s="44"/>
      <c r="JBX41" s="44"/>
      <c r="JBY41" s="44"/>
      <c r="JBZ41" s="44"/>
      <c r="JCA41" s="44"/>
      <c r="JCB41" s="44"/>
      <c r="JCC41" s="44"/>
      <c r="JCD41" s="44"/>
      <c r="JCE41" s="44"/>
      <c r="JCF41" s="44"/>
      <c r="JCG41" s="44"/>
      <c r="JCH41" s="44"/>
      <c r="JCI41" s="44"/>
      <c r="JCJ41" s="44"/>
      <c r="JCK41" s="44"/>
      <c r="JCL41" s="44"/>
      <c r="JCM41" s="44"/>
      <c r="JCN41" s="44"/>
      <c r="JCO41" s="44"/>
      <c r="JCP41" s="44"/>
      <c r="JCQ41" s="44"/>
      <c r="JCR41" s="44"/>
      <c r="JCS41" s="44"/>
      <c r="JCT41" s="44"/>
      <c r="JCU41" s="44"/>
      <c r="JCV41" s="44"/>
      <c r="JCW41" s="44"/>
      <c r="JCX41" s="44"/>
      <c r="JCY41" s="44"/>
      <c r="JCZ41" s="44"/>
      <c r="JDA41" s="44"/>
      <c r="JDB41" s="44"/>
      <c r="JDC41" s="44"/>
      <c r="JDD41" s="44"/>
      <c r="JDE41" s="44"/>
      <c r="JDF41" s="44"/>
      <c r="JDG41" s="44"/>
      <c r="JDH41" s="44"/>
      <c r="JDI41" s="44"/>
      <c r="JDJ41" s="44"/>
      <c r="JDK41" s="44"/>
      <c r="JDL41" s="44"/>
      <c r="JDM41" s="44"/>
      <c r="JDN41" s="44"/>
      <c r="JDO41" s="44"/>
      <c r="JDP41" s="44"/>
      <c r="JDQ41" s="44"/>
      <c r="JDR41" s="44"/>
      <c r="JDS41" s="44"/>
      <c r="JDT41" s="44"/>
      <c r="JDU41" s="44"/>
      <c r="JDV41" s="44"/>
      <c r="JDW41" s="44"/>
      <c r="JDX41" s="44"/>
      <c r="JDY41" s="44"/>
      <c r="JDZ41" s="44"/>
      <c r="JEA41" s="44"/>
      <c r="JEB41" s="44"/>
      <c r="JEC41" s="44"/>
      <c r="JED41" s="44"/>
      <c r="JEE41" s="44"/>
      <c r="JEF41" s="44"/>
      <c r="JEG41" s="44"/>
      <c r="JEH41" s="44"/>
      <c r="JEI41" s="44"/>
      <c r="JEJ41" s="44"/>
      <c r="JEK41" s="44"/>
      <c r="JEL41" s="44"/>
      <c r="JEM41" s="44"/>
      <c r="JEN41" s="44"/>
      <c r="JEO41" s="44"/>
      <c r="JEP41" s="44"/>
      <c r="JEQ41" s="44"/>
      <c r="JER41" s="44"/>
      <c r="JES41" s="44"/>
      <c r="JET41" s="44"/>
      <c r="JEU41" s="44"/>
      <c r="JEV41" s="44"/>
      <c r="JEW41" s="44"/>
      <c r="JEX41" s="44"/>
      <c r="JEY41" s="44"/>
      <c r="JEZ41" s="44"/>
      <c r="JFA41" s="44"/>
      <c r="JFB41" s="44"/>
      <c r="JFC41" s="44"/>
      <c r="JFD41" s="44"/>
      <c r="JFE41" s="44"/>
      <c r="JFF41" s="44"/>
      <c r="JFG41" s="44"/>
      <c r="JFH41" s="44"/>
      <c r="JFI41" s="44"/>
      <c r="JFJ41" s="44"/>
      <c r="JFK41" s="44"/>
      <c r="JFL41" s="44"/>
      <c r="JFM41" s="44"/>
      <c r="JFN41" s="44"/>
      <c r="JFO41" s="44"/>
      <c r="JFP41" s="44"/>
      <c r="JFQ41" s="44"/>
      <c r="JFR41" s="44"/>
      <c r="JFS41" s="44"/>
      <c r="JFT41" s="44"/>
      <c r="JFU41" s="44"/>
      <c r="JFV41" s="44"/>
      <c r="JFW41" s="44"/>
      <c r="JFX41" s="44"/>
      <c r="JFY41" s="44"/>
      <c r="JFZ41" s="44"/>
      <c r="JGA41" s="44"/>
      <c r="JGB41" s="44"/>
      <c r="JGC41" s="44"/>
      <c r="JGD41" s="44"/>
      <c r="JGE41" s="44"/>
      <c r="JGF41" s="44"/>
      <c r="JGG41" s="44"/>
      <c r="JGH41" s="44"/>
      <c r="JGI41" s="44"/>
      <c r="JGJ41" s="44"/>
      <c r="JGK41" s="44"/>
      <c r="JGL41" s="44"/>
      <c r="JGM41" s="44"/>
      <c r="JGN41" s="44"/>
      <c r="JGO41" s="44"/>
      <c r="JGP41" s="44"/>
      <c r="JGQ41" s="44"/>
      <c r="JGR41" s="44"/>
      <c r="JGS41" s="44"/>
      <c r="JGT41" s="44"/>
      <c r="JGU41" s="44"/>
      <c r="JGV41" s="44"/>
      <c r="JGW41" s="44"/>
      <c r="JGX41" s="44"/>
      <c r="JGY41" s="44"/>
      <c r="JGZ41" s="44"/>
      <c r="JHA41" s="44"/>
      <c r="JHB41" s="44"/>
      <c r="JHC41" s="44"/>
      <c r="JHD41" s="44"/>
      <c r="JHE41" s="44"/>
      <c r="JHF41" s="44"/>
      <c r="JHG41" s="44"/>
      <c r="JHH41" s="44"/>
      <c r="JHI41" s="44"/>
      <c r="JHJ41" s="44"/>
      <c r="JHK41" s="44"/>
      <c r="JHL41" s="44"/>
      <c r="JHM41" s="44"/>
      <c r="JHN41" s="44"/>
      <c r="JHO41" s="44"/>
      <c r="JHP41" s="44"/>
      <c r="JHQ41" s="44"/>
      <c r="JHR41" s="44"/>
      <c r="JHS41" s="44"/>
      <c r="JHT41" s="44"/>
      <c r="JHU41" s="44"/>
      <c r="JHV41" s="44"/>
      <c r="JHW41" s="44"/>
      <c r="JHX41" s="44"/>
      <c r="JHY41" s="44"/>
      <c r="JHZ41" s="44"/>
      <c r="JIA41" s="44"/>
      <c r="JIB41" s="44"/>
      <c r="JIC41" s="44"/>
      <c r="JID41" s="44"/>
      <c r="JIE41" s="44"/>
      <c r="JIF41" s="44"/>
      <c r="JIG41" s="44"/>
      <c r="JIH41" s="44"/>
      <c r="JII41" s="44"/>
      <c r="JIJ41" s="44"/>
      <c r="JIK41" s="44"/>
      <c r="JIL41" s="44"/>
      <c r="JIM41" s="44"/>
      <c r="JIN41" s="44"/>
      <c r="JIO41" s="44"/>
      <c r="JIP41" s="44"/>
      <c r="JIQ41" s="44"/>
      <c r="JIR41" s="44"/>
      <c r="JIS41" s="44"/>
      <c r="JIT41" s="44"/>
      <c r="JIU41" s="44"/>
      <c r="JIV41" s="44"/>
      <c r="JIW41" s="44"/>
      <c r="JIX41" s="44"/>
      <c r="JIY41" s="44"/>
      <c r="JIZ41" s="44"/>
      <c r="JJA41" s="44"/>
      <c r="JJB41" s="44"/>
      <c r="JJC41" s="44"/>
      <c r="JJD41" s="44"/>
      <c r="JJE41" s="44"/>
      <c r="JJF41" s="44"/>
      <c r="JJG41" s="44"/>
      <c r="JJH41" s="44"/>
      <c r="JJI41" s="44"/>
      <c r="JJJ41" s="44"/>
      <c r="JJK41" s="44"/>
      <c r="JJL41" s="44"/>
      <c r="JJM41" s="44"/>
      <c r="JJN41" s="44"/>
      <c r="JJO41" s="44"/>
      <c r="JJP41" s="44"/>
      <c r="JJQ41" s="44"/>
      <c r="JJR41" s="44"/>
      <c r="JJS41" s="44"/>
      <c r="JJT41" s="44"/>
      <c r="JJU41" s="44"/>
      <c r="JJV41" s="44"/>
      <c r="JJW41" s="44"/>
      <c r="JJX41" s="44"/>
      <c r="JJY41" s="44"/>
      <c r="JJZ41" s="44"/>
      <c r="JKA41" s="44"/>
      <c r="JKB41" s="44"/>
      <c r="JKC41" s="44"/>
      <c r="JKD41" s="44"/>
      <c r="JKE41" s="44"/>
      <c r="JKF41" s="44"/>
      <c r="JKG41" s="44"/>
      <c r="JKH41" s="44"/>
      <c r="JKI41" s="44"/>
      <c r="JKJ41" s="44"/>
      <c r="JKK41" s="44"/>
      <c r="JKL41" s="44"/>
      <c r="JKM41" s="44"/>
      <c r="JKN41" s="44"/>
      <c r="JKO41" s="44"/>
      <c r="JKP41" s="44"/>
      <c r="JKQ41" s="44"/>
      <c r="JKR41" s="44"/>
      <c r="JKS41" s="44"/>
      <c r="JKT41" s="44"/>
      <c r="JKU41" s="44"/>
      <c r="JKV41" s="44"/>
      <c r="JKW41" s="44"/>
      <c r="JKX41" s="44"/>
      <c r="JKY41" s="44"/>
      <c r="JKZ41" s="44"/>
      <c r="JLA41" s="44"/>
      <c r="JLB41" s="44"/>
      <c r="JLC41" s="44"/>
      <c r="JLD41" s="44"/>
      <c r="JLE41" s="44"/>
      <c r="JLF41" s="44"/>
      <c r="JLG41" s="44"/>
      <c r="JLH41" s="44"/>
      <c r="JLI41" s="44"/>
      <c r="JLJ41" s="44"/>
      <c r="JLK41" s="44"/>
      <c r="JLL41" s="44"/>
      <c r="JLM41" s="44"/>
      <c r="JLN41" s="44"/>
      <c r="JLO41" s="44"/>
      <c r="JLP41" s="44"/>
      <c r="JLQ41" s="44"/>
      <c r="JLR41" s="44"/>
      <c r="JLS41" s="44"/>
      <c r="JLT41" s="44"/>
      <c r="JLU41" s="44"/>
      <c r="JLV41" s="44"/>
      <c r="JLW41" s="44"/>
      <c r="JLX41" s="44"/>
      <c r="JLY41" s="44"/>
      <c r="JLZ41" s="44"/>
      <c r="JMA41" s="44"/>
      <c r="JMB41" s="44"/>
      <c r="JMC41" s="44"/>
      <c r="JMD41" s="44"/>
      <c r="JME41" s="44"/>
      <c r="JMF41" s="44"/>
      <c r="JMG41" s="44"/>
      <c r="JMH41" s="44"/>
      <c r="JMI41" s="44"/>
      <c r="JMJ41" s="44"/>
      <c r="JMK41" s="44"/>
      <c r="JML41" s="44"/>
      <c r="JMM41" s="44"/>
      <c r="JMN41" s="44"/>
      <c r="JMO41" s="44"/>
      <c r="JMP41" s="44"/>
      <c r="JMQ41" s="44"/>
      <c r="JMR41" s="44"/>
      <c r="JMS41" s="44"/>
      <c r="JMT41" s="44"/>
      <c r="JMU41" s="44"/>
      <c r="JMV41" s="44"/>
      <c r="JMW41" s="44"/>
      <c r="JMX41" s="44"/>
      <c r="JMY41" s="44"/>
      <c r="JMZ41" s="44"/>
      <c r="JNA41" s="44"/>
      <c r="JNB41" s="44"/>
      <c r="JNC41" s="44"/>
      <c r="JND41" s="44"/>
      <c r="JNE41" s="44"/>
      <c r="JNF41" s="44"/>
      <c r="JNG41" s="44"/>
      <c r="JNH41" s="44"/>
      <c r="JNI41" s="44"/>
      <c r="JNJ41" s="44"/>
      <c r="JNK41" s="44"/>
      <c r="JNL41" s="44"/>
      <c r="JNM41" s="44"/>
      <c r="JNN41" s="44"/>
      <c r="JNO41" s="44"/>
      <c r="JNP41" s="44"/>
      <c r="JNQ41" s="44"/>
      <c r="JNR41" s="44"/>
      <c r="JNS41" s="44"/>
      <c r="JNT41" s="44"/>
      <c r="JNU41" s="44"/>
      <c r="JNV41" s="44"/>
      <c r="JNW41" s="44"/>
      <c r="JNX41" s="44"/>
      <c r="JNY41" s="44"/>
      <c r="JNZ41" s="44"/>
      <c r="JOA41" s="44"/>
      <c r="JOB41" s="44"/>
      <c r="JOC41" s="44"/>
      <c r="JOD41" s="44"/>
      <c r="JOE41" s="44"/>
      <c r="JOF41" s="44"/>
      <c r="JOG41" s="44"/>
      <c r="JOH41" s="44"/>
      <c r="JOI41" s="44"/>
      <c r="JOJ41" s="44"/>
      <c r="JOK41" s="44"/>
      <c r="JOL41" s="44"/>
      <c r="JOM41" s="44"/>
      <c r="JON41" s="44"/>
      <c r="JOO41" s="44"/>
      <c r="JOP41" s="44"/>
      <c r="JOQ41" s="44"/>
      <c r="JOR41" s="44"/>
      <c r="JOS41" s="44"/>
      <c r="JOT41" s="44"/>
      <c r="JOU41" s="44"/>
      <c r="JOV41" s="44"/>
      <c r="JOW41" s="44"/>
      <c r="JOX41" s="44"/>
      <c r="JOY41" s="44"/>
      <c r="JOZ41" s="44"/>
      <c r="JPA41" s="44"/>
      <c r="JPB41" s="44"/>
      <c r="JPC41" s="44"/>
      <c r="JPD41" s="44"/>
      <c r="JPE41" s="44"/>
      <c r="JPF41" s="44"/>
      <c r="JPG41" s="44"/>
      <c r="JPH41" s="44"/>
      <c r="JPI41" s="44"/>
      <c r="JPJ41" s="44"/>
      <c r="JPK41" s="44"/>
      <c r="JPL41" s="44"/>
      <c r="JPM41" s="44"/>
      <c r="JPN41" s="44"/>
      <c r="JPO41" s="44"/>
      <c r="JPP41" s="44"/>
      <c r="JPQ41" s="44"/>
      <c r="JPR41" s="44"/>
      <c r="JPS41" s="44"/>
      <c r="JPT41" s="44"/>
      <c r="JPU41" s="44"/>
      <c r="JPV41" s="44"/>
      <c r="JPW41" s="44"/>
      <c r="JPX41" s="44"/>
      <c r="JPY41" s="44"/>
      <c r="JPZ41" s="44"/>
      <c r="JQA41" s="44"/>
      <c r="JQB41" s="44"/>
      <c r="JQC41" s="44"/>
      <c r="JQD41" s="44"/>
      <c r="JQE41" s="44"/>
      <c r="JQF41" s="44"/>
      <c r="JQG41" s="44"/>
      <c r="JQH41" s="44"/>
      <c r="JQI41" s="44"/>
      <c r="JQJ41" s="44"/>
      <c r="JQK41" s="44"/>
      <c r="JQL41" s="44"/>
      <c r="JQM41" s="44"/>
      <c r="JQN41" s="44"/>
      <c r="JQO41" s="44"/>
      <c r="JQP41" s="44"/>
      <c r="JQQ41" s="44"/>
      <c r="JQR41" s="44"/>
      <c r="JQS41" s="44"/>
      <c r="JQT41" s="44"/>
      <c r="JQU41" s="44"/>
      <c r="JQV41" s="44"/>
      <c r="JQW41" s="44"/>
      <c r="JQX41" s="44"/>
      <c r="JQY41" s="44"/>
      <c r="JQZ41" s="44"/>
      <c r="JRA41" s="44"/>
      <c r="JRB41" s="44"/>
      <c r="JRC41" s="44"/>
      <c r="JRD41" s="44"/>
      <c r="JRE41" s="44"/>
      <c r="JRF41" s="44"/>
      <c r="JRG41" s="44"/>
      <c r="JRH41" s="44"/>
      <c r="JRI41" s="44"/>
      <c r="JRJ41" s="44"/>
      <c r="JRK41" s="44"/>
      <c r="JRL41" s="44"/>
      <c r="JRM41" s="44"/>
      <c r="JRN41" s="44"/>
      <c r="JRO41" s="44"/>
      <c r="JRP41" s="44"/>
      <c r="JRQ41" s="44"/>
      <c r="JRR41" s="44"/>
      <c r="JRS41" s="44"/>
      <c r="JRT41" s="44"/>
      <c r="JRU41" s="44"/>
      <c r="JRV41" s="44"/>
      <c r="JRW41" s="44"/>
      <c r="JRX41" s="44"/>
      <c r="JRY41" s="44"/>
      <c r="JRZ41" s="44"/>
      <c r="JSA41" s="44"/>
      <c r="JSB41" s="44"/>
      <c r="JSC41" s="44"/>
      <c r="JSD41" s="44"/>
      <c r="JSE41" s="44"/>
      <c r="JSF41" s="44"/>
      <c r="JSG41" s="44"/>
      <c r="JSH41" s="44"/>
      <c r="JSI41" s="44"/>
      <c r="JSJ41" s="44"/>
      <c r="JSK41" s="44"/>
      <c r="JSL41" s="44"/>
      <c r="JSM41" s="44"/>
      <c r="JSN41" s="44"/>
      <c r="JSO41" s="44"/>
      <c r="JSP41" s="44"/>
      <c r="JSQ41" s="44"/>
      <c r="JSR41" s="44"/>
      <c r="JSS41" s="44"/>
      <c r="JST41" s="44"/>
      <c r="JSU41" s="44"/>
      <c r="JSV41" s="44"/>
      <c r="JSW41" s="44"/>
      <c r="JSX41" s="44"/>
      <c r="JSY41" s="44"/>
      <c r="JSZ41" s="44"/>
      <c r="JTA41" s="44"/>
      <c r="JTB41" s="44"/>
      <c r="JTC41" s="44"/>
      <c r="JTD41" s="44"/>
      <c r="JTE41" s="44"/>
      <c r="JTF41" s="44"/>
      <c r="JTG41" s="44"/>
      <c r="JTH41" s="44"/>
      <c r="JTI41" s="44"/>
      <c r="JTJ41" s="44"/>
      <c r="JTK41" s="44"/>
      <c r="JTL41" s="44"/>
      <c r="JTM41" s="44"/>
      <c r="JTN41" s="44"/>
      <c r="JTO41" s="44"/>
      <c r="JTP41" s="44"/>
      <c r="JTQ41" s="44"/>
      <c r="JTR41" s="44"/>
      <c r="JTS41" s="44"/>
      <c r="JTT41" s="44"/>
      <c r="JTU41" s="44"/>
      <c r="JTV41" s="44"/>
      <c r="JTW41" s="44"/>
      <c r="JTX41" s="44"/>
      <c r="JTY41" s="44"/>
      <c r="JTZ41" s="44"/>
      <c r="JUA41" s="44"/>
      <c r="JUB41" s="44"/>
      <c r="JUC41" s="44"/>
      <c r="JUD41" s="44"/>
      <c r="JUE41" s="44"/>
      <c r="JUF41" s="44"/>
      <c r="JUG41" s="44"/>
      <c r="JUH41" s="44"/>
      <c r="JUI41" s="44"/>
      <c r="JUJ41" s="44"/>
      <c r="JUK41" s="44"/>
      <c r="JUL41" s="44"/>
      <c r="JUM41" s="44"/>
      <c r="JUN41" s="44"/>
      <c r="JUO41" s="44"/>
      <c r="JUP41" s="44"/>
      <c r="JUQ41" s="44"/>
      <c r="JUR41" s="44"/>
      <c r="JUS41" s="44"/>
      <c r="JUT41" s="44"/>
      <c r="JUU41" s="44"/>
      <c r="JUV41" s="44"/>
      <c r="JUW41" s="44"/>
      <c r="JUX41" s="44"/>
      <c r="JUY41" s="44"/>
      <c r="JUZ41" s="44"/>
      <c r="JVA41" s="44"/>
      <c r="JVB41" s="44"/>
      <c r="JVC41" s="44"/>
      <c r="JVD41" s="44"/>
      <c r="JVE41" s="44"/>
      <c r="JVF41" s="44"/>
      <c r="JVG41" s="44"/>
      <c r="JVH41" s="44"/>
      <c r="JVI41" s="44"/>
      <c r="JVJ41" s="44"/>
      <c r="JVK41" s="44"/>
      <c r="JVL41" s="44"/>
      <c r="JVM41" s="44"/>
      <c r="JVN41" s="44"/>
      <c r="JVO41" s="44"/>
      <c r="JVP41" s="44"/>
      <c r="JVQ41" s="44"/>
      <c r="JVR41" s="44"/>
      <c r="JVS41" s="44"/>
      <c r="JVT41" s="44"/>
      <c r="JVU41" s="44"/>
      <c r="JVV41" s="44"/>
      <c r="JVW41" s="44"/>
      <c r="JVX41" s="44"/>
      <c r="JVY41" s="44"/>
      <c r="JVZ41" s="44"/>
      <c r="JWA41" s="44"/>
      <c r="JWB41" s="44"/>
      <c r="JWC41" s="44"/>
      <c r="JWD41" s="44"/>
      <c r="JWE41" s="44"/>
      <c r="JWF41" s="44"/>
      <c r="JWG41" s="44"/>
      <c r="JWH41" s="44"/>
      <c r="JWI41" s="44"/>
      <c r="JWJ41" s="44"/>
      <c r="JWK41" s="44"/>
      <c r="JWL41" s="44"/>
      <c r="JWM41" s="44"/>
      <c r="JWN41" s="44"/>
      <c r="JWO41" s="44"/>
      <c r="JWP41" s="44"/>
      <c r="JWQ41" s="44"/>
      <c r="JWR41" s="44"/>
      <c r="JWS41" s="44"/>
      <c r="JWT41" s="44"/>
      <c r="JWU41" s="44"/>
      <c r="JWV41" s="44"/>
      <c r="JWW41" s="44"/>
      <c r="JWX41" s="44"/>
      <c r="JWY41" s="44"/>
      <c r="JWZ41" s="44"/>
      <c r="JXA41" s="44"/>
      <c r="JXB41" s="44"/>
      <c r="JXC41" s="44"/>
      <c r="JXD41" s="44"/>
      <c r="JXE41" s="44"/>
      <c r="JXF41" s="44"/>
      <c r="JXG41" s="44"/>
      <c r="JXH41" s="44"/>
      <c r="JXI41" s="44"/>
      <c r="JXJ41" s="44"/>
      <c r="JXK41" s="44"/>
      <c r="JXL41" s="44"/>
      <c r="JXM41" s="44"/>
      <c r="JXN41" s="44"/>
      <c r="JXO41" s="44"/>
      <c r="JXP41" s="44"/>
      <c r="JXQ41" s="44"/>
      <c r="JXR41" s="44"/>
      <c r="JXS41" s="44"/>
      <c r="JXT41" s="44"/>
      <c r="JXU41" s="44"/>
      <c r="JXV41" s="44"/>
      <c r="JXW41" s="44"/>
      <c r="JXX41" s="44"/>
      <c r="JXY41" s="44"/>
      <c r="JXZ41" s="44"/>
      <c r="JYA41" s="44"/>
      <c r="JYB41" s="44"/>
      <c r="JYC41" s="44"/>
      <c r="JYD41" s="44"/>
      <c r="JYE41" s="44"/>
      <c r="JYF41" s="44"/>
      <c r="JYG41" s="44"/>
      <c r="JYH41" s="44"/>
      <c r="JYI41" s="44"/>
      <c r="JYJ41" s="44"/>
      <c r="JYK41" s="44"/>
      <c r="JYL41" s="44"/>
      <c r="JYM41" s="44"/>
      <c r="JYN41" s="44"/>
      <c r="JYO41" s="44"/>
      <c r="JYP41" s="44"/>
      <c r="JYQ41" s="44"/>
      <c r="JYR41" s="44"/>
      <c r="JYS41" s="44"/>
      <c r="JYT41" s="44"/>
      <c r="JYU41" s="44"/>
      <c r="JYV41" s="44"/>
      <c r="JYW41" s="44"/>
      <c r="JYX41" s="44"/>
      <c r="JYY41" s="44"/>
      <c r="JYZ41" s="44"/>
      <c r="JZA41" s="44"/>
      <c r="JZB41" s="44"/>
      <c r="JZC41" s="44"/>
      <c r="JZD41" s="44"/>
      <c r="JZE41" s="44"/>
      <c r="JZF41" s="44"/>
      <c r="JZG41" s="44"/>
      <c r="JZH41" s="44"/>
      <c r="JZI41" s="44"/>
      <c r="JZJ41" s="44"/>
      <c r="JZK41" s="44"/>
      <c r="JZL41" s="44"/>
      <c r="JZM41" s="44"/>
      <c r="JZN41" s="44"/>
      <c r="JZO41" s="44"/>
      <c r="JZP41" s="44"/>
      <c r="JZQ41" s="44"/>
      <c r="JZR41" s="44"/>
      <c r="JZS41" s="44"/>
      <c r="JZT41" s="44"/>
      <c r="JZU41" s="44"/>
      <c r="JZV41" s="44"/>
      <c r="JZW41" s="44"/>
      <c r="JZX41" s="44"/>
      <c r="JZY41" s="44"/>
      <c r="JZZ41" s="44"/>
      <c r="KAA41" s="44"/>
      <c r="KAB41" s="44"/>
      <c r="KAC41" s="44"/>
      <c r="KAD41" s="44"/>
      <c r="KAE41" s="44"/>
      <c r="KAF41" s="44"/>
      <c r="KAG41" s="44"/>
      <c r="KAH41" s="44"/>
      <c r="KAI41" s="44"/>
      <c r="KAJ41" s="44"/>
      <c r="KAK41" s="44"/>
      <c r="KAL41" s="44"/>
      <c r="KAM41" s="44"/>
      <c r="KAN41" s="44"/>
      <c r="KAO41" s="44"/>
      <c r="KAP41" s="44"/>
      <c r="KAQ41" s="44"/>
      <c r="KAR41" s="44"/>
      <c r="KAS41" s="44"/>
      <c r="KAT41" s="44"/>
      <c r="KAU41" s="44"/>
      <c r="KAV41" s="44"/>
      <c r="KAW41" s="44"/>
      <c r="KAX41" s="44"/>
      <c r="KAY41" s="44"/>
      <c r="KAZ41" s="44"/>
      <c r="KBA41" s="44"/>
      <c r="KBB41" s="44"/>
      <c r="KBC41" s="44"/>
      <c r="KBD41" s="44"/>
      <c r="KBE41" s="44"/>
      <c r="KBF41" s="44"/>
      <c r="KBG41" s="44"/>
      <c r="KBH41" s="44"/>
      <c r="KBI41" s="44"/>
      <c r="KBJ41" s="44"/>
      <c r="KBK41" s="44"/>
      <c r="KBL41" s="44"/>
      <c r="KBM41" s="44"/>
      <c r="KBN41" s="44"/>
      <c r="KBO41" s="44"/>
      <c r="KBP41" s="44"/>
      <c r="KBQ41" s="44"/>
      <c r="KBR41" s="44"/>
      <c r="KBS41" s="44"/>
      <c r="KBT41" s="44"/>
      <c r="KBU41" s="44"/>
      <c r="KBV41" s="44"/>
      <c r="KBW41" s="44"/>
      <c r="KBX41" s="44"/>
      <c r="KBY41" s="44"/>
      <c r="KBZ41" s="44"/>
      <c r="KCA41" s="44"/>
      <c r="KCB41" s="44"/>
      <c r="KCC41" s="44"/>
      <c r="KCD41" s="44"/>
      <c r="KCE41" s="44"/>
      <c r="KCF41" s="44"/>
      <c r="KCG41" s="44"/>
      <c r="KCH41" s="44"/>
      <c r="KCI41" s="44"/>
      <c r="KCJ41" s="44"/>
      <c r="KCK41" s="44"/>
      <c r="KCL41" s="44"/>
      <c r="KCM41" s="44"/>
      <c r="KCN41" s="44"/>
      <c r="KCO41" s="44"/>
      <c r="KCP41" s="44"/>
      <c r="KCQ41" s="44"/>
      <c r="KCR41" s="44"/>
      <c r="KCS41" s="44"/>
      <c r="KCT41" s="44"/>
      <c r="KCU41" s="44"/>
      <c r="KCV41" s="44"/>
      <c r="KCW41" s="44"/>
      <c r="KCX41" s="44"/>
      <c r="KCY41" s="44"/>
      <c r="KCZ41" s="44"/>
      <c r="KDA41" s="44"/>
      <c r="KDB41" s="44"/>
      <c r="KDC41" s="44"/>
      <c r="KDD41" s="44"/>
      <c r="KDE41" s="44"/>
      <c r="KDF41" s="44"/>
      <c r="KDG41" s="44"/>
      <c r="KDH41" s="44"/>
      <c r="KDI41" s="44"/>
      <c r="KDJ41" s="44"/>
      <c r="KDK41" s="44"/>
      <c r="KDL41" s="44"/>
      <c r="KDM41" s="44"/>
      <c r="KDN41" s="44"/>
      <c r="KDO41" s="44"/>
      <c r="KDP41" s="44"/>
      <c r="KDQ41" s="44"/>
      <c r="KDR41" s="44"/>
      <c r="KDS41" s="44"/>
      <c r="KDT41" s="44"/>
      <c r="KDU41" s="44"/>
      <c r="KDV41" s="44"/>
      <c r="KDW41" s="44"/>
      <c r="KDX41" s="44"/>
      <c r="KDY41" s="44"/>
      <c r="KDZ41" s="44"/>
      <c r="KEA41" s="44"/>
      <c r="KEB41" s="44"/>
      <c r="KEC41" s="44"/>
      <c r="KED41" s="44"/>
      <c r="KEE41" s="44"/>
      <c r="KEF41" s="44"/>
      <c r="KEG41" s="44"/>
      <c r="KEH41" s="44"/>
      <c r="KEI41" s="44"/>
      <c r="KEJ41" s="44"/>
      <c r="KEK41" s="44"/>
      <c r="KEL41" s="44"/>
      <c r="KEM41" s="44"/>
      <c r="KEN41" s="44"/>
      <c r="KEO41" s="44"/>
      <c r="KEP41" s="44"/>
      <c r="KEQ41" s="44"/>
      <c r="KER41" s="44"/>
      <c r="KES41" s="44"/>
      <c r="KET41" s="44"/>
      <c r="KEU41" s="44"/>
      <c r="KEV41" s="44"/>
      <c r="KEW41" s="44"/>
      <c r="KEX41" s="44"/>
      <c r="KEY41" s="44"/>
      <c r="KEZ41" s="44"/>
      <c r="KFA41" s="44"/>
      <c r="KFB41" s="44"/>
      <c r="KFC41" s="44"/>
      <c r="KFD41" s="44"/>
      <c r="KFE41" s="44"/>
      <c r="KFF41" s="44"/>
      <c r="KFG41" s="44"/>
      <c r="KFH41" s="44"/>
      <c r="KFI41" s="44"/>
      <c r="KFJ41" s="44"/>
      <c r="KFK41" s="44"/>
      <c r="KFL41" s="44"/>
      <c r="KFM41" s="44"/>
      <c r="KFN41" s="44"/>
      <c r="KFO41" s="44"/>
      <c r="KFP41" s="44"/>
      <c r="KFQ41" s="44"/>
      <c r="KFR41" s="44"/>
      <c r="KFS41" s="44"/>
      <c r="KFT41" s="44"/>
      <c r="KFU41" s="44"/>
      <c r="KFV41" s="44"/>
      <c r="KFW41" s="44"/>
      <c r="KFX41" s="44"/>
      <c r="KFY41" s="44"/>
      <c r="KFZ41" s="44"/>
      <c r="KGA41" s="44"/>
      <c r="KGB41" s="44"/>
      <c r="KGC41" s="44"/>
      <c r="KGD41" s="44"/>
      <c r="KGE41" s="44"/>
      <c r="KGF41" s="44"/>
      <c r="KGG41" s="44"/>
      <c r="KGH41" s="44"/>
      <c r="KGI41" s="44"/>
      <c r="KGJ41" s="44"/>
      <c r="KGK41" s="44"/>
      <c r="KGL41" s="44"/>
      <c r="KGM41" s="44"/>
      <c r="KGN41" s="44"/>
      <c r="KGO41" s="44"/>
      <c r="KGP41" s="44"/>
      <c r="KGQ41" s="44"/>
      <c r="KGR41" s="44"/>
      <c r="KGS41" s="44"/>
      <c r="KGT41" s="44"/>
      <c r="KGU41" s="44"/>
      <c r="KGV41" s="44"/>
      <c r="KGW41" s="44"/>
      <c r="KGX41" s="44"/>
      <c r="KGY41" s="44"/>
      <c r="KGZ41" s="44"/>
      <c r="KHA41" s="44"/>
      <c r="KHB41" s="44"/>
      <c r="KHC41" s="44"/>
      <c r="KHD41" s="44"/>
      <c r="KHE41" s="44"/>
      <c r="KHF41" s="44"/>
      <c r="KHG41" s="44"/>
      <c r="KHH41" s="44"/>
      <c r="KHI41" s="44"/>
      <c r="KHJ41" s="44"/>
      <c r="KHK41" s="44"/>
      <c r="KHL41" s="44"/>
      <c r="KHM41" s="44"/>
      <c r="KHN41" s="44"/>
      <c r="KHO41" s="44"/>
      <c r="KHP41" s="44"/>
      <c r="KHQ41" s="44"/>
      <c r="KHR41" s="44"/>
      <c r="KHS41" s="44"/>
      <c r="KHT41" s="44"/>
      <c r="KHU41" s="44"/>
      <c r="KHV41" s="44"/>
      <c r="KHW41" s="44"/>
      <c r="KHX41" s="44"/>
      <c r="KHY41" s="44"/>
      <c r="KHZ41" s="44"/>
      <c r="KIA41" s="44"/>
      <c r="KIB41" s="44"/>
      <c r="KIC41" s="44"/>
      <c r="KID41" s="44"/>
      <c r="KIE41" s="44"/>
      <c r="KIF41" s="44"/>
      <c r="KIG41" s="44"/>
      <c r="KIH41" s="44"/>
      <c r="KII41" s="44"/>
      <c r="KIJ41" s="44"/>
      <c r="KIK41" s="44"/>
      <c r="KIL41" s="44"/>
      <c r="KIM41" s="44"/>
      <c r="KIN41" s="44"/>
      <c r="KIO41" s="44"/>
      <c r="KIP41" s="44"/>
      <c r="KIQ41" s="44"/>
      <c r="KIR41" s="44"/>
      <c r="KIS41" s="44"/>
      <c r="KIT41" s="44"/>
      <c r="KIU41" s="44"/>
      <c r="KIV41" s="44"/>
      <c r="KIW41" s="44"/>
      <c r="KIX41" s="44"/>
      <c r="KIY41" s="44"/>
      <c r="KIZ41" s="44"/>
      <c r="KJA41" s="44"/>
      <c r="KJB41" s="44"/>
      <c r="KJC41" s="44"/>
      <c r="KJD41" s="44"/>
      <c r="KJE41" s="44"/>
      <c r="KJF41" s="44"/>
      <c r="KJG41" s="44"/>
      <c r="KJH41" s="44"/>
      <c r="KJI41" s="44"/>
      <c r="KJJ41" s="44"/>
      <c r="KJK41" s="44"/>
      <c r="KJL41" s="44"/>
      <c r="KJM41" s="44"/>
      <c r="KJN41" s="44"/>
      <c r="KJO41" s="44"/>
      <c r="KJP41" s="44"/>
      <c r="KJQ41" s="44"/>
      <c r="KJR41" s="44"/>
      <c r="KJS41" s="44"/>
      <c r="KJT41" s="44"/>
      <c r="KJU41" s="44"/>
      <c r="KJV41" s="44"/>
      <c r="KJW41" s="44"/>
      <c r="KJX41" s="44"/>
      <c r="KJY41" s="44"/>
      <c r="KJZ41" s="44"/>
      <c r="KKA41" s="44"/>
      <c r="KKB41" s="44"/>
      <c r="KKC41" s="44"/>
      <c r="KKD41" s="44"/>
      <c r="KKE41" s="44"/>
      <c r="KKF41" s="44"/>
      <c r="KKG41" s="44"/>
      <c r="KKH41" s="44"/>
      <c r="KKI41" s="44"/>
      <c r="KKJ41" s="44"/>
      <c r="KKK41" s="44"/>
      <c r="KKL41" s="44"/>
      <c r="KKM41" s="44"/>
      <c r="KKN41" s="44"/>
      <c r="KKO41" s="44"/>
      <c r="KKP41" s="44"/>
      <c r="KKQ41" s="44"/>
      <c r="KKR41" s="44"/>
      <c r="KKS41" s="44"/>
      <c r="KKT41" s="44"/>
      <c r="KKU41" s="44"/>
      <c r="KKV41" s="44"/>
      <c r="KKW41" s="44"/>
      <c r="KKX41" s="44"/>
      <c r="KKY41" s="44"/>
      <c r="KKZ41" s="44"/>
      <c r="KLA41" s="44"/>
      <c r="KLB41" s="44"/>
      <c r="KLC41" s="44"/>
      <c r="KLD41" s="44"/>
      <c r="KLE41" s="44"/>
      <c r="KLF41" s="44"/>
      <c r="KLG41" s="44"/>
      <c r="KLH41" s="44"/>
      <c r="KLI41" s="44"/>
      <c r="KLJ41" s="44"/>
      <c r="KLK41" s="44"/>
      <c r="KLL41" s="44"/>
      <c r="KLM41" s="44"/>
      <c r="KLN41" s="44"/>
      <c r="KLO41" s="44"/>
      <c r="KLP41" s="44"/>
      <c r="KLQ41" s="44"/>
      <c r="KLR41" s="44"/>
      <c r="KLS41" s="44"/>
      <c r="KLT41" s="44"/>
      <c r="KLU41" s="44"/>
      <c r="KLV41" s="44"/>
      <c r="KLW41" s="44"/>
      <c r="KLX41" s="44"/>
      <c r="KLY41" s="44"/>
      <c r="KLZ41" s="44"/>
      <c r="KMA41" s="44"/>
      <c r="KMB41" s="44"/>
      <c r="KMC41" s="44"/>
      <c r="KMD41" s="44"/>
      <c r="KME41" s="44"/>
      <c r="KMF41" s="44"/>
      <c r="KMG41" s="44"/>
      <c r="KMH41" s="44"/>
      <c r="KMI41" s="44"/>
      <c r="KMJ41" s="44"/>
      <c r="KMK41" s="44"/>
      <c r="KML41" s="44"/>
      <c r="KMM41" s="44"/>
      <c r="KMN41" s="44"/>
      <c r="KMO41" s="44"/>
      <c r="KMP41" s="44"/>
      <c r="KMQ41" s="44"/>
      <c r="KMR41" s="44"/>
      <c r="KMS41" s="44"/>
      <c r="KMT41" s="44"/>
      <c r="KMU41" s="44"/>
      <c r="KMV41" s="44"/>
      <c r="KMW41" s="44"/>
      <c r="KMX41" s="44"/>
      <c r="KMY41" s="44"/>
      <c r="KMZ41" s="44"/>
      <c r="KNA41" s="44"/>
      <c r="KNB41" s="44"/>
      <c r="KNC41" s="44"/>
      <c r="KND41" s="44"/>
      <c r="KNE41" s="44"/>
      <c r="KNF41" s="44"/>
      <c r="KNG41" s="44"/>
      <c r="KNH41" s="44"/>
      <c r="KNI41" s="44"/>
      <c r="KNJ41" s="44"/>
      <c r="KNK41" s="44"/>
      <c r="KNL41" s="44"/>
      <c r="KNM41" s="44"/>
      <c r="KNN41" s="44"/>
      <c r="KNO41" s="44"/>
      <c r="KNP41" s="44"/>
      <c r="KNQ41" s="44"/>
      <c r="KNR41" s="44"/>
      <c r="KNS41" s="44"/>
      <c r="KNT41" s="44"/>
      <c r="KNU41" s="44"/>
      <c r="KNV41" s="44"/>
      <c r="KNW41" s="44"/>
      <c r="KNX41" s="44"/>
      <c r="KNY41" s="44"/>
      <c r="KNZ41" s="44"/>
      <c r="KOA41" s="44"/>
      <c r="KOB41" s="44"/>
      <c r="KOC41" s="44"/>
      <c r="KOD41" s="44"/>
      <c r="KOE41" s="44"/>
      <c r="KOF41" s="44"/>
      <c r="KOG41" s="44"/>
      <c r="KOH41" s="44"/>
      <c r="KOI41" s="44"/>
      <c r="KOJ41" s="44"/>
      <c r="KOK41" s="44"/>
      <c r="KOL41" s="44"/>
      <c r="KOM41" s="44"/>
      <c r="KON41" s="44"/>
      <c r="KOO41" s="44"/>
      <c r="KOP41" s="44"/>
      <c r="KOQ41" s="44"/>
      <c r="KOR41" s="44"/>
      <c r="KOS41" s="44"/>
      <c r="KOT41" s="44"/>
      <c r="KOU41" s="44"/>
      <c r="KOV41" s="44"/>
      <c r="KOW41" s="44"/>
      <c r="KOX41" s="44"/>
      <c r="KOY41" s="44"/>
      <c r="KOZ41" s="44"/>
      <c r="KPA41" s="44"/>
      <c r="KPB41" s="44"/>
      <c r="KPC41" s="44"/>
      <c r="KPD41" s="44"/>
      <c r="KPE41" s="44"/>
      <c r="KPF41" s="44"/>
      <c r="KPG41" s="44"/>
      <c r="KPH41" s="44"/>
      <c r="KPI41" s="44"/>
      <c r="KPJ41" s="44"/>
      <c r="KPK41" s="44"/>
      <c r="KPL41" s="44"/>
      <c r="KPM41" s="44"/>
      <c r="KPN41" s="44"/>
      <c r="KPO41" s="44"/>
      <c r="KPP41" s="44"/>
      <c r="KPQ41" s="44"/>
      <c r="KPR41" s="44"/>
      <c r="KPS41" s="44"/>
      <c r="KPT41" s="44"/>
      <c r="KPU41" s="44"/>
      <c r="KPV41" s="44"/>
      <c r="KPW41" s="44"/>
      <c r="KPX41" s="44"/>
      <c r="KPY41" s="44"/>
      <c r="KPZ41" s="44"/>
      <c r="KQA41" s="44"/>
      <c r="KQB41" s="44"/>
      <c r="KQC41" s="44"/>
      <c r="KQD41" s="44"/>
      <c r="KQE41" s="44"/>
      <c r="KQF41" s="44"/>
      <c r="KQG41" s="44"/>
      <c r="KQH41" s="44"/>
      <c r="KQI41" s="44"/>
      <c r="KQJ41" s="44"/>
      <c r="KQK41" s="44"/>
      <c r="KQL41" s="44"/>
      <c r="KQM41" s="44"/>
      <c r="KQN41" s="44"/>
      <c r="KQO41" s="44"/>
      <c r="KQP41" s="44"/>
      <c r="KQQ41" s="44"/>
      <c r="KQR41" s="44"/>
      <c r="KQS41" s="44"/>
      <c r="KQT41" s="44"/>
      <c r="KQU41" s="44"/>
      <c r="KQV41" s="44"/>
      <c r="KQW41" s="44"/>
      <c r="KQX41" s="44"/>
      <c r="KQY41" s="44"/>
      <c r="KQZ41" s="44"/>
      <c r="KRA41" s="44"/>
      <c r="KRB41" s="44"/>
      <c r="KRC41" s="44"/>
      <c r="KRD41" s="44"/>
      <c r="KRE41" s="44"/>
      <c r="KRF41" s="44"/>
      <c r="KRG41" s="44"/>
      <c r="KRH41" s="44"/>
      <c r="KRI41" s="44"/>
      <c r="KRJ41" s="44"/>
      <c r="KRK41" s="44"/>
      <c r="KRL41" s="44"/>
      <c r="KRM41" s="44"/>
      <c r="KRN41" s="44"/>
      <c r="KRO41" s="44"/>
      <c r="KRP41" s="44"/>
      <c r="KRQ41" s="44"/>
      <c r="KRR41" s="44"/>
      <c r="KRS41" s="44"/>
      <c r="KRT41" s="44"/>
      <c r="KRU41" s="44"/>
      <c r="KRV41" s="44"/>
      <c r="KRW41" s="44"/>
      <c r="KRX41" s="44"/>
      <c r="KRY41" s="44"/>
      <c r="KRZ41" s="44"/>
      <c r="KSA41" s="44"/>
      <c r="KSB41" s="44"/>
      <c r="KSC41" s="44"/>
      <c r="KSD41" s="44"/>
      <c r="KSE41" s="44"/>
      <c r="KSF41" s="44"/>
      <c r="KSG41" s="44"/>
      <c r="KSH41" s="44"/>
      <c r="KSI41" s="44"/>
      <c r="KSJ41" s="44"/>
      <c r="KSK41" s="44"/>
      <c r="KSL41" s="44"/>
      <c r="KSM41" s="44"/>
      <c r="KSN41" s="44"/>
      <c r="KSO41" s="44"/>
      <c r="KSP41" s="44"/>
      <c r="KSQ41" s="44"/>
      <c r="KSR41" s="44"/>
      <c r="KSS41" s="44"/>
      <c r="KST41" s="44"/>
      <c r="KSU41" s="44"/>
      <c r="KSV41" s="44"/>
      <c r="KSW41" s="44"/>
      <c r="KSX41" s="44"/>
      <c r="KSY41" s="44"/>
      <c r="KSZ41" s="44"/>
      <c r="KTA41" s="44"/>
      <c r="KTB41" s="44"/>
      <c r="KTC41" s="44"/>
      <c r="KTD41" s="44"/>
      <c r="KTE41" s="44"/>
      <c r="KTF41" s="44"/>
      <c r="KTG41" s="44"/>
      <c r="KTH41" s="44"/>
      <c r="KTI41" s="44"/>
      <c r="KTJ41" s="44"/>
      <c r="KTK41" s="44"/>
      <c r="KTL41" s="44"/>
      <c r="KTM41" s="44"/>
      <c r="KTN41" s="44"/>
      <c r="KTO41" s="44"/>
      <c r="KTP41" s="44"/>
      <c r="KTQ41" s="44"/>
      <c r="KTR41" s="44"/>
      <c r="KTS41" s="44"/>
      <c r="KTT41" s="44"/>
      <c r="KTU41" s="44"/>
      <c r="KTV41" s="44"/>
      <c r="KTW41" s="44"/>
      <c r="KTX41" s="44"/>
      <c r="KTY41" s="44"/>
      <c r="KTZ41" s="44"/>
      <c r="KUA41" s="44"/>
      <c r="KUB41" s="44"/>
      <c r="KUC41" s="44"/>
      <c r="KUD41" s="44"/>
      <c r="KUE41" s="44"/>
      <c r="KUF41" s="44"/>
      <c r="KUG41" s="44"/>
      <c r="KUH41" s="44"/>
      <c r="KUI41" s="44"/>
      <c r="KUJ41" s="44"/>
      <c r="KUK41" s="44"/>
      <c r="KUL41" s="44"/>
      <c r="KUM41" s="44"/>
      <c r="KUN41" s="44"/>
      <c r="KUO41" s="44"/>
      <c r="KUP41" s="44"/>
      <c r="KUQ41" s="44"/>
      <c r="KUR41" s="44"/>
      <c r="KUS41" s="44"/>
      <c r="KUT41" s="44"/>
      <c r="KUU41" s="44"/>
      <c r="KUV41" s="44"/>
      <c r="KUW41" s="44"/>
      <c r="KUX41" s="44"/>
      <c r="KUY41" s="44"/>
      <c r="KUZ41" s="44"/>
      <c r="KVA41" s="44"/>
      <c r="KVB41" s="44"/>
      <c r="KVC41" s="44"/>
      <c r="KVD41" s="44"/>
      <c r="KVE41" s="44"/>
      <c r="KVF41" s="44"/>
      <c r="KVG41" s="44"/>
      <c r="KVH41" s="44"/>
      <c r="KVI41" s="44"/>
      <c r="KVJ41" s="44"/>
      <c r="KVK41" s="44"/>
      <c r="KVL41" s="44"/>
      <c r="KVM41" s="44"/>
      <c r="KVN41" s="44"/>
      <c r="KVO41" s="44"/>
      <c r="KVP41" s="44"/>
      <c r="KVQ41" s="44"/>
      <c r="KVR41" s="44"/>
      <c r="KVS41" s="44"/>
      <c r="KVT41" s="44"/>
      <c r="KVU41" s="44"/>
      <c r="KVV41" s="44"/>
      <c r="KVW41" s="44"/>
      <c r="KVX41" s="44"/>
      <c r="KVY41" s="44"/>
      <c r="KVZ41" s="44"/>
      <c r="KWA41" s="44"/>
      <c r="KWB41" s="44"/>
      <c r="KWC41" s="44"/>
      <c r="KWD41" s="44"/>
      <c r="KWE41" s="44"/>
      <c r="KWF41" s="44"/>
      <c r="KWG41" s="44"/>
      <c r="KWH41" s="44"/>
      <c r="KWI41" s="44"/>
      <c r="KWJ41" s="44"/>
      <c r="KWK41" s="44"/>
      <c r="KWL41" s="44"/>
      <c r="KWM41" s="44"/>
      <c r="KWN41" s="44"/>
      <c r="KWO41" s="44"/>
      <c r="KWP41" s="44"/>
      <c r="KWQ41" s="44"/>
      <c r="KWR41" s="44"/>
      <c r="KWS41" s="44"/>
      <c r="KWT41" s="44"/>
      <c r="KWU41" s="44"/>
      <c r="KWV41" s="44"/>
      <c r="KWW41" s="44"/>
      <c r="KWX41" s="44"/>
      <c r="KWY41" s="44"/>
      <c r="KWZ41" s="44"/>
      <c r="KXA41" s="44"/>
      <c r="KXB41" s="44"/>
      <c r="KXC41" s="44"/>
      <c r="KXD41" s="44"/>
      <c r="KXE41" s="44"/>
      <c r="KXF41" s="44"/>
      <c r="KXG41" s="44"/>
      <c r="KXH41" s="44"/>
      <c r="KXI41" s="44"/>
      <c r="KXJ41" s="44"/>
      <c r="KXK41" s="44"/>
      <c r="KXL41" s="44"/>
      <c r="KXM41" s="44"/>
      <c r="KXN41" s="44"/>
      <c r="KXO41" s="44"/>
      <c r="KXP41" s="44"/>
      <c r="KXQ41" s="44"/>
      <c r="KXR41" s="44"/>
      <c r="KXS41" s="44"/>
      <c r="KXT41" s="44"/>
      <c r="KXU41" s="44"/>
      <c r="KXV41" s="44"/>
      <c r="KXW41" s="44"/>
      <c r="KXX41" s="44"/>
      <c r="KXY41" s="44"/>
      <c r="KXZ41" s="44"/>
      <c r="KYA41" s="44"/>
      <c r="KYB41" s="44"/>
      <c r="KYC41" s="44"/>
      <c r="KYD41" s="44"/>
      <c r="KYE41" s="44"/>
      <c r="KYF41" s="44"/>
      <c r="KYG41" s="44"/>
      <c r="KYH41" s="44"/>
      <c r="KYI41" s="44"/>
      <c r="KYJ41" s="44"/>
      <c r="KYK41" s="44"/>
      <c r="KYL41" s="44"/>
      <c r="KYM41" s="44"/>
      <c r="KYN41" s="44"/>
      <c r="KYO41" s="44"/>
      <c r="KYP41" s="44"/>
      <c r="KYQ41" s="44"/>
      <c r="KYR41" s="44"/>
      <c r="KYS41" s="44"/>
      <c r="KYT41" s="44"/>
      <c r="KYU41" s="44"/>
      <c r="KYV41" s="44"/>
      <c r="KYW41" s="44"/>
      <c r="KYX41" s="44"/>
      <c r="KYY41" s="44"/>
      <c r="KYZ41" s="44"/>
      <c r="KZA41" s="44"/>
      <c r="KZB41" s="44"/>
      <c r="KZC41" s="44"/>
      <c r="KZD41" s="44"/>
      <c r="KZE41" s="44"/>
      <c r="KZF41" s="44"/>
      <c r="KZG41" s="44"/>
      <c r="KZH41" s="44"/>
      <c r="KZI41" s="44"/>
      <c r="KZJ41" s="44"/>
      <c r="KZK41" s="44"/>
      <c r="KZL41" s="44"/>
      <c r="KZM41" s="44"/>
      <c r="KZN41" s="44"/>
      <c r="KZO41" s="44"/>
      <c r="KZP41" s="44"/>
      <c r="KZQ41" s="44"/>
      <c r="KZR41" s="44"/>
      <c r="KZS41" s="44"/>
      <c r="KZT41" s="44"/>
      <c r="KZU41" s="44"/>
      <c r="KZV41" s="44"/>
      <c r="KZW41" s="44"/>
      <c r="KZX41" s="44"/>
      <c r="KZY41" s="44"/>
      <c r="KZZ41" s="44"/>
      <c r="LAA41" s="44"/>
      <c r="LAB41" s="44"/>
      <c r="LAC41" s="44"/>
      <c r="LAD41" s="44"/>
      <c r="LAE41" s="44"/>
      <c r="LAF41" s="44"/>
      <c r="LAG41" s="44"/>
      <c r="LAH41" s="44"/>
      <c r="LAI41" s="44"/>
      <c r="LAJ41" s="44"/>
      <c r="LAK41" s="44"/>
      <c r="LAL41" s="44"/>
      <c r="LAM41" s="44"/>
      <c r="LAN41" s="44"/>
      <c r="LAO41" s="44"/>
      <c r="LAP41" s="44"/>
      <c r="LAQ41" s="44"/>
      <c r="LAR41" s="44"/>
      <c r="LAS41" s="44"/>
      <c r="LAT41" s="44"/>
      <c r="LAU41" s="44"/>
      <c r="LAV41" s="44"/>
      <c r="LAW41" s="44"/>
      <c r="LAX41" s="44"/>
      <c r="LAY41" s="44"/>
      <c r="LAZ41" s="44"/>
      <c r="LBA41" s="44"/>
      <c r="LBB41" s="44"/>
      <c r="LBC41" s="44"/>
      <c r="LBD41" s="44"/>
      <c r="LBE41" s="44"/>
      <c r="LBF41" s="44"/>
      <c r="LBG41" s="44"/>
      <c r="LBH41" s="44"/>
      <c r="LBI41" s="44"/>
      <c r="LBJ41" s="44"/>
      <c r="LBK41" s="44"/>
      <c r="LBL41" s="44"/>
      <c r="LBM41" s="44"/>
      <c r="LBN41" s="44"/>
      <c r="LBO41" s="44"/>
      <c r="LBP41" s="44"/>
      <c r="LBQ41" s="44"/>
      <c r="LBR41" s="44"/>
      <c r="LBS41" s="44"/>
      <c r="LBT41" s="44"/>
      <c r="LBU41" s="44"/>
      <c r="LBV41" s="44"/>
      <c r="LBW41" s="44"/>
      <c r="LBX41" s="44"/>
      <c r="LBY41" s="44"/>
      <c r="LBZ41" s="44"/>
      <c r="LCA41" s="44"/>
      <c r="LCB41" s="44"/>
      <c r="LCC41" s="44"/>
      <c r="LCD41" s="44"/>
      <c r="LCE41" s="44"/>
      <c r="LCF41" s="44"/>
      <c r="LCG41" s="44"/>
      <c r="LCH41" s="44"/>
      <c r="LCI41" s="44"/>
      <c r="LCJ41" s="44"/>
      <c r="LCK41" s="44"/>
      <c r="LCL41" s="44"/>
      <c r="LCM41" s="44"/>
      <c r="LCN41" s="44"/>
      <c r="LCO41" s="44"/>
      <c r="LCP41" s="44"/>
      <c r="LCQ41" s="44"/>
      <c r="LCR41" s="44"/>
      <c r="LCS41" s="44"/>
      <c r="LCT41" s="44"/>
      <c r="LCU41" s="44"/>
      <c r="LCV41" s="44"/>
      <c r="LCW41" s="44"/>
      <c r="LCX41" s="44"/>
      <c r="LCY41" s="44"/>
      <c r="LCZ41" s="44"/>
      <c r="LDA41" s="44"/>
      <c r="LDB41" s="44"/>
      <c r="LDC41" s="44"/>
      <c r="LDD41" s="44"/>
      <c r="LDE41" s="44"/>
      <c r="LDF41" s="44"/>
      <c r="LDG41" s="44"/>
      <c r="LDH41" s="44"/>
      <c r="LDI41" s="44"/>
      <c r="LDJ41" s="44"/>
      <c r="LDK41" s="44"/>
      <c r="LDL41" s="44"/>
      <c r="LDM41" s="44"/>
      <c r="LDN41" s="44"/>
      <c r="LDO41" s="44"/>
      <c r="LDP41" s="44"/>
      <c r="LDQ41" s="44"/>
      <c r="LDR41" s="44"/>
      <c r="LDS41" s="44"/>
      <c r="LDT41" s="44"/>
      <c r="LDU41" s="44"/>
      <c r="LDV41" s="44"/>
      <c r="LDW41" s="44"/>
      <c r="LDX41" s="44"/>
      <c r="LDY41" s="44"/>
      <c r="LDZ41" s="44"/>
      <c r="LEA41" s="44"/>
      <c r="LEB41" s="44"/>
      <c r="LEC41" s="44"/>
      <c r="LED41" s="44"/>
      <c r="LEE41" s="44"/>
      <c r="LEF41" s="44"/>
      <c r="LEG41" s="44"/>
      <c r="LEH41" s="44"/>
      <c r="LEI41" s="44"/>
      <c r="LEJ41" s="44"/>
      <c r="LEK41" s="44"/>
      <c r="LEL41" s="44"/>
      <c r="LEM41" s="44"/>
      <c r="LEN41" s="44"/>
      <c r="LEO41" s="44"/>
      <c r="LEP41" s="44"/>
      <c r="LEQ41" s="44"/>
      <c r="LER41" s="44"/>
      <c r="LES41" s="44"/>
      <c r="LET41" s="44"/>
      <c r="LEU41" s="44"/>
      <c r="LEV41" s="44"/>
      <c r="LEW41" s="44"/>
      <c r="LEX41" s="44"/>
      <c r="LEY41" s="44"/>
      <c r="LEZ41" s="44"/>
      <c r="LFA41" s="44"/>
      <c r="LFB41" s="44"/>
      <c r="LFC41" s="44"/>
      <c r="LFD41" s="44"/>
      <c r="LFE41" s="44"/>
      <c r="LFF41" s="44"/>
      <c r="LFG41" s="44"/>
      <c r="LFH41" s="44"/>
      <c r="LFI41" s="44"/>
      <c r="LFJ41" s="44"/>
      <c r="LFK41" s="44"/>
      <c r="LFL41" s="44"/>
      <c r="LFM41" s="44"/>
      <c r="LFN41" s="44"/>
      <c r="LFO41" s="44"/>
      <c r="LFP41" s="44"/>
      <c r="LFQ41" s="44"/>
      <c r="LFR41" s="44"/>
      <c r="LFS41" s="44"/>
      <c r="LFT41" s="44"/>
      <c r="LFU41" s="44"/>
      <c r="LFV41" s="44"/>
      <c r="LFW41" s="44"/>
      <c r="LFX41" s="44"/>
      <c r="LFY41" s="44"/>
      <c r="LFZ41" s="44"/>
      <c r="LGA41" s="44"/>
      <c r="LGB41" s="44"/>
      <c r="LGC41" s="44"/>
      <c r="LGD41" s="44"/>
      <c r="LGE41" s="44"/>
      <c r="LGF41" s="44"/>
      <c r="LGG41" s="44"/>
      <c r="LGH41" s="44"/>
      <c r="LGI41" s="44"/>
      <c r="LGJ41" s="44"/>
      <c r="LGK41" s="44"/>
      <c r="LGL41" s="44"/>
      <c r="LGM41" s="44"/>
      <c r="LGN41" s="44"/>
      <c r="LGO41" s="44"/>
      <c r="LGP41" s="44"/>
      <c r="LGQ41" s="44"/>
      <c r="LGR41" s="44"/>
      <c r="LGS41" s="44"/>
      <c r="LGT41" s="44"/>
      <c r="LGU41" s="44"/>
      <c r="LGV41" s="44"/>
      <c r="LGW41" s="44"/>
      <c r="LGX41" s="44"/>
      <c r="LGY41" s="44"/>
      <c r="LGZ41" s="44"/>
      <c r="LHA41" s="44"/>
      <c r="LHB41" s="44"/>
      <c r="LHC41" s="44"/>
      <c r="LHD41" s="44"/>
      <c r="LHE41" s="44"/>
      <c r="LHF41" s="44"/>
      <c r="LHG41" s="44"/>
      <c r="LHH41" s="44"/>
      <c r="LHI41" s="44"/>
      <c r="LHJ41" s="44"/>
      <c r="LHK41" s="44"/>
      <c r="LHL41" s="44"/>
      <c r="LHM41" s="44"/>
      <c r="LHN41" s="44"/>
      <c r="LHO41" s="44"/>
      <c r="LHP41" s="44"/>
      <c r="LHQ41" s="44"/>
      <c r="LHR41" s="44"/>
      <c r="LHS41" s="44"/>
      <c r="LHT41" s="44"/>
      <c r="LHU41" s="44"/>
      <c r="LHV41" s="44"/>
      <c r="LHW41" s="44"/>
      <c r="LHX41" s="44"/>
      <c r="LHY41" s="44"/>
      <c r="LHZ41" s="44"/>
      <c r="LIA41" s="44"/>
      <c r="LIB41" s="44"/>
      <c r="LIC41" s="44"/>
      <c r="LID41" s="44"/>
      <c r="LIE41" s="44"/>
      <c r="LIF41" s="44"/>
      <c r="LIG41" s="44"/>
      <c r="LIH41" s="44"/>
      <c r="LII41" s="44"/>
      <c r="LIJ41" s="44"/>
      <c r="LIK41" s="44"/>
      <c r="LIL41" s="44"/>
      <c r="LIM41" s="44"/>
      <c r="LIN41" s="44"/>
      <c r="LIO41" s="44"/>
      <c r="LIP41" s="44"/>
      <c r="LIQ41" s="44"/>
      <c r="LIR41" s="44"/>
      <c r="LIS41" s="44"/>
      <c r="LIT41" s="44"/>
      <c r="LIU41" s="44"/>
      <c r="LIV41" s="44"/>
      <c r="LIW41" s="44"/>
      <c r="LIX41" s="44"/>
      <c r="LIY41" s="44"/>
      <c r="LIZ41" s="44"/>
      <c r="LJA41" s="44"/>
      <c r="LJB41" s="44"/>
      <c r="LJC41" s="44"/>
      <c r="LJD41" s="44"/>
      <c r="LJE41" s="44"/>
      <c r="LJF41" s="44"/>
      <c r="LJG41" s="44"/>
      <c r="LJH41" s="44"/>
      <c r="LJI41" s="44"/>
      <c r="LJJ41" s="44"/>
      <c r="LJK41" s="44"/>
      <c r="LJL41" s="44"/>
      <c r="LJM41" s="44"/>
      <c r="LJN41" s="44"/>
      <c r="LJO41" s="44"/>
      <c r="LJP41" s="44"/>
      <c r="LJQ41" s="44"/>
      <c r="LJR41" s="44"/>
      <c r="LJS41" s="44"/>
      <c r="LJT41" s="44"/>
      <c r="LJU41" s="44"/>
      <c r="LJV41" s="44"/>
      <c r="LJW41" s="44"/>
      <c r="LJX41" s="44"/>
      <c r="LJY41" s="44"/>
      <c r="LJZ41" s="44"/>
      <c r="LKA41" s="44"/>
      <c r="LKB41" s="44"/>
      <c r="LKC41" s="44"/>
      <c r="LKD41" s="44"/>
      <c r="LKE41" s="44"/>
      <c r="LKF41" s="44"/>
      <c r="LKG41" s="44"/>
      <c r="LKH41" s="44"/>
      <c r="LKI41" s="44"/>
      <c r="LKJ41" s="44"/>
      <c r="LKK41" s="44"/>
      <c r="LKL41" s="44"/>
      <c r="LKM41" s="44"/>
      <c r="LKN41" s="44"/>
      <c r="LKO41" s="44"/>
      <c r="LKP41" s="44"/>
      <c r="LKQ41" s="44"/>
      <c r="LKR41" s="44"/>
      <c r="LKS41" s="44"/>
      <c r="LKT41" s="44"/>
      <c r="LKU41" s="44"/>
      <c r="LKV41" s="44"/>
      <c r="LKW41" s="44"/>
      <c r="LKX41" s="44"/>
      <c r="LKY41" s="44"/>
      <c r="LKZ41" s="44"/>
      <c r="LLA41" s="44"/>
      <c r="LLB41" s="44"/>
      <c r="LLC41" s="44"/>
      <c r="LLD41" s="44"/>
      <c r="LLE41" s="44"/>
      <c r="LLF41" s="44"/>
      <c r="LLG41" s="44"/>
      <c r="LLH41" s="44"/>
      <c r="LLI41" s="44"/>
      <c r="LLJ41" s="44"/>
      <c r="LLK41" s="44"/>
      <c r="LLL41" s="44"/>
      <c r="LLM41" s="44"/>
      <c r="LLN41" s="44"/>
      <c r="LLO41" s="44"/>
      <c r="LLP41" s="44"/>
      <c r="LLQ41" s="44"/>
      <c r="LLR41" s="44"/>
      <c r="LLS41" s="44"/>
      <c r="LLT41" s="44"/>
      <c r="LLU41" s="44"/>
      <c r="LLV41" s="44"/>
      <c r="LLW41" s="44"/>
      <c r="LLX41" s="44"/>
      <c r="LLY41" s="44"/>
      <c r="LLZ41" s="44"/>
      <c r="LMA41" s="44"/>
      <c r="LMB41" s="44"/>
      <c r="LMC41" s="44"/>
      <c r="LMD41" s="44"/>
      <c r="LME41" s="44"/>
      <c r="LMF41" s="44"/>
      <c r="LMG41" s="44"/>
      <c r="LMH41" s="44"/>
      <c r="LMI41" s="44"/>
      <c r="LMJ41" s="44"/>
      <c r="LMK41" s="44"/>
      <c r="LML41" s="44"/>
      <c r="LMM41" s="44"/>
      <c r="LMN41" s="44"/>
      <c r="LMO41" s="44"/>
      <c r="LMP41" s="44"/>
      <c r="LMQ41" s="44"/>
      <c r="LMR41" s="44"/>
      <c r="LMS41" s="44"/>
      <c r="LMT41" s="44"/>
      <c r="LMU41" s="44"/>
      <c r="LMV41" s="44"/>
      <c r="LMW41" s="44"/>
      <c r="LMX41" s="44"/>
      <c r="LMY41" s="44"/>
      <c r="LMZ41" s="44"/>
      <c r="LNA41" s="44"/>
      <c r="LNB41" s="44"/>
      <c r="LNC41" s="44"/>
      <c r="LND41" s="44"/>
      <c r="LNE41" s="44"/>
      <c r="LNF41" s="44"/>
      <c r="LNG41" s="44"/>
      <c r="LNH41" s="44"/>
      <c r="LNI41" s="44"/>
      <c r="LNJ41" s="44"/>
      <c r="LNK41" s="44"/>
      <c r="LNL41" s="44"/>
      <c r="LNM41" s="44"/>
      <c r="LNN41" s="44"/>
      <c r="LNO41" s="44"/>
      <c r="LNP41" s="44"/>
      <c r="LNQ41" s="44"/>
      <c r="LNR41" s="44"/>
      <c r="LNS41" s="44"/>
      <c r="LNT41" s="44"/>
      <c r="LNU41" s="44"/>
      <c r="LNV41" s="44"/>
      <c r="LNW41" s="44"/>
      <c r="LNX41" s="44"/>
      <c r="LNY41" s="44"/>
      <c r="LNZ41" s="44"/>
      <c r="LOA41" s="44"/>
      <c r="LOB41" s="44"/>
      <c r="LOC41" s="44"/>
      <c r="LOD41" s="44"/>
      <c r="LOE41" s="44"/>
      <c r="LOF41" s="44"/>
      <c r="LOG41" s="44"/>
      <c r="LOH41" s="44"/>
      <c r="LOI41" s="44"/>
      <c r="LOJ41" s="44"/>
      <c r="LOK41" s="44"/>
      <c r="LOL41" s="44"/>
      <c r="LOM41" s="44"/>
      <c r="LON41" s="44"/>
      <c r="LOO41" s="44"/>
      <c r="LOP41" s="44"/>
      <c r="LOQ41" s="44"/>
      <c r="LOR41" s="44"/>
      <c r="LOS41" s="44"/>
      <c r="LOT41" s="44"/>
      <c r="LOU41" s="44"/>
      <c r="LOV41" s="44"/>
      <c r="LOW41" s="44"/>
      <c r="LOX41" s="44"/>
      <c r="LOY41" s="44"/>
      <c r="LOZ41" s="44"/>
      <c r="LPA41" s="44"/>
      <c r="LPB41" s="44"/>
      <c r="LPC41" s="44"/>
      <c r="LPD41" s="44"/>
      <c r="LPE41" s="44"/>
      <c r="LPF41" s="44"/>
      <c r="LPG41" s="44"/>
      <c r="LPH41" s="44"/>
      <c r="LPI41" s="44"/>
      <c r="LPJ41" s="44"/>
      <c r="LPK41" s="44"/>
      <c r="LPL41" s="44"/>
      <c r="LPM41" s="44"/>
      <c r="LPN41" s="44"/>
      <c r="LPO41" s="44"/>
      <c r="LPP41" s="44"/>
      <c r="LPQ41" s="44"/>
      <c r="LPR41" s="44"/>
      <c r="LPS41" s="44"/>
      <c r="LPT41" s="44"/>
      <c r="LPU41" s="44"/>
      <c r="LPV41" s="44"/>
      <c r="LPW41" s="44"/>
      <c r="LPX41" s="44"/>
      <c r="LPY41" s="44"/>
      <c r="LPZ41" s="44"/>
      <c r="LQA41" s="44"/>
      <c r="LQB41" s="44"/>
      <c r="LQC41" s="44"/>
      <c r="LQD41" s="44"/>
      <c r="LQE41" s="44"/>
      <c r="LQF41" s="44"/>
      <c r="LQG41" s="44"/>
      <c r="LQH41" s="44"/>
      <c r="LQI41" s="44"/>
      <c r="LQJ41" s="44"/>
      <c r="LQK41" s="44"/>
      <c r="LQL41" s="44"/>
      <c r="LQM41" s="44"/>
      <c r="LQN41" s="44"/>
      <c r="LQO41" s="44"/>
      <c r="LQP41" s="44"/>
      <c r="LQQ41" s="44"/>
      <c r="LQR41" s="44"/>
      <c r="LQS41" s="44"/>
      <c r="LQT41" s="44"/>
      <c r="LQU41" s="44"/>
      <c r="LQV41" s="44"/>
      <c r="LQW41" s="44"/>
      <c r="LQX41" s="44"/>
      <c r="LQY41" s="44"/>
      <c r="LQZ41" s="44"/>
      <c r="LRA41" s="44"/>
      <c r="LRB41" s="44"/>
      <c r="LRC41" s="44"/>
      <c r="LRD41" s="44"/>
      <c r="LRE41" s="44"/>
      <c r="LRF41" s="44"/>
      <c r="LRG41" s="44"/>
      <c r="LRH41" s="44"/>
      <c r="LRI41" s="44"/>
      <c r="LRJ41" s="44"/>
      <c r="LRK41" s="44"/>
      <c r="LRL41" s="44"/>
      <c r="LRM41" s="44"/>
      <c r="LRN41" s="44"/>
      <c r="LRO41" s="44"/>
      <c r="LRP41" s="44"/>
      <c r="LRQ41" s="44"/>
      <c r="LRR41" s="44"/>
      <c r="LRS41" s="44"/>
      <c r="LRT41" s="44"/>
      <c r="LRU41" s="44"/>
      <c r="LRV41" s="44"/>
      <c r="LRW41" s="44"/>
      <c r="LRX41" s="44"/>
      <c r="LRY41" s="44"/>
      <c r="LRZ41" s="44"/>
      <c r="LSA41" s="44"/>
      <c r="LSB41" s="44"/>
      <c r="LSC41" s="44"/>
      <c r="LSD41" s="44"/>
      <c r="LSE41" s="44"/>
      <c r="LSF41" s="44"/>
      <c r="LSG41" s="44"/>
      <c r="LSH41" s="44"/>
      <c r="LSI41" s="44"/>
      <c r="LSJ41" s="44"/>
      <c r="LSK41" s="44"/>
      <c r="LSL41" s="44"/>
      <c r="LSM41" s="44"/>
      <c r="LSN41" s="44"/>
      <c r="LSO41" s="44"/>
      <c r="LSP41" s="44"/>
      <c r="LSQ41" s="44"/>
      <c r="LSR41" s="44"/>
      <c r="LSS41" s="44"/>
      <c r="LST41" s="44"/>
      <c r="LSU41" s="44"/>
      <c r="LSV41" s="44"/>
      <c r="LSW41" s="44"/>
      <c r="LSX41" s="44"/>
      <c r="LSY41" s="44"/>
      <c r="LSZ41" s="44"/>
      <c r="LTA41" s="44"/>
      <c r="LTB41" s="44"/>
      <c r="LTC41" s="44"/>
      <c r="LTD41" s="44"/>
      <c r="LTE41" s="44"/>
      <c r="LTF41" s="44"/>
      <c r="LTG41" s="44"/>
      <c r="LTH41" s="44"/>
      <c r="LTI41" s="44"/>
      <c r="LTJ41" s="44"/>
      <c r="LTK41" s="44"/>
      <c r="LTL41" s="44"/>
      <c r="LTM41" s="44"/>
      <c r="LTN41" s="44"/>
      <c r="LTO41" s="44"/>
      <c r="LTP41" s="44"/>
      <c r="LTQ41" s="44"/>
      <c r="LTR41" s="44"/>
      <c r="LTS41" s="44"/>
      <c r="LTT41" s="44"/>
      <c r="LTU41" s="44"/>
      <c r="LTV41" s="44"/>
      <c r="LTW41" s="44"/>
      <c r="LTX41" s="44"/>
      <c r="LTY41" s="44"/>
      <c r="LTZ41" s="44"/>
      <c r="LUA41" s="44"/>
      <c r="LUB41" s="44"/>
      <c r="LUC41" s="44"/>
      <c r="LUD41" s="44"/>
      <c r="LUE41" s="44"/>
      <c r="LUF41" s="44"/>
      <c r="LUG41" s="44"/>
      <c r="LUH41" s="44"/>
      <c r="LUI41" s="44"/>
      <c r="LUJ41" s="44"/>
      <c r="LUK41" s="44"/>
      <c r="LUL41" s="44"/>
      <c r="LUM41" s="44"/>
      <c r="LUN41" s="44"/>
      <c r="LUO41" s="44"/>
      <c r="LUP41" s="44"/>
      <c r="LUQ41" s="44"/>
      <c r="LUR41" s="44"/>
      <c r="LUS41" s="44"/>
      <c r="LUT41" s="44"/>
      <c r="LUU41" s="44"/>
      <c r="LUV41" s="44"/>
      <c r="LUW41" s="44"/>
      <c r="LUX41" s="44"/>
      <c r="LUY41" s="44"/>
      <c r="LUZ41" s="44"/>
      <c r="LVA41" s="44"/>
      <c r="LVB41" s="44"/>
      <c r="LVC41" s="44"/>
      <c r="LVD41" s="44"/>
      <c r="LVE41" s="44"/>
      <c r="LVF41" s="44"/>
      <c r="LVG41" s="44"/>
      <c r="LVH41" s="44"/>
      <c r="LVI41" s="44"/>
      <c r="LVJ41" s="44"/>
      <c r="LVK41" s="44"/>
      <c r="LVL41" s="44"/>
      <c r="LVM41" s="44"/>
      <c r="LVN41" s="44"/>
      <c r="LVO41" s="44"/>
      <c r="LVP41" s="44"/>
      <c r="LVQ41" s="44"/>
      <c r="LVR41" s="44"/>
      <c r="LVS41" s="44"/>
      <c r="LVT41" s="44"/>
      <c r="LVU41" s="44"/>
      <c r="LVV41" s="44"/>
      <c r="LVW41" s="44"/>
      <c r="LVX41" s="44"/>
      <c r="LVY41" s="44"/>
      <c r="LVZ41" s="44"/>
      <c r="LWA41" s="44"/>
      <c r="LWB41" s="44"/>
      <c r="LWC41" s="44"/>
      <c r="LWD41" s="44"/>
      <c r="LWE41" s="44"/>
      <c r="LWF41" s="44"/>
      <c r="LWG41" s="44"/>
      <c r="LWH41" s="44"/>
      <c r="LWI41" s="44"/>
      <c r="LWJ41" s="44"/>
      <c r="LWK41" s="44"/>
      <c r="LWL41" s="44"/>
      <c r="LWM41" s="44"/>
      <c r="LWN41" s="44"/>
      <c r="LWO41" s="44"/>
      <c r="LWP41" s="44"/>
      <c r="LWQ41" s="44"/>
      <c r="LWR41" s="44"/>
      <c r="LWS41" s="44"/>
      <c r="LWT41" s="44"/>
      <c r="LWU41" s="44"/>
      <c r="LWV41" s="44"/>
      <c r="LWW41" s="44"/>
      <c r="LWX41" s="44"/>
      <c r="LWY41" s="44"/>
      <c r="LWZ41" s="44"/>
      <c r="LXA41" s="44"/>
      <c r="LXB41" s="44"/>
      <c r="LXC41" s="44"/>
      <c r="LXD41" s="44"/>
      <c r="LXE41" s="44"/>
      <c r="LXF41" s="44"/>
      <c r="LXG41" s="44"/>
      <c r="LXH41" s="44"/>
      <c r="LXI41" s="44"/>
      <c r="LXJ41" s="44"/>
      <c r="LXK41" s="44"/>
      <c r="LXL41" s="44"/>
      <c r="LXM41" s="44"/>
      <c r="LXN41" s="44"/>
      <c r="LXO41" s="44"/>
      <c r="LXP41" s="44"/>
      <c r="LXQ41" s="44"/>
      <c r="LXR41" s="44"/>
      <c r="LXS41" s="44"/>
      <c r="LXT41" s="44"/>
      <c r="LXU41" s="44"/>
      <c r="LXV41" s="44"/>
      <c r="LXW41" s="44"/>
      <c r="LXX41" s="44"/>
      <c r="LXY41" s="44"/>
      <c r="LXZ41" s="44"/>
      <c r="LYA41" s="44"/>
      <c r="LYB41" s="44"/>
      <c r="LYC41" s="44"/>
      <c r="LYD41" s="44"/>
      <c r="LYE41" s="44"/>
      <c r="LYF41" s="44"/>
      <c r="LYG41" s="44"/>
      <c r="LYH41" s="44"/>
      <c r="LYI41" s="44"/>
      <c r="LYJ41" s="44"/>
      <c r="LYK41" s="44"/>
      <c r="LYL41" s="44"/>
      <c r="LYM41" s="44"/>
      <c r="LYN41" s="44"/>
      <c r="LYO41" s="44"/>
      <c r="LYP41" s="44"/>
      <c r="LYQ41" s="44"/>
      <c r="LYR41" s="44"/>
      <c r="LYS41" s="44"/>
      <c r="LYT41" s="44"/>
      <c r="LYU41" s="44"/>
      <c r="LYV41" s="44"/>
      <c r="LYW41" s="44"/>
      <c r="LYX41" s="44"/>
      <c r="LYY41" s="44"/>
      <c r="LYZ41" s="44"/>
      <c r="LZA41" s="44"/>
      <c r="LZB41" s="44"/>
      <c r="LZC41" s="44"/>
      <c r="LZD41" s="44"/>
      <c r="LZE41" s="44"/>
      <c r="LZF41" s="44"/>
      <c r="LZG41" s="44"/>
      <c r="LZH41" s="44"/>
      <c r="LZI41" s="44"/>
      <c r="LZJ41" s="44"/>
      <c r="LZK41" s="44"/>
      <c r="LZL41" s="44"/>
      <c r="LZM41" s="44"/>
      <c r="LZN41" s="44"/>
      <c r="LZO41" s="44"/>
      <c r="LZP41" s="44"/>
      <c r="LZQ41" s="44"/>
      <c r="LZR41" s="44"/>
      <c r="LZS41" s="44"/>
      <c r="LZT41" s="44"/>
      <c r="LZU41" s="44"/>
      <c r="LZV41" s="44"/>
      <c r="LZW41" s="44"/>
      <c r="LZX41" s="44"/>
      <c r="LZY41" s="44"/>
      <c r="LZZ41" s="44"/>
      <c r="MAA41" s="44"/>
      <c r="MAB41" s="44"/>
      <c r="MAC41" s="44"/>
      <c r="MAD41" s="44"/>
      <c r="MAE41" s="44"/>
      <c r="MAF41" s="44"/>
      <c r="MAG41" s="44"/>
      <c r="MAH41" s="44"/>
      <c r="MAI41" s="44"/>
      <c r="MAJ41" s="44"/>
      <c r="MAK41" s="44"/>
      <c r="MAL41" s="44"/>
      <c r="MAM41" s="44"/>
      <c r="MAN41" s="44"/>
      <c r="MAO41" s="44"/>
      <c r="MAP41" s="44"/>
      <c r="MAQ41" s="44"/>
      <c r="MAR41" s="44"/>
      <c r="MAS41" s="44"/>
      <c r="MAT41" s="44"/>
      <c r="MAU41" s="44"/>
      <c r="MAV41" s="44"/>
      <c r="MAW41" s="44"/>
      <c r="MAX41" s="44"/>
      <c r="MAY41" s="44"/>
      <c r="MAZ41" s="44"/>
      <c r="MBA41" s="44"/>
      <c r="MBB41" s="44"/>
      <c r="MBC41" s="44"/>
      <c r="MBD41" s="44"/>
      <c r="MBE41" s="44"/>
      <c r="MBF41" s="44"/>
      <c r="MBG41" s="44"/>
      <c r="MBH41" s="44"/>
      <c r="MBI41" s="44"/>
      <c r="MBJ41" s="44"/>
      <c r="MBK41" s="44"/>
      <c r="MBL41" s="44"/>
      <c r="MBM41" s="44"/>
      <c r="MBN41" s="44"/>
      <c r="MBO41" s="44"/>
      <c r="MBP41" s="44"/>
      <c r="MBQ41" s="44"/>
      <c r="MBR41" s="44"/>
      <c r="MBS41" s="44"/>
      <c r="MBT41" s="44"/>
      <c r="MBU41" s="44"/>
      <c r="MBV41" s="44"/>
      <c r="MBW41" s="44"/>
      <c r="MBX41" s="44"/>
      <c r="MBY41" s="44"/>
      <c r="MBZ41" s="44"/>
      <c r="MCA41" s="44"/>
      <c r="MCB41" s="44"/>
      <c r="MCC41" s="44"/>
      <c r="MCD41" s="44"/>
      <c r="MCE41" s="44"/>
      <c r="MCF41" s="44"/>
      <c r="MCG41" s="44"/>
      <c r="MCH41" s="44"/>
      <c r="MCI41" s="44"/>
      <c r="MCJ41" s="44"/>
      <c r="MCK41" s="44"/>
      <c r="MCL41" s="44"/>
      <c r="MCM41" s="44"/>
      <c r="MCN41" s="44"/>
      <c r="MCO41" s="44"/>
      <c r="MCP41" s="44"/>
      <c r="MCQ41" s="44"/>
      <c r="MCR41" s="44"/>
      <c r="MCS41" s="44"/>
      <c r="MCT41" s="44"/>
      <c r="MCU41" s="44"/>
      <c r="MCV41" s="44"/>
      <c r="MCW41" s="44"/>
      <c r="MCX41" s="44"/>
      <c r="MCY41" s="44"/>
      <c r="MCZ41" s="44"/>
      <c r="MDA41" s="44"/>
      <c r="MDB41" s="44"/>
      <c r="MDC41" s="44"/>
      <c r="MDD41" s="44"/>
      <c r="MDE41" s="44"/>
      <c r="MDF41" s="44"/>
      <c r="MDG41" s="44"/>
      <c r="MDH41" s="44"/>
      <c r="MDI41" s="44"/>
      <c r="MDJ41" s="44"/>
      <c r="MDK41" s="44"/>
      <c r="MDL41" s="44"/>
      <c r="MDM41" s="44"/>
      <c r="MDN41" s="44"/>
      <c r="MDO41" s="44"/>
      <c r="MDP41" s="44"/>
      <c r="MDQ41" s="44"/>
      <c r="MDR41" s="44"/>
      <c r="MDS41" s="44"/>
      <c r="MDT41" s="44"/>
      <c r="MDU41" s="44"/>
      <c r="MDV41" s="44"/>
      <c r="MDW41" s="44"/>
      <c r="MDX41" s="44"/>
      <c r="MDY41" s="44"/>
      <c r="MDZ41" s="44"/>
      <c r="MEA41" s="44"/>
      <c r="MEB41" s="44"/>
      <c r="MEC41" s="44"/>
      <c r="MED41" s="44"/>
      <c r="MEE41" s="44"/>
      <c r="MEF41" s="44"/>
      <c r="MEG41" s="44"/>
      <c r="MEH41" s="44"/>
      <c r="MEI41" s="44"/>
      <c r="MEJ41" s="44"/>
      <c r="MEK41" s="44"/>
      <c r="MEL41" s="44"/>
      <c r="MEM41" s="44"/>
      <c r="MEN41" s="44"/>
      <c r="MEO41" s="44"/>
      <c r="MEP41" s="44"/>
      <c r="MEQ41" s="44"/>
      <c r="MER41" s="44"/>
      <c r="MES41" s="44"/>
      <c r="MET41" s="44"/>
      <c r="MEU41" s="44"/>
      <c r="MEV41" s="44"/>
      <c r="MEW41" s="44"/>
      <c r="MEX41" s="44"/>
      <c r="MEY41" s="44"/>
      <c r="MEZ41" s="44"/>
      <c r="MFA41" s="44"/>
      <c r="MFB41" s="44"/>
      <c r="MFC41" s="44"/>
      <c r="MFD41" s="44"/>
      <c r="MFE41" s="44"/>
      <c r="MFF41" s="44"/>
      <c r="MFG41" s="44"/>
      <c r="MFH41" s="44"/>
      <c r="MFI41" s="44"/>
      <c r="MFJ41" s="44"/>
      <c r="MFK41" s="44"/>
      <c r="MFL41" s="44"/>
      <c r="MFM41" s="44"/>
      <c r="MFN41" s="44"/>
      <c r="MFO41" s="44"/>
      <c r="MFP41" s="44"/>
      <c r="MFQ41" s="44"/>
      <c r="MFR41" s="44"/>
      <c r="MFS41" s="44"/>
      <c r="MFT41" s="44"/>
      <c r="MFU41" s="44"/>
      <c r="MFV41" s="44"/>
      <c r="MFW41" s="44"/>
      <c r="MFX41" s="44"/>
      <c r="MFY41" s="44"/>
      <c r="MFZ41" s="44"/>
      <c r="MGA41" s="44"/>
      <c r="MGB41" s="44"/>
      <c r="MGC41" s="44"/>
      <c r="MGD41" s="44"/>
      <c r="MGE41" s="44"/>
      <c r="MGF41" s="44"/>
      <c r="MGG41" s="44"/>
      <c r="MGH41" s="44"/>
      <c r="MGI41" s="44"/>
      <c r="MGJ41" s="44"/>
      <c r="MGK41" s="44"/>
      <c r="MGL41" s="44"/>
      <c r="MGM41" s="44"/>
      <c r="MGN41" s="44"/>
      <c r="MGO41" s="44"/>
      <c r="MGP41" s="44"/>
      <c r="MGQ41" s="44"/>
      <c r="MGR41" s="44"/>
      <c r="MGS41" s="44"/>
      <c r="MGT41" s="44"/>
      <c r="MGU41" s="44"/>
      <c r="MGV41" s="44"/>
      <c r="MGW41" s="44"/>
      <c r="MGX41" s="44"/>
      <c r="MGY41" s="44"/>
      <c r="MGZ41" s="44"/>
      <c r="MHA41" s="44"/>
      <c r="MHB41" s="44"/>
      <c r="MHC41" s="44"/>
      <c r="MHD41" s="44"/>
      <c r="MHE41" s="44"/>
      <c r="MHF41" s="44"/>
      <c r="MHG41" s="44"/>
      <c r="MHH41" s="44"/>
      <c r="MHI41" s="44"/>
      <c r="MHJ41" s="44"/>
      <c r="MHK41" s="44"/>
      <c r="MHL41" s="44"/>
      <c r="MHM41" s="44"/>
      <c r="MHN41" s="44"/>
      <c r="MHO41" s="44"/>
      <c r="MHP41" s="44"/>
      <c r="MHQ41" s="44"/>
      <c r="MHR41" s="44"/>
      <c r="MHS41" s="44"/>
      <c r="MHT41" s="44"/>
      <c r="MHU41" s="44"/>
      <c r="MHV41" s="44"/>
      <c r="MHW41" s="44"/>
      <c r="MHX41" s="44"/>
      <c r="MHY41" s="44"/>
      <c r="MHZ41" s="44"/>
      <c r="MIA41" s="44"/>
      <c r="MIB41" s="44"/>
      <c r="MIC41" s="44"/>
      <c r="MID41" s="44"/>
      <c r="MIE41" s="44"/>
      <c r="MIF41" s="44"/>
      <c r="MIG41" s="44"/>
      <c r="MIH41" s="44"/>
      <c r="MII41" s="44"/>
      <c r="MIJ41" s="44"/>
      <c r="MIK41" s="44"/>
      <c r="MIL41" s="44"/>
      <c r="MIM41" s="44"/>
      <c r="MIN41" s="44"/>
      <c r="MIO41" s="44"/>
      <c r="MIP41" s="44"/>
      <c r="MIQ41" s="44"/>
      <c r="MIR41" s="44"/>
      <c r="MIS41" s="44"/>
      <c r="MIT41" s="44"/>
      <c r="MIU41" s="44"/>
      <c r="MIV41" s="44"/>
      <c r="MIW41" s="44"/>
      <c r="MIX41" s="44"/>
      <c r="MIY41" s="44"/>
      <c r="MIZ41" s="44"/>
      <c r="MJA41" s="44"/>
      <c r="MJB41" s="44"/>
      <c r="MJC41" s="44"/>
      <c r="MJD41" s="44"/>
      <c r="MJE41" s="44"/>
      <c r="MJF41" s="44"/>
      <c r="MJG41" s="44"/>
      <c r="MJH41" s="44"/>
      <c r="MJI41" s="44"/>
      <c r="MJJ41" s="44"/>
      <c r="MJK41" s="44"/>
      <c r="MJL41" s="44"/>
      <c r="MJM41" s="44"/>
      <c r="MJN41" s="44"/>
      <c r="MJO41" s="44"/>
      <c r="MJP41" s="44"/>
      <c r="MJQ41" s="44"/>
      <c r="MJR41" s="44"/>
      <c r="MJS41" s="44"/>
      <c r="MJT41" s="44"/>
      <c r="MJU41" s="44"/>
      <c r="MJV41" s="44"/>
      <c r="MJW41" s="44"/>
      <c r="MJX41" s="44"/>
      <c r="MJY41" s="44"/>
      <c r="MJZ41" s="44"/>
      <c r="MKA41" s="44"/>
      <c r="MKB41" s="44"/>
      <c r="MKC41" s="44"/>
      <c r="MKD41" s="44"/>
      <c r="MKE41" s="44"/>
      <c r="MKF41" s="44"/>
      <c r="MKG41" s="44"/>
      <c r="MKH41" s="44"/>
      <c r="MKI41" s="44"/>
      <c r="MKJ41" s="44"/>
      <c r="MKK41" s="44"/>
      <c r="MKL41" s="44"/>
      <c r="MKM41" s="44"/>
      <c r="MKN41" s="44"/>
      <c r="MKO41" s="44"/>
      <c r="MKP41" s="44"/>
      <c r="MKQ41" s="44"/>
      <c r="MKR41" s="44"/>
      <c r="MKS41" s="44"/>
      <c r="MKT41" s="44"/>
      <c r="MKU41" s="44"/>
      <c r="MKV41" s="44"/>
      <c r="MKW41" s="44"/>
      <c r="MKX41" s="44"/>
      <c r="MKY41" s="44"/>
      <c r="MKZ41" s="44"/>
      <c r="MLA41" s="44"/>
      <c r="MLB41" s="44"/>
      <c r="MLC41" s="44"/>
      <c r="MLD41" s="44"/>
      <c r="MLE41" s="44"/>
      <c r="MLF41" s="44"/>
      <c r="MLG41" s="44"/>
      <c r="MLH41" s="44"/>
      <c r="MLI41" s="44"/>
      <c r="MLJ41" s="44"/>
      <c r="MLK41" s="44"/>
      <c r="MLL41" s="44"/>
      <c r="MLM41" s="44"/>
      <c r="MLN41" s="44"/>
      <c r="MLO41" s="44"/>
      <c r="MLP41" s="44"/>
      <c r="MLQ41" s="44"/>
      <c r="MLR41" s="44"/>
      <c r="MLS41" s="44"/>
      <c r="MLT41" s="44"/>
      <c r="MLU41" s="44"/>
      <c r="MLV41" s="44"/>
      <c r="MLW41" s="44"/>
      <c r="MLX41" s="44"/>
      <c r="MLY41" s="44"/>
      <c r="MLZ41" s="44"/>
      <c r="MMA41" s="44"/>
      <c r="MMB41" s="44"/>
      <c r="MMC41" s="44"/>
      <c r="MMD41" s="44"/>
      <c r="MME41" s="44"/>
      <c r="MMF41" s="44"/>
      <c r="MMG41" s="44"/>
      <c r="MMH41" s="44"/>
      <c r="MMI41" s="44"/>
      <c r="MMJ41" s="44"/>
      <c r="MMK41" s="44"/>
      <c r="MML41" s="44"/>
      <c r="MMM41" s="44"/>
      <c r="MMN41" s="44"/>
      <c r="MMO41" s="44"/>
      <c r="MMP41" s="44"/>
      <c r="MMQ41" s="44"/>
      <c r="MMR41" s="44"/>
      <c r="MMS41" s="44"/>
      <c r="MMT41" s="44"/>
      <c r="MMU41" s="44"/>
      <c r="MMV41" s="44"/>
      <c r="MMW41" s="44"/>
      <c r="MMX41" s="44"/>
      <c r="MMY41" s="44"/>
      <c r="MMZ41" s="44"/>
      <c r="MNA41" s="44"/>
      <c r="MNB41" s="44"/>
      <c r="MNC41" s="44"/>
      <c r="MND41" s="44"/>
      <c r="MNE41" s="44"/>
      <c r="MNF41" s="44"/>
      <c r="MNG41" s="44"/>
      <c r="MNH41" s="44"/>
      <c r="MNI41" s="44"/>
      <c r="MNJ41" s="44"/>
      <c r="MNK41" s="44"/>
      <c r="MNL41" s="44"/>
      <c r="MNM41" s="44"/>
      <c r="MNN41" s="44"/>
      <c r="MNO41" s="44"/>
      <c r="MNP41" s="44"/>
      <c r="MNQ41" s="44"/>
      <c r="MNR41" s="44"/>
      <c r="MNS41" s="44"/>
      <c r="MNT41" s="44"/>
      <c r="MNU41" s="44"/>
      <c r="MNV41" s="44"/>
      <c r="MNW41" s="44"/>
      <c r="MNX41" s="44"/>
      <c r="MNY41" s="44"/>
      <c r="MNZ41" s="44"/>
      <c r="MOA41" s="44"/>
      <c r="MOB41" s="44"/>
      <c r="MOC41" s="44"/>
      <c r="MOD41" s="44"/>
      <c r="MOE41" s="44"/>
      <c r="MOF41" s="44"/>
      <c r="MOG41" s="44"/>
      <c r="MOH41" s="44"/>
      <c r="MOI41" s="44"/>
      <c r="MOJ41" s="44"/>
      <c r="MOK41" s="44"/>
      <c r="MOL41" s="44"/>
      <c r="MOM41" s="44"/>
      <c r="MON41" s="44"/>
      <c r="MOO41" s="44"/>
      <c r="MOP41" s="44"/>
      <c r="MOQ41" s="44"/>
      <c r="MOR41" s="44"/>
      <c r="MOS41" s="44"/>
      <c r="MOT41" s="44"/>
      <c r="MOU41" s="44"/>
      <c r="MOV41" s="44"/>
      <c r="MOW41" s="44"/>
      <c r="MOX41" s="44"/>
      <c r="MOY41" s="44"/>
      <c r="MOZ41" s="44"/>
      <c r="MPA41" s="44"/>
      <c r="MPB41" s="44"/>
      <c r="MPC41" s="44"/>
      <c r="MPD41" s="44"/>
      <c r="MPE41" s="44"/>
      <c r="MPF41" s="44"/>
      <c r="MPG41" s="44"/>
      <c r="MPH41" s="44"/>
      <c r="MPI41" s="44"/>
      <c r="MPJ41" s="44"/>
      <c r="MPK41" s="44"/>
      <c r="MPL41" s="44"/>
      <c r="MPM41" s="44"/>
      <c r="MPN41" s="44"/>
      <c r="MPO41" s="44"/>
      <c r="MPP41" s="44"/>
      <c r="MPQ41" s="44"/>
      <c r="MPR41" s="44"/>
      <c r="MPS41" s="44"/>
      <c r="MPT41" s="44"/>
      <c r="MPU41" s="44"/>
      <c r="MPV41" s="44"/>
      <c r="MPW41" s="44"/>
      <c r="MPX41" s="44"/>
      <c r="MPY41" s="44"/>
      <c r="MPZ41" s="44"/>
      <c r="MQA41" s="44"/>
      <c r="MQB41" s="44"/>
      <c r="MQC41" s="44"/>
      <c r="MQD41" s="44"/>
      <c r="MQE41" s="44"/>
      <c r="MQF41" s="44"/>
      <c r="MQG41" s="44"/>
      <c r="MQH41" s="44"/>
      <c r="MQI41" s="44"/>
      <c r="MQJ41" s="44"/>
      <c r="MQK41" s="44"/>
      <c r="MQL41" s="44"/>
      <c r="MQM41" s="44"/>
      <c r="MQN41" s="44"/>
      <c r="MQO41" s="44"/>
      <c r="MQP41" s="44"/>
      <c r="MQQ41" s="44"/>
      <c r="MQR41" s="44"/>
      <c r="MQS41" s="44"/>
      <c r="MQT41" s="44"/>
      <c r="MQU41" s="44"/>
      <c r="MQV41" s="44"/>
      <c r="MQW41" s="44"/>
      <c r="MQX41" s="44"/>
      <c r="MQY41" s="44"/>
      <c r="MQZ41" s="44"/>
      <c r="MRA41" s="44"/>
      <c r="MRB41" s="44"/>
      <c r="MRC41" s="44"/>
      <c r="MRD41" s="44"/>
      <c r="MRE41" s="44"/>
      <c r="MRF41" s="44"/>
      <c r="MRG41" s="44"/>
      <c r="MRH41" s="44"/>
      <c r="MRI41" s="44"/>
      <c r="MRJ41" s="44"/>
      <c r="MRK41" s="44"/>
      <c r="MRL41" s="44"/>
      <c r="MRM41" s="44"/>
      <c r="MRN41" s="44"/>
      <c r="MRO41" s="44"/>
      <c r="MRP41" s="44"/>
      <c r="MRQ41" s="44"/>
      <c r="MRR41" s="44"/>
      <c r="MRS41" s="44"/>
      <c r="MRT41" s="44"/>
      <c r="MRU41" s="44"/>
      <c r="MRV41" s="44"/>
      <c r="MRW41" s="44"/>
      <c r="MRX41" s="44"/>
      <c r="MRY41" s="44"/>
      <c r="MRZ41" s="44"/>
      <c r="MSA41" s="44"/>
      <c r="MSB41" s="44"/>
      <c r="MSC41" s="44"/>
      <c r="MSD41" s="44"/>
      <c r="MSE41" s="44"/>
      <c r="MSF41" s="44"/>
      <c r="MSG41" s="44"/>
      <c r="MSH41" s="44"/>
      <c r="MSI41" s="44"/>
      <c r="MSJ41" s="44"/>
      <c r="MSK41" s="44"/>
      <c r="MSL41" s="44"/>
      <c r="MSM41" s="44"/>
      <c r="MSN41" s="44"/>
      <c r="MSO41" s="44"/>
      <c r="MSP41" s="44"/>
      <c r="MSQ41" s="44"/>
      <c r="MSR41" s="44"/>
      <c r="MSS41" s="44"/>
      <c r="MST41" s="44"/>
      <c r="MSU41" s="44"/>
      <c r="MSV41" s="44"/>
      <c r="MSW41" s="44"/>
      <c r="MSX41" s="44"/>
      <c r="MSY41" s="44"/>
      <c r="MSZ41" s="44"/>
      <c r="MTA41" s="44"/>
      <c r="MTB41" s="44"/>
      <c r="MTC41" s="44"/>
      <c r="MTD41" s="44"/>
      <c r="MTE41" s="44"/>
      <c r="MTF41" s="44"/>
      <c r="MTG41" s="44"/>
      <c r="MTH41" s="44"/>
      <c r="MTI41" s="44"/>
      <c r="MTJ41" s="44"/>
      <c r="MTK41" s="44"/>
      <c r="MTL41" s="44"/>
      <c r="MTM41" s="44"/>
      <c r="MTN41" s="44"/>
      <c r="MTO41" s="44"/>
      <c r="MTP41" s="44"/>
      <c r="MTQ41" s="44"/>
      <c r="MTR41" s="44"/>
      <c r="MTS41" s="44"/>
      <c r="MTT41" s="44"/>
      <c r="MTU41" s="44"/>
      <c r="MTV41" s="44"/>
      <c r="MTW41" s="44"/>
      <c r="MTX41" s="44"/>
      <c r="MTY41" s="44"/>
      <c r="MTZ41" s="44"/>
      <c r="MUA41" s="44"/>
      <c r="MUB41" s="44"/>
      <c r="MUC41" s="44"/>
      <c r="MUD41" s="44"/>
      <c r="MUE41" s="44"/>
      <c r="MUF41" s="44"/>
      <c r="MUG41" s="44"/>
      <c r="MUH41" s="44"/>
      <c r="MUI41" s="44"/>
      <c r="MUJ41" s="44"/>
      <c r="MUK41" s="44"/>
      <c r="MUL41" s="44"/>
      <c r="MUM41" s="44"/>
      <c r="MUN41" s="44"/>
      <c r="MUO41" s="44"/>
      <c r="MUP41" s="44"/>
      <c r="MUQ41" s="44"/>
      <c r="MUR41" s="44"/>
      <c r="MUS41" s="44"/>
      <c r="MUT41" s="44"/>
      <c r="MUU41" s="44"/>
      <c r="MUV41" s="44"/>
      <c r="MUW41" s="44"/>
      <c r="MUX41" s="44"/>
      <c r="MUY41" s="44"/>
      <c r="MUZ41" s="44"/>
      <c r="MVA41" s="44"/>
      <c r="MVB41" s="44"/>
      <c r="MVC41" s="44"/>
      <c r="MVD41" s="44"/>
      <c r="MVE41" s="44"/>
      <c r="MVF41" s="44"/>
      <c r="MVG41" s="44"/>
      <c r="MVH41" s="44"/>
      <c r="MVI41" s="44"/>
      <c r="MVJ41" s="44"/>
      <c r="MVK41" s="44"/>
      <c r="MVL41" s="44"/>
      <c r="MVM41" s="44"/>
      <c r="MVN41" s="44"/>
      <c r="MVO41" s="44"/>
      <c r="MVP41" s="44"/>
      <c r="MVQ41" s="44"/>
      <c r="MVR41" s="44"/>
      <c r="MVS41" s="44"/>
      <c r="MVT41" s="44"/>
      <c r="MVU41" s="44"/>
      <c r="MVV41" s="44"/>
      <c r="MVW41" s="44"/>
      <c r="MVX41" s="44"/>
      <c r="MVY41" s="44"/>
      <c r="MVZ41" s="44"/>
      <c r="MWA41" s="44"/>
      <c r="MWB41" s="44"/>
      <c r="MWC41" s="44"/>
      <c r="MWD41" s="44"/>
      <c r="MWE41" s="44"/>
      <c r="MWF41" s="44"/>
      <c r="MWG41" s="44"/>
      <c r="MWH41" s="44"/>
      <c r="MWI41" s="44"/>
      <c r="MWJ41" s="44"/>
      <c r="MWK41" s="44"/>
      <c r="MWL41" s="44"/>
      <c r="MWM41" s="44"/>
      <c r="MWN41" s="44"/>
      <c r="MWO41" s="44"/>
      <c r="MWP41" s="44"/>
      <c r="MWQ41" s="44"/>
      <c r="MWR41" s="44"/>
      <c r="MWS41" s="44"/>
      <c r="MWT41" s="44"/>
      <c r="MWU41" s="44"/>
      <c r="MWV41" s="44"/>
      <c r="MWW41" s="44"/>
      <c r="MWX41" s="44"/>
      <c r="MWY41" s="44"/>
      <c r="MWZ41" s="44"/>
      <c r="MXA41" s="44"/>
      <c r="MXB41" s="44"/>
      <c r="MXC41" s="44"/>
      <c r="MXD41" s="44"/>
      <c r="MXE41" s="44"/>
      <c r="MXF41" s="44"/>
      <c r="MXG41" s="44"/>
      <c r="MXH41" s="44"/>
      <c r="MXI41" s="44"/>
      <c r="MXJ41" s="44"/>
      <c r="MXK41" s="44"/>
      <c r="MXL41" s="44"/>
      <c r="MXM41" s="44"/>
      <c r="MXN41" s="44"/>
      <c r="MXO41" s="44"/>
      <c r="MXP41" s="44"/>
      <c r="MXQ41" s="44"/>
      <c r="MXR41" s="44"/>
      <c r="MXS41" s="44"/>
      <c r="MXT41" s="44"/>
      <c r="MXU41" s="44"/>
      <c r="MXV41" s="44"/>
      <c r="MXW41" s="44"/>
      <c r="MXX41" s="44"/>
      <c r="MXY41" s="44"/>
      <c r="MXZ41" s="44"/>
      <c r="MYA41" s="44"/>
      <c r="MYB41" s="44"/>
      <c r="MYC41" s="44"/>
      <c r="MYD41" s="44"/>
      <c r="MYE41" s="44"/>
      <c r="MYF41" s="44"/>
      <c r="MYG41" s="44"/>
      <c r="MYH41" s="44"/>
      <c r="MYI41" s="44"/>
      <c r="MYJ41" s="44"/>
      <c r="MYK41" s="44"/>
      <c r="MYL41" s="44"/>
      <c r="MYM41" s="44"/>
      <c r="MYN41" s="44"/>
      <c r="MYO41" s="44"/>
      <c r="MYP41" s="44"/>
      <c r="MYQ41" s="44"/>
      <c r="MYR41" s="44"/>
      <c r="MYS41" s="44"/>
      <c r="MYT41" s="44"/>
      <c r="MYU41" s="44"/>
      <c r="MYV41" s="44"/>
      <c r="MYW41" s="44"/>
      <c r="MYX41" s="44"/>
      <c r="MYY41" s="44"/>
      <c r="MYZ41" s="44"/>
      <c r="MZA41" s="44"/>
      <c r="MZB41" s="44"/>
      <c r="MZC41" s="44"/>
      <c r="MZD41" s="44"/>
      <c r="MZE41" s="44"/>
      <c r="MZF41" s="44"/>
      <c r="MZG41" s="44"/>
      <c r="MZH41" s="44"/>
      <c r="MZI41" s="44"/>
      <c r="MZJ41" s="44"/>
      <c r="MZK41" s="44"/>
      <c r="MZL41" s="44"/>
      <c r="MZM41" s="44"/>
      <c r="MZN41" s="44"/>
      <c r="MZO41" s="44"/>
      <c r="MZP41" s="44"/>
      <c r="MZQ41" s="44"/>
      <c r="MZR41" s="44"/>
      <c r="MZS41" s="44"/>
      <c r="MZT41" s="44"/>
      <c r="MZU41" s="44"/>
      <c r="MZV41" s="44"/>
      <c r="MZW41" s="44"/>
      <c r="MZX41" s="44"/>
      <c r="MZY41" s="44"/>
      <c r="MZZ41" s="44"/>
      <c r="NAA41" s="44"/>
      <c r="NAB41" s="44"/>
      <c r="NAC41" s="44"/>
      <c r="NAD41" s="44"/>
      <c r="NAE41" s="44"/>
      <c r="NAF41" s="44"/>
      <c r="NAG41" s="44"/>
      <c r="NAH41" s="44"/>
      <c r="NAI41" s="44"/>
      <c r="NAJ41" s="44"/>
      <c r="NAK41" s="44"/>
      <c r="NAL41" s="44"/>
      <c r="NAM41" s="44"/>
      <c r="NAN41" s="44"/>
      <c r="NAO41" s="44"/>
      <c r="NAP41" s="44"/>
      <c r="NAQ41" s="44"/>
      <c r="NAR41" s="44"/>
      <c r="NAS41" s="44"/>
      <c r="NAT41" s="44"/>
      <c r="NAU41" s="44"/>
      <c r="NAV41" s="44"/>
      <c r="NAW41" s="44"/>
      <c r="NAX41" s="44"/>
      <c r="NAY41" s="44"/>
      <c r="NAZ41" s="44"/>
      <c r="NBA41" s="44"/>
      <c r="NBB41" s="44"/>
      <c r="NBC41" s="44"/>
      <c r="NBD41" s="44"/>
      <c r="NBE41" s="44"/>
      <c r="NBF41" s="44"/>
      <c r="NBG41" s="44"/>
      <c r="NBH41" s="44"/>
      <c r="NBI41" s="44"/>
      <c r="NBJ41" s="44"/>
      <c r="NBK41" s="44"/>
      <c r="NBL41" s="44"/>
      <c r="NBM41" s="44"/>
      <c r="NBN41" s="44"/>
      <c r="NBO41" s="44"/>
      <c r="NBP41" s="44"/>
      <c r="NBQ41" s="44"/>
      <c r="NBR41" s="44"/>
      <c r="NBS41" s="44"/>
      <c r="NBT41" s="44"/>
      <c r="NBU41" s="44"/>
      <c r="NBV41" s="44"/>
      <c r="NBW41" s="44"/>
      <c r="NBX41" s="44"/>
      <c r="NBY41" s="44"/>
      <c r="NBZ41" s="44"/>
      <c r="NCA41" s="44"/>
      <c r="NCB41" s="44"/>
      <c r="NCC41" s="44"/>
      <c r="NCD41" s="44"/>
      <c r="NCE41" s="44"/>
      <c r="NCF41" s="44"/>
      <c r="NCG41" s="44"/>
      <c r="NCH41" s="44"/>
      <c r="NCI41" s="44"/>
      <c r="NCJ41" s="44"/>
      <c r="NCK41" s="44"/>
      <c r="NCL41" s="44"/>
      <c r="NCM41" s="44"/>
      <c r="NCN41" s="44"/>
      <c r="NCO41" s="44"/>
      <c r="NCP41" s="44"/>
      <c r="NCQ41" s="44"/>
      <c r="NCR41" s="44"/>
      <c r="NCS41" s="44"/>
      <c r="NCT41" s="44"/>
      <c r="NCU41" s="44"/>
      <c r="NCV41" s="44"/>
      <c r="NCW41" s="44"/>
      <c r="NCX41" s="44"/>
      <c r="NCY41" s="44"/>
      <c r="NCZ41" s="44"/>
      <c r="NDA41" s="44"/>
      <c r="NDB41" s="44"/>
      <c r="NDC41" s="44"/>
      <c r="NDD41" s="44"/>
      <c r="NDE41" s="44"/>
      <c r="NDF41" s="44"/>
      <c r="NDG41" s="44"/>
      <c r="NDH41" s="44"/>
      <c r="NDI41" s="44"/>
      <c r="NDJ41" s="44"/>
      <c r="NDK41" s="44"/>
      <c r="NDL41" s="44"/>
      <c r="NDM41" s="44"/>
      <c r="NDN41" s="44"/>
      <c r="NDO41" s="44"/>
      <c r="NDP41" s="44"/>
      <c r="NDQ41" s="44"/>
      <c r="NDR41" s="44"/>
      <c r="NDS41" s="44"/>
      <c r="NDT41" s="44"/>
      <c r="NDU41" s="44"/>
      <c r="NDV41" s="44"/>
      <c r="NDW41" s="44"/>
      <c r="NDX41" s="44"/>
      <c r="NDY41" s="44"/>
      <c r="NDZ41" s="44"/>
      <c r="NEA41" s="44"/>
      <c r="NEB41" s="44"/>
      <c r="NEC41" s="44"/>
      <c r="NED41" s="44"/>
      <c r="NEE41" s="44"/>
      <c r="NEF41" s="44"/>
      <c r="NEG41" s="44"/>
      <c r="NEH41" s="44"/>
      <c r="NEI41" s="44"/>
      <c r="NEJ41" s="44"/>
      <c r="NEK41" s="44"/>
      <c r="NEL41" s="44"/>
      <c r="NEM41" s="44"/>
      <c r="NEN41" s="44"/>
      <c r="NEO41" s="44"/>
      <c r="NEP41" s="44"/>
      <c r="NEQ41" s="44"/>
      <c r="NER41" s="44"/>
      <c r="NES41" s="44"/>
      <c r="NET41" s="44"/>
      <c r="NEU41" s="44"/>
      <c r="NEV41" s="44"/>
      <c r="NEW41" s="44"/>
      <c r="NEX41" s="44"/>
      <c r="NEY41" s="44"/>
      <c r="NEZ41" s="44"/>
      <c r="NFA41" s="44"/>
      <c r="NFB41" s="44"/>
      <c r="NFC41" s="44"/>
      <c r="NFD41" s="44"/>
      <c r="NFE41" s="44"/>
      <c r="NFF41" s="44"/>
      <c r="NFG41" s="44"/>
      <c r="NFH41" s="44"/>
      <c r="NFI41" s="44"/>
      <c r="NFJ41" s="44"/>
      <c r="NFK41" s="44"/>
      <c r="NFL41" s="44"/>
      <c r="NFM41" s="44"/>
      <c r="NFN41" s="44"/>
      <c r="NFO41" s="44"/>
      <c r="NFP41" s="44"/>
      <c r="NFQ41" s="44"/>
      <c r="NFR41" s="44"/>
      <c r="NFS41" s="44"/>
      <c r="NFT41" s="44"/>
      <c r="NFU41" s="44"/>
      <c r="NFV41" s="44"/>
      <c r="NFW41" s="44"/>
      <c r="NFX41" s="44"/>
      <c r="NFY41" s="44"/>
      <c r="NFZ41" s="44"/>
      <c r="NGA41" s="44"/>
      <c r="NGB41" s="44"/>
      <c r="NGC41" s="44"/>
      <c r="NGD41" s="44"/>
      <c r="NGE41" s="44"/>
      <c r="NGF41" s="44"/>
      <c r="NGG41" s="44"/>
      <c r="NGH41" s="44"/>
      <c r="NGI41" s="44"/>
      <c r="NGJ41" s="44"/>
      <c r="NGK41" s="44"/>
      <c r="NGL41" s="44"/>
      <c r="NGM41" s="44"/>
      <c r="NGN41" s="44"/>
      <c r="NGO41" s="44"/>
      <c r="NGP41" s="44"/>
      <c r="NGQ41" s="44"/>
      <c r="NGR41" s="44"/>
      <c r="NGS41" s="44"/>
      <c r="NGT41" s="44"/>
      <c r="NGU41" s="44"/>
      <c r="NGV41" s="44"/>
      <c r="NGW41" s="44"/>
      <c r="NGX41" s="44"/>
      <c r="NGY41" s="44"/>
      <c r="NGZ41" s="44"/>
      <c r="NHA41" s="44"/>
      <c r="NHB41" s="44"/>
      <c r="NHC41" s="44"/>
      <c r="NHD41" s="44"/>
      <c r="NHE41" s="44"/>
      <c r="NHF41" s="44"/>
      <c r="NHG41" s="44"/>
      <c r="NHH41" s="44"/>
      <c r="NHI41" s="44"/>
      <c r="NHJ41" s="44"/>
      <c r="NHK41" s="44"/>
      <c r="NHL41" s="44"/>
      <c r="NHM41" s="44"/>
      <c r="NHN41" s="44"/>
      <c r="NHO41" s="44"/>
      <c r="NHP41" s="44"/>
      <c r="NHQ41" s="44"/>
      <c r="NHR41" s="44"/>
      <c r="NHS41" s="44"/>
      <c r="NHT41" s="44"/>
      <c r="NHU41" s="44"/>
      <c r="NHV41" s="44"/>
      <c r="NHW41" s="44"/>
      <c r="NHX41" s="44"/>
      <c r="NHY41" s="44"/>
      <c r="NHZ41" s="44"/>
      <c r="NIA41" s="44"/>
      <c r="NIB41" s="44"/>
      <c r="NIC41" s="44"/>
      <c r="NID41" s="44"/>
      <c r="NIE41" s="44"/>
      <c r="NIF41" s="44"/>
      <c r="NIG41" s="44"/>
      <c r="NIH41" s="44"/>
      <c r="NII41" s="44"/>
      <c r="NIJ41" s="44"/>
      <c r="NIK41" s="44"/>
      <c r="NIL41" s="44"/>
      <c r="NIM41" s="44"/>
      <c r="NIN41" s="44"/>
      <c r="NIO41" s="44"/>
      <c r="NIP41" s="44"/>
      <c r="NIQ41" s="44"/>
      <c r="NIR41" s="44"/>
      <c r="NIS41" s="44"/>
      <c r="NIT41" s="44"/>
      <c r="NIU41" s="44"/>
      <c r="NIV41" s="44"/>
      <c r="NIW41" s="44"/>
      <c r="NIX41" s="44"/>
      <c r="NIY41" s="44"/>
      <c r="NIZ41" s="44"/>
      <c r="NJA41" s="44"/>
      <c r="NJB41" s="44"/>
      <c r="NJC41" s="44"/>
      <c r="NJD41" s="44"/>
      <c r="NJE41" s="44"/>
      <c r="NJF41" s="44"/>
      <c r="NJG41" s="44"/>
      <c r="NJH41" s="44"/>
      <c r="NJI41" s="44"/>
      <c r="NJJ41" s="44"/>
      <c r="NJK41" s="44"/>
      <c r="NJL41" s="44"/>
      <c r="NJM41" s="44"/>
      <c r="NJN41" s="44"/>
      <c r="NJO41" s="44"/>
      <c r="NJP41" s="44"/>
      <c r="NJQ41" s="44"/>
      <c r="NJR41" s="44"/>
      <c r="NJS41" s="44"/>
      <c r="NJT41" s="44"/>
      <c r="NJU41" s="44"/>
      <c r="NJV41" s="44"/>
      <c r="NJW41" s="44"/>
      <c r="NJX41" s="44"/>
      <c r="NJY41" s="44"/>
      <c r="NJZ41" s="44"/>
      <c r="NKA41" s="44"/>
      <c r="NKB41" s="44"/>
      <c r="NKC41" s="44"/>
      <c r="NKD41" s="44"/>
      <c r="NKE41" s="44"/>
      <c r="NKF41" s="44"/>
      <c r="NKG41" s="44"/>
      <c r="NKH41" s="44"/>
      <c r="NKI41" s="44"/>
      <c r="NKJ41" s="44"/>
      <c r="NKK41" s="44"/>
      <c r="NKL41" s="44"/>
      <c r="NKM41" s="44"/>
      <c r="NKN41" s="44"/>
      <c r="NKO41" s="44"/>
      <c r="NKP41" s="44"/>
      <c r="NKQ41" s="44"/>
      <c r="NKR41" s="44"/>
      <c r="NKS41" s="44"/>
      <c r="NKT41" s="44"/>
      <c r="NKU41" s="44"/>
      <c r="NKV41" s="44"/>
      <c r="NKW41" s="44"/>
      <c r="NKX41" s="44"/>
      <c r="NKY41" s="44"/>
      <c r="NKZ41" s="44"/>
      <c r="NLA41" s="44"/>
      <c r="NLB41" s="44"/>
      <c r="NLC41" s="44"/>
      <c r="NLD41" s="44"/>
      <c r="NLE41" s="44"/>
      <c r="NLF41" s="44"/>
      <c r="NLG41" s="44"/>
      <c r="NLH41" s="44"/>
      <c r="NLI41" s="44"/>
      <c r="NLJ41" s="44"/>
      <c r="NLK41" s="44"/>
      <c r="NLL41" s="44"/>
      <c r="NLM41" s="44"/>
      <c r="NLN41" s="44"/>
      <c r="NLO41" s="44"/>
      <c r="NLP41" s="44"/>
      <c r="NLQ41" s="44"/>
      <c r="NLR41" s="44"/>
      <c r="NLS41" s="44"/>
      <c r="NLT41" s="44"/>
      <c r="NLU41" s="44"/>
      <c r="NLV41" s="44"/>
      <c r="NLW41" s="44"/>
      <c r="NLX41" s="44"/>
      <c r="NLY41" s="44"/>
      <c r="NLZ41" s="44"/>
      <c r="NMA41" s="44"/>
      <c r="NMB41" s="44"/>
      <c r="NMC41" s="44"/>
      <c r="NMD41" s="44"/>
      <c r="NME41" s="44"/>
      <c r="NMF41" s="44"/>
      <c r="NMG41" s="44"/>
      <c r="NMH41" s="44"/>
      <c r="NMI41" s="44"/>
      <c r="NMJ41" s="44"/>
      <c r="NMK41" s="44"/>
      <c r="NML41" s="44"/>
      <c r="NMM41" s="44"/>
      <c r="NMN41" s="44"/>
      <c r="NMO41" s="44"/>
      <c r="NMP41" s="44"/>
      <c r="NMQ41" s="44"/>
      <c r="NMR41" s="44"/>
      <c r="NMS41" s="44"/>
      <c r="NMT41" s="44"/>
      <c r="NMU41" s="44"/>
      <c r="NMV41" s="44"/>
      <c r="NMW41" s="44"/>
      <c r="NMX41" s="44"/>
      <c r="NMY41" s="44"/>
      <c r="NMZ41" s="44"/>
      <c r="NNA41" s="44"/>
      <c r="NNB41" s="44"/>
      <c r="NNC41" s="44"/>
      <c r="NND41" s="44"/>
      <c r="NNE41" s="44"/>
      <c r="NNF41" s="44"/>
      <c r="NNG41" s="44"/>
      <c r="NNH41" s="44"/>
      <c r="NNI41" s="44"/>
      <c r="NNJ41" s="44"/>
      <c r="NNK41" s="44"/>
      <c r="NNL41" s="44"/>
      <c r="NNM41" s="44"/>
      <c r="NNN41" s="44"/>
      <c r="NNO41" s="44"/>
      <c r="NNP41" s="44"/>
      <c r="NNQ41" s="44"/>
      <c r="NNR41" s="44"/>
      <c r="NNS41" s="44"/>
      <c r="NNT41" s="44"/>
      <c r="NNU41" s="44"/>
      <c r="NNV41" s="44"/>
      <c r="NNW41" s="44"/>
      <c r="NNX41" s="44"/>
      <c r="NNY41" s="44"/>
      <c r="NNZ41" s="44"/>
      <c r="NOA41" s="44"/>
      <c r="NOB41" s="44"/>
      <c r="NOC41" s="44"/>
      <c r="NOD41" s="44"/>
      <c r="NOE41" s="44"/>
      <c r="NOF41" s="44"/>
      <c r="NOG41" s="44"/>
      <c r="NOH41" s="44"/>
      <c r="NOI41" s="44"/>
      <c r="NOJ41" s="44"/>
      <c r="NOK41" s="44"/>
      <c r="NOL41" s="44"/>
      <c r="NOM41" s="44"/>
      <c r="NON41" s="44"/>
      <c r="NOO41" s="44"/>
      <c r="NOP41" s="44"/>
      <c r="NOQ41" s="44"/>
      <c r="NOR41" s="44"/>
      <c r="NOS41" s="44"/>
      <c r="NOT41" s="44"/>
      <c r="NOU41" s="44"/>
      <c r="NOV41" s="44"/>
      <c r="NOW41" s="44"/>
      <c r="NOX41" s="44"/>
      <c r="NOY41" s="44"/>
      <c r="NOZ41" s="44"/>
      <c r="NPA41" s="44"/>
      <c r="NPB41" s="44"/>
      <c r="NPC41" s="44"/>
      <c r="NPD41" s="44"/>
      <c r="NPE41" s="44"/>
      <c r="NPF41" s="44"/>
      <c r="NPG41" s="44"/>
      <c r="NPH41" s="44"/>
      <c r="NPI41" s="44"/>
      <c r="NPJ41" s="44"/>
      <c r="NPK41" s="44"/>
      <c r="NPL41" s="44"/>
      <c r="NPM41" s="44"/>
      <c r="NPN41" s="44"/>
      <c r="NPO41" s="44"/>
      <c r="NPP41" s="44"/>
      <c r="NPQ41" s="44"/>
      <c r="NPR41" s="44"/>
      <c r="NPS41" s="44"/>
      <c r="NPT41" s="44"/>
      <c r="NPU41" s="44"/>
      <c r="NPV41" s="44"/>
      <c r="NPW41" s="44"/>
      <c r="NPX41" s="44"/>
      <c r="NPY41" s="44"/>
      <c r="NPZ41" s="44"/>
      <c r="NQA41" s="44"/>
      <c r="NQB41" s="44"/>
      <c r="NQC41" s="44"/>
      <c r="NQD41" s="44"/>
      <c r="NQE41" s="44"/>
      <c r="NQF41" s="44"/>
      <c r="NQG41" s="44"/>
      <c r="NQH41" s="44"/>
      <c r="NQI41" s="44"/>
      <c r="NQJ41" s="44"/>
      <c r="NQK41" s="44"/>
      <c r="NQL41" s="44"/>
      <c r="NQM41" s="44"/>
      <c r="NQN41" s="44"/>
      <c r="NQO41" s="44"/>
      <c r="NQP41" s="44"/>
      <c r="NQQ41" s="44"/>
      <c r="NQR41" s="44"/>
      <c r="NQS41" s="44"/>
      <c r="NQT41" s="44"/>
      <c r="NQU41" s="44"/>
      <c r="NQV41" s="44"/>
      <c r="NQW41" s="44"/>
      <c r="NQX41" s="44"/>
      <c r="NQY41" s="44"/>
      <c r="NQZ41" s="44"/>
      <c r="NRA41" s="44"/>
      <c r="NRB41" s="44"/>
      <c r="NRC41" s="44"/>
      <c r="NRD41" s="44"/>
      <c r="NRE41" s="44"/>
      <c r="NRF41" s="44"/>
      <c r="NRG41" s="44"/>
      <c r="NRH41" s="44"/>
      <c r="NRI41" s="44"/>
      <c r="NRJ41" s="44"/>
      <c r="NRK41" s="44"/>
      <c r="NRL41" s="44"/>
      <c r="NRM41" s="44"/>
      <c r="NRN41" s="44"/>
      <c r="NRO41" s="44"/>
      <c r="NRP41" s="44"/>
      <c r="NRQ41" s="44"/>
      <c r="NRR41" s="44"/>
      <c r="NRS41" s="44"/>
      <c r="NRT41" s="44"/>
      <c r="NRU41" s="44"/>
      <c r="NRV41" s="44"/>
      <c r="NRW41" s="44"/>
      <c r="NRX41" s="44"/>
      <c r="NRY41" s="44"/>
      <c r="NRZ41" s="44"/>
      <c r="NSA41" s="44"/>
      <c r="NSB41" s="44"/>
      <c r="NSC41" s="44"/>
      <c r="NSD41" s="44"/>
      <c r="NSE41" s="44"/>
      <c r="NSF41" s="44"/>
      <c r="NSG41" s="44"/>
      <c r="NSH41" s="44"/>
      <c r="NSI41" s="44"/>
      <c r="NSJ41" s="44"/>
      <c r="NSK41" s="44"/>
      <c r="NSL41" s="44"/>
      <c r="NSM41" s="44"/>
      <c r="NSN41" s="44"/>
      <c r="NSO41" s="44"/>
      <c r="NSP41" s="44"/>
      <c r="NSQ41" s="44"/>
      <c r="NSR41" s="44"/>
      <c r="NSS41" s="44"/>
      <c r="NST41" s="44"/>
      <c r="NSU41" s="44"/>
      <c r="NSV41" s="44"/>
      <c r="NSW41" s="44"/>
      <c r="NSX41" s="44"/>
      <c r="NSY41" s="44"/>
      <c r="NSZ41" s="44"/>
      <c r="NTA41" s="44"/>
      <c r="NTB41" s="44"/>
      <c r="NTC41" s="44"/>
      <c r="NTD41" s="44"/>
      <c r="NTE41" s="44"/>
      <c r="NTF41" s="44"/>
      <c r="NTG41" s="44"/>
      <c r="NTH41" s="44"/>
      <c r="NTI41" s="44"/>
      <c r="NTJ41" s="44"/>
      <c r="NTK41" s="44"/>
      <c r="NTL41" s="44"/>
      <c r="NTM41" s="44"/>
      <c r="NTN41" s="44"/>
      <c r="NTO41" s="44"/>
      <c r="NTP41" s="44"/>
      <c r="NTQ41" s="44"/>
      <c r="NTR41" s="44"/>
      <c r="NTS41" s="44"/>
      <c r="NTT41" s="44"/>
      <c r="NTU41" s="44"/>
      <c r="NTV41" s="44"/>
      <c r="NTW41" s="44"/>
      <c r="NTX41" s="44"/>
      <c r="NTY41" s="44"/>
      <c r="NTZ41" s="44"/>
      <c r="NUA41" s="44"/>
      <c r="NUB41" s="44"/>
      <c r="NUC41" s="44"/>
      <c r="NUD41" s="44"/>
      <c r="NUE41" s="44"/>
      <c r="NUF41" s="44"/>
      <c r="NUG41" s="44"/>
      <c r="NUH41" s="44"/>
      <c r="NUI41" s="44"/>
      <c r="NUJ41" s="44"/>
      <c r="NUK41" s="44"/>
      <c r="NUL41" s="44"/>
      <c r="NUM41" s="44"/>
      <c r="NUN41" s="44"/>
      <c r="NUO41" s="44"/>
      <c r="NUP41" s="44"/>
      <c r="NUQ41" s="44"/>
      <c r="NUR41" s="44"/>
      <c r="NUS41" s="44"/>
      <c r="NUT41" s="44"/>
      <c r="NUU41" s="44"/>
      <c r="NUV41" s="44"/>
      <c r="NUW41" s="44"/>
      <c r="NUX41" s="44"/>
      <c r="NUY41" s="44"/>
      <c r="NUZ41" s="44"/>
      <c r="NVA41" s="44"/>
      <c r="NVB41" s="44"/>
      <c r="NVC41" s="44"/>
      <c r="NVD41" s="44"/>
      <c r="NVE41" s="44"/>
      <c r="NVF41" s="44"/>
      <c r="NVG41" s="44"/>
      <c r="NVH41" s="44"/>
      <c r="NVI41" s="44"/>
      <c r="NVJ41" s="44"/>
      <c r="NVK41" s="44"/>
      <c r="NVL41" s="44"/>
      <c r="NVM41" s="44"/>
      <c r="NVN41" s="44"/>
      <c r="NVO41" s="44"/>
      <c r="NVP41" s="44"/>
      <c r="NVQ41" s="44"/>
      <c r="NVR41" s="44"/>
      <c r="NVS41" s="44"/>
      <c r="NVT41" s="44"/>
      <c r="NVU41" s="44"/>
      <c r="NVV41" s="44"/>
      <c r="NVW41" s="44"/>
      <c r="NVX41" s="44"/>
      <c r="NVY41" s="44"/>
      <c r="NVZ41" s="44"/>
      <c r="NWA41" s="44"/>
      <c r="NWB41" s="44"/>
      <c r="NWC41" s="44"/>
      <c r="NWD41" s="44"/>
      <c r="NWE41" s="44"/>
      <c r="NWF41" s="44"/>
      <c r="NWG41" s="44"/>
      <c r="NWH41" s="44"/>
      <c r="NWI41" s="44"/>
      <c r="NWJ41" s="44"/>
      <c r="NWK41" s="44"/>
      <c r="NWL41" s="44"/>
      <c r="NWM41" s="44"/>
      <c r="NWN41" s="44"/>
      <c r="NWO41" s="44"/>
      <c r="NWP41" s="44"/>
      <c r="NWQ41" s="44"/>
      <c r="NWR41" s="44"/>
      <c r="NWS41" s="44"/>
      <c r="NWT41" s="44"/>
      <c r="NWU41" s="44"/>
      <c r="NWV41" s="44"/>
      <c r="NWW41" s="44"/>
      <c r="NWX41" s="44"/>
      <c r="NWY41" s="44"/>
      <c r="NWZ41" s="44"/>
      <c r="NXA41" s="44"/>
      <c r="NXB41" s="44"/>
      <c r="NXC41" s="44"/>
      <c r="NXD41" s="44"/>
      <c r="NXE41" s="44"/>
      <c r="NXF41" s="44"/>
      <c r="NXG41" s="44"/>
      <c r="NXH41" s="44"/>
      <c r="NXI41" s="44"/>
      <c r="NXJ41" s="44"/>
      <c r="NXK41" s="44"/>
      <c r="NXL41" s="44"/>
      <c r="NXM41" s="44"/>
      <c r="NXN41" s="44"/>
      <c r="NXO41" s="44"/>
      <c r="NXP41" s="44"/>
      <c r="NXQ41" s="44"/>
      <c r="NXR41" s="44"/>
      <c r="NXS41" s="44"/>
      <c r="NXT41" s="44"/>
      <c r="NXU41" s="44"/>
      <c r="NXV41" s="44"/>
      <c r="NXW41" s="44"/>
      <c r="NXX41" s="44"/>
      <c r="NXY41" s="44"/>
      <c r="NXZ41" s="44"/>
      <c r="NYA41" s="44"/>
      <c r="NYB41" s="44"/>
      <c r="NYC41" s="44"/>
      <c r="NYD41" s="44"/>
      <c r="NYE41" s="44"/>
      <c r="NYF41" s="44"/>
      <c r="NYG41" s="44"/>
      <c r="NYH41" s="44"/>
      <c r="NYI41" s="44"/>
      <c r="NYJ41" s="44"/>
      <c r="NYK41" s="44"/>
      <c r="NYL41" s="44"/>
      <c r="NYM41" s="44"/>
      <c r="NYN41" s="44"/>
      <c r="NYO41" s="44"/>
      <c r="NYP41" s="44"/>
      <c r="NYQ41" s="44"/>
      <c r="NYR41" s="44"/>
      <c r="NYS41" s="44"/>
      <c r="NYT41" s="44"/>
      <c r="NYU41" s="44"/>
      <c r="NYV41" s="44"/>
      <c r="NYW41" s="44"/>
      <c r="NYX41" s="44"/>
      <c r="NYY41" s="44"/>
      <c r="NYZ41" s="44"/>
      <c r="NZA41" s="44"/>
      <c r="NZB41" s="44"/>
      <c r="NZC41" s="44"/>
      <c r="NZD41" s="44"/>
      <c r="NZE41" s="44"/>
      <c r="NZF41" s="44"/>
      <c r="NZG41" s="44"/>
      <c r="NZH41" s="44"/>
      <c r="NZI41" s="44"/>
      <c r="NZJ41" s="44"/>
      <c r="NZK41" s="44"/>
      <c r="NZL41" s="44"/>
      <c r="NZM41" s="44"/>
      <c r="NZN41" s="44"/>
      <c r="NZO41" s="44"/>
      <c r="NZP41" s="44"/>
      <c r="NZQ41" s="44"/>
      <c r="NZR41" s="44"/>
      <c r="NZS41" s="44"/>
      <c r="NZT41" s="44"/>
      <c r="NZU41" s="44"/>
      <c r="NZV41" s="44"/>
      <c r="NZW41" s="44"/>
      <c r="NZX41" s="44"/>
      <c r="NZY41" s="44"/>
      <c r="NZZ41" s="44"/>
      <c r="OAA41" s="44"/>
      <c r="OAB41" s="44"/>
      <c r="OAC41" s="44"/>
      <c r="OAD41" s="44"/>
      <c r="OAE41" s="44"/>
      <c r="OAF41" s="44"/>
      <c r="OAG41" s="44"/>
      <c r="OAH41" s="44"/>
      <c r="OAI41" s="44"/>
      <c r="OAJ41" s="44"/>
      <c r="OAK41" s="44"/>
      <c r="OAL41" s="44"/>
      <c r="OAM41" s="44"/>
      <c r="OAN41" s="44"/>
      <c r="OAO41" s="44"/>
      <c r="OAP41" s="44"/>
      <c r="OAQ41" s="44"/>
      <c r="OAR41" s="44"/>
      <c r="OAS41" s="44"/>
      <c r="OAT41" s="44"/>
      <c r="OAU41" s="44"/>
      <c r="OAV41" s="44"/>
      <c r="OAW41" s="44"/>
      <c r="OAX41" s="44"/>
      <c r="OAY41" s="44"/>
      <c r="OAZ41" s="44"/>
      <c r="OBA41" s="44"/>
      <c r="OBB41" s="44"/>
      <c r="OBC41" s="44"/>
      <c r="OBD41" s="44"/>
      <c r="OBE41" s="44"/>
      <c r="OBF41" s="44"/>
      <c r="OBG41" s="44"/>
      <c r="OBH41" s="44"/>
      <c r="OBI41" s="44"/>
      <c r="OBJ41" s="44"/>
      <c r="OBK41" s="44"/>
      <c r="OBL41" s="44"/>
      <c r="OBM41" s="44"/>
      <c r="OBN41" s="44"/>
      <c r="OBO41" s="44"/>
      <c r="OBP41" s="44"/>
      <c r="OBQ41" s="44"/>
      <c r="OBR41" s="44"/>
      <c r="OBS41" s="44"/>
      <c r="OBT41" s="44"/>
      <c r="OBU41" s="44"/>
      <c r="OBV41" s="44"/>
      <c r="OBW41" s="44"/>
      <c r="OBX41" s="44"/>
      <c r="OBY41" s="44"/>
      <c r="OBZ41" s="44"/>
      <c r="OCA41" s="44"/>
      <c r="OCB41" s="44"/>
      <c r="OCC41" s="44"/>
      <c r="OCD41" s="44"/>
      <c r="OCE41" s="44"/>
      <c r="OCF41" s="44"/>
      <c r="OCG41" s="44"/>
      <c r="OCH41" s="44"/>
      <c r="OCI41" s="44"/>
      <c r="OCJ41" s="44"/>
      <c r="OCK41" s="44"/>
      <c r="OCL41" s="44"/>
      <c r="OCM41" s="44"/>
      <c r="OCN41" s="44"/>
      <c r="OCO41" s="44"/>
      <c r="OCP41" s="44"/>
      <c r="OCQ41" s="44"/>
      <c r="OCR41" s="44"/>
      <c r="OCS41" s="44"/>
      <c r="OCT41" s="44"/>
      <c r="OCU41" s="44"/>
      <c r="OCV41" s="44"/>
      <c r="OCW41" s="44"/>
      <c r="OCX41" s="44"/>
      <c r="OCY41" s="44"/>
      <c r="OCZ41" s="44"/>
      <c r="ODA41" s="44"/>
      <c r="ODB41" s="44"/>
      <c r="ODC41" s="44"/>
      <c r="ODD41" s="44"/>
      <c r="ODE41" s="44"/>
      <c r="ODF41" s="44"/>
      <c r="ODG41" s="44"/>
      <c r="ODH41" s="44"/>
      <c r="ODI41" s="44"/>
      <c r="ODJ41" s="44"/>
      <c r="ODK41" s="44"/>
      <c r="ODL41" s="44"/>
      <c r="ODM41" s="44"/>
      <c r="ODN41" s="44"/>
      <c r="ODO41" s="44"/>
      <c r="ODP41" s="44"/>
      <c r="ODQ41" s="44"/>
      <c r="ODR41" s="44"/>
      <c r="ODS41" s="44"/>
      <c r="ODT41" s="44"/>
      <c r="ODU41" s="44"/>
      <c r="ODV41" s="44"/>
      <c r="ODW41" s="44"/>
      <c r="ODX41" s="44"/>
      <c r="ODY41" s="44"/>
      <c r="ODZ41" s="44"/>
      <c r="OEA41" s="44"/>
      <c r="OEB41" s="44"/>
      <c r="OEC41" s="44"/>
      <c r="OED41" s="44"/>
      <c r="OEE41" s="44"/>
      <c r="OEF41" s="44"/>
      <c r="OEG41" s="44"/>
      <c r="OEH41" s="44"/>
      <c r="OEI41" s="44"/>
      <c r="OEJ41" s="44"/>
      <c r="OEK41" s="44"/>
      <c r="OEL41" s="44"/>
      <c r="OEM41" s="44"/>
      <c r="OEN41" s="44"/>
      <c r="OEO41" s="44"/>
      <c r="OEP41" s="44"/>
      <c r="OEQ41" s="44"/>
      <c r="OER41" s="44"/>
      <c r="OES41" s="44"/>
      <c r="OET41" s="44"/>
      <c r="OEU41" s="44"/>
      <c r="OEV41" s="44"/>
      <c r="OEW41" s="44"/>
      <c r="OEX41" s="44"/>
      <c r="OEY41" s="44"/>
      <c r="OEZ41" s="44"/>
      <c r="OFA41" s="44"/>
      <c r="OFB41" s="44"/>
      <c r="OFC41" s="44"/>
      <c r="OFD41" s="44"/>
      <c r="OFE41" s="44"/>
      <c r="OFF41" s="44"/>
      <c r="OFG41" s="44"/>
      <c r="OFH41" s="44"/>
      <c r="OFI41" s="44"/>
      <c r="OFJ41" s="44"/>
      <c r="OFK41" s="44"/>
      <c r="OFL41" s="44"/>
      <c r="OFM41" s="44"/>
      <c r="OFN41" s="44"/>
      <c r="OFO41" s="44"/>
      <c r="OFP41" s="44"/>
      <c r="OFQ41" s="44"/>
      <c r="OFR41" s="44"/>
      <c r="OFS41" s="44"/>
      <c r="OFT41" s="44"/>
      <c r="OFU41" s="44"/>
      <c r="OFV41" s="44"/>
      <c r="OFW41" s="44"/>
      <c r="OFX41" s="44"/>
      <c r="OFY41" s="44"/>
      <c r="OFZ41" s="44"/>
      <c r="OGA41" s="44"/>
      <c r="OGB41" s="44"/>
      <c r="OGC41" s="44"/>
      <c r="OGD41" s="44"/>
      <c r="OGE41" s="44"/>
      <c r="OGF41" s="44"/>
      <c r="OGG41" s="44"/>
      <c r="OGH41" s="44"/>
      <c r="OGI41" s="44"/>
      <c r="OGJ41" s="44"/>
      <c r="OGK41" s="44"/>
      <c r="OGL41" s="44"/>
      <c r="OGM41" s="44"/>
      <c r="OGN41" s="44"/>
      <c r="OGO41" s="44"/>
      <c r="OGP41" s="44"/>
      <c r="OGQ41" s="44"/>
      <c r="OGR41" s="44"/>
      <c r="OGS41" s="44"/>
      <c r="OGT41" s="44"/>
      <c r="OGU41" s="44"/>
      <c r="OGV41" s="44"/>
      <c r="OGW41" s="44"/>
      <c r="OGX41" s="44"/>
      <c r="OGY41" s="44"/>
      <c r="OGZ41" s="44"/>
      <c r="OHA41" s="44"/>
      <c r="OHB41" s="44"/>
      <c r="OHC41" s="44"/>
      <c r="OHD41" s="44"/>
      <c r="OHE41" s="44"/>
      <c r="OHF41" s="44"/>
      <c r="OHG41" s="44"/>
      <c r="OHH41" s="44"/>
      <c r="OHI41" s="44"/>
      <c r="OHJ41" s="44"/>
      <c r="OHK41" s="44"/>
      <c r="OHL41" s="44"/>
      <c r="OHM41" s="44"/>
      <c r="OHN41" s="44"/>
      <c r="OHO41" s="44"/>
      <c r="OHP41" s="44"/>
      <c r="OHQ41" s="44"/>
      <c r="OHR41" s="44"/>
      <c r="OHS41" s="44"/>
      <c r="OHT41" s="44"/>
      <c r="OHU41" s="44"/>
      <c r="OHV41" s="44"/>
      <c r="OHW41" s="44"/>
      <c r="OHX41" s="44"/>
      <c r="OHY41" s="44"/>
      <c r="OHZ41" s="44"/>
      <c r="OIA41" s="44"/>
      <c r="OIB41" s="44"/>
      <c r="OIC41" s="44"/>
      <c r="OID41" s="44"/>
      <c r="OIE41" s="44"/>
      <c r="OIF41" s="44"/>
      <c r="OIG41" s="44"/>
      <c r="OIH41" s="44"/>
      <c r="OII41" s="44"/>
      <c r="OIJ41" s="44"/>
      <c r="OIK41" s="44"/>
      <c r="OIL41" s="44"/>
      <c r="OIM41" s="44"/>
      <c r="OIN41" s="44"/>
      <c r="OIO41" s="44"/>
      <c r="OIP41" s="44"/>
      <c r="OIQ41" s="44"/>
      <c r="OIR41" s="44"/>
      <c r="OIS41" s="44"/>
      <c r="OIT41" s="44"/>
      <c r="OIU41" s="44"/>
      <c r="OIV41" s="44"/>
      <c r="OIW41" s="44"/>
      <c r="OIX41" s="44"/>
      <c r="OIY41" s="44"/>
      <c r="OIZ41" s="44"/>
      <c r="OJA41" s="44"/>
      <c r="OJB41" s="44"/>
      <c r="OJC41" s="44"/>
      <c r="OJD41" s="44"/>
      <c r="OJE41" s="44"/>
      <c r="OJF41" s="44"/>
      <c r="OJG41" s="44"/>
      <c r="OJH41" s="44"/>
      <c r="OJI41" s="44"/>
      <c r="OJJ41" s="44"/>
      <c r="OJK41" s="44"/>
      <c r="OJL41" s="44"/>
      <c r="OJM41" s="44"/>
      <c r="OJN41" s="44"/>
      <c r="OJO41" s="44"/>
      <c r="OJP41" s="44"/>
      <c r="OJQ41" s="44"/>
      <c r="OJR41" s="44"/>
      <c r="OJS41" s="44"/>
      <c r="OJT41" s="44"/>
      <c r="OJU41" s="44"/>
      <c r="OJV41" s="44"/>
      <c r="OJW41" s="44"/>
      <c r="OJX41" s="44"/>
      <c r="OJY41" s="44"/>
      <c r="OJZ41" s="44"/>
      <c r="OKA41" s="44"/>
      <c r="OKB41" s="44"/>
      <c r="OKC41" s="44"/>
      <c r="OKD41" s="44"/>
      <c r="OKE41" s="44"/>
      <c r="OKF41" s="44"/>
      <c r="OKG41" s="44"/>
      <c r="OKH41" s="44"/>
      <c r="OKI41" s="44"/>
      <c r="OKJ41" s="44"/>
      <c r="OKK41" s="44"/>
      <c r="OKL41" s="44"/>
      <c r="OKM41" s="44"/>
      <c r="OKN41" s="44"/>
      <c r="OKO41" s="44"/>
      <c r="OKP41" s="44"/>
      <c r="OKQ41" s="44"/>
      <c r="OKR41" s="44"/>
      <c r="OKS41" s="44"/>
      <c r="OKT41" s="44"/>
      <c r="OKU41" s="44"/>
      <c r="OKV41" s="44"/>
      <c r="OKW41" s="44"/>
      <c r="OKX41" s="44"/>
      <c r="OKY41" s="44"/>
      <c r="OKZ41" s="44"/>
      <c r="OLA41" s="44"/>
      <c r="OLB41" s="44"/>
      <c r="OLC41" s="44"/>
      <c r="OLD41" s="44"/>
      <c r="OLE41" s="44"/>
      <c r="OLF41" s="44"/>
      <c r="OLG41" s="44"/>
      <c r="OLH41" s="44"/>
      <c r="OLI41" s="44"/>
      <c r="OLJ41" s="44"/>
      <c r="OLK41" s="44"/>
      <c r="OLL41" s="44"/>
      <c r="OLM41" s="44"/>
      <c r="OLN41" s="44"/>
      <c r="OLO41" s="44"/>
      <c r="OLP41" s="44"/>
      <c r="OLQ41" s="44"/>
      <c r="OLR41" s="44"/>
      <c r="OLS41" s="44"/>
      <c r="OLT41" s="44"/>
      <c r="OLU41" s="44"/>
      <c r="OLV41" s="44"/>
      <c r="OLW41" s="44"/>
      <c r="OLX41" s="44"/>
      <c r="OLY41" s="44"/>
      <c r="OLZ41" s="44"/>
      <c r="OMA41" s="44"/>
      <c r="OMB41" s="44"/>
      <c r="OMC41" s="44"/>
      <c r="OMD41" s="44"/>
      <c r="OME41" s="44"/>
      <c r="OMF41" s="44"/>
      <c r="OMG41" s="44"/>
      <c r="OMH41" s="44"/>
      <c r="OMI41" s="44"/>
      <c r="OMJ41" s="44"/>
      <c r="OMK41" s="44"/>
      <c r="OML41" s="44"/>
      <c r="OMM41" s="44"/>
      <c r="OMN41" s="44"/>
      <c r="OMO41" s="44"/>
      <c r="OMP41" s="44"/>
      <c r="OMQ41" s="44"/>
      <c r="OMR41" s="44"/>
      <c r="OMS41" s="44"/>
      <c r="OMT41" s="44"/>
      <c r="OMU41" s="44"/>
      <c r="OMV41" s="44"/>
      <c r="OMW41" s="44"/>
      <c r="OMX41" s="44"/>
      <c r="OMY41" s="44"/>
      <c r="OMZ41" s="44"/>
      <c r="ONA41" s="44"/>
      <c r="ONB41" s="44"/>
      <c r="ONC41" s="44"/>
      <c r="OND41" s="44"/>
      <c r="ONE41" s="44"/>
      <c r="ONF41" s="44"/>
      <c r="ONG41" s="44"/>
      <c r="ONH41" s="44"/>
      <c r="ONI41" s="44"/>
      <c r="ONJ41" s="44"/>
      <c r="ONK41" s="44"/>
      <c r="ONL41" s="44"/>
      <c r="ONM41" s="44"/>
      <c r="ONN41" s="44"/>
      <c r="ONO41" s="44"/>
      <c r="ONP41" s="44"/>
      <c r="ONQ41" s="44"/>
      <c r="ONR41" s="44"/>
      <c r="ONS41" s="44"/>
      <c r="ONT41" s="44"/>
      <c r="ONU41" s="44"/>
      <c r="ONV41" s="44"/>
      <c r="ONW41" s="44"/>
      <c r="ONX41" s="44"/>
      <c r="ONY41" s="44"/>
      <c r="ONZ41" s="44"/>
      <c r="OOA41" s="44"/>
      <c r="OOB41" s="44"/>
      <c r="OOC41" s="44"/>
      <c r="OOD41" s="44"/>
      <c r="OOE41" s="44"/>
      <c r="OOF41" s="44"/>
      <c r="OOG41" s="44"/>
      <c r="OOH41" s="44"/>
      <c r="OOI41" s="44"/>
      <c r="OOJ41" s="44"/>
      <c r="OOK41" s="44"/>
      <c r="OOL41" s="44"/>
      <c r="OOM41" s="44"/>
      <c r="OON41" s="44"/>
      <c r="OOO41" s="44"/>
      <c r="OOP41" s="44"/>
      <c r="OOQ41" s="44"/>
      <c r="OOR41" s="44"/>
      <c r="OOS41" s="44"/>
      <c r="OOT41" s="44"/>
      <c r="OOU41" s="44"/>
      <c r="OOV41" s="44"/>
      <c r="OOW41" s="44"/>
      <c r="OOX41" s="44"/>
      <c r="OOY41" s="44"/>
      <c r="OOZ41" s="44"/>
      <c r="OPA41" s="44"/>
      <c r="OPB41" s="44"/>
      <c r="OPC41" s="44"/>
      <c r="OPD41" s="44"/>
      <c r="OPE41" s="44"/>
      <c r="OPF41" s="44"/>
      <c r="OPG41" s="44"/>
      <c r="OPH41" s="44"/>
      <c r="OPI41" s="44"/>
      <c r="OPJ41" s="44"/>
      <c r="OPK41" s="44"/>
      <c r="OPL41" s="44"/>
      <c r="OPM41" s="44"/>
      <c r="OPN41" s="44"/>
      <c r="OPO41" s="44"/>
      <c r="OPP41" s="44"/>
      <c r="OPQ41" s="44"/>
      <c r="OPR41" s="44"/>
      <c r="OPS41" s="44"/>
      <c r="OPT41" s="44"/>
      <c r="OPU41" s="44"/>
      <c r="OPV41" s="44"/>
      <c r="OPW41" s="44"/>
      <c r="OPX41" s="44"/>
      <c r="OPY41" s="44"/>
      <c r="OPZ41" s="44"/>
      <c r="OQA41" s="44"/>
      <c r="OQB41" s="44"/>
      <c r="OQC41" s="44"/>
      <c r="OQD41" s="44"/>
      <c r="OQE41" s="44"/>
      <c r="OQF41" s="44"/>
      <c r="OQG41" s="44"/>
      <c r="OQH41" s="44"/>
      <c r="OQI41" s="44"/>
      <c r="OQJ41" s="44"/>
      <c r="OQK41" s="44"/>
      <c r="OQL41" s="44"/>
      <c r="OQM41" s="44"/>
      <c r="OQN41" s="44"/>
      <c r="OQO41" s="44"/>
      <c r="OQP41" s="44"/>
      <c r="OQQ41" s="44"/>
      <c r="OQR41" s="44"/>
      <c r="OQS41" s="44"/>
      <c r="OQT41" s="44"/>
      <c r="OQU41" s="44"/>
      <c r="OQV41" s="44"/>
      <c r="OQW41" s="44"/>
      <c r="OQX41" s="44"/>
      <c r="OQY41" s="44"/>
      <c r="OQZ41" s="44"/>
      <c r="ORA41" s="44"/>
      <c r="ORB41" s="44"/>
      <c r="ORC41" s="44"/>
      <c r="ORD41" s="44"/>
      <c r="ORE41" s="44"/>
      <c r="ORF41" s="44"/>
      <c r="ORG41" s="44"/>
      <c r="ORH41" s="44"/>
      <c r="ORI41" s="44"/>
      <c r="ORJ41" s="44"/>
      <c r="ORK41" s="44"/>
      <c r="ORL41" s="44"/>
      <c r="ORM41" s="44"/>
      <c r="ORN41" s="44"/>
      <c r="ORO41" s="44"/>
      <c r="ORP41" s="44"/>
      <c r="ORQ41" s="44"/>
      <c r="ORR41" s="44"/>
      <c r="ORS41" s="44"/>
      <c r="ORT41" s="44"/>
      <c r="ORU41" s="44"/>
      <c r="ORV41" s="44"/>
      <c r="ORW41" s="44"/>
      <c r="ORX41" s="44"/>
      <c r="ORY41" s="44"/>
      <c r="ORZ41" s="44"/>
      <c r="OSA41" s="44"/>
      <c r="OSB41" s="44"/>
      <c r="OSC41" s="44"/>
      <c r="OSD41" s="44"/>
      <c r="OSE41" s="44"/>
      <c r="OSF41" s="44"/>
      <c r="OSG41" s="44"/>
      <c r="OSH41" s="44"/>
      <c r="OSI41" s="44"/>
      <c r="OSJ41" s="44"/>
      <c r="OSK41" s="44"/>
      <c r="OSL41" s="44"/>
      <c r="OSM41" s="44"/>
      <c r="OSN41" s="44"/>
      <c r="OSO41" s="44"/>
      <c r="OSP41" s="44"/>
      <c r="OSQ41" s="44"/>
      <c r="OSR41" s="44"/>
      <c r="OSS41" s="44"/>
      <c r="OST41" s="44"/>
      <c r="OSU41" s="44"/>
      <c r="OSV41" s="44"/>
      <c r="OSW41" s="44"/>
      <c r="OSX41" s="44"/>
      <c r="OSY41" s="44"/>
      <c r="OSZ41" s="44"/>
      <c r="OTA41" s="44"/>
      <c r="OTB41" s="44"/>
      <c r="OTC41" s="44"/>
      <c r="OTD41" s="44"/>
      <c r="OTE41" s="44"/>
      <c r="OTF41" s="44"/>
      <c r="OTG41" s="44"/>
      <c r="OTH41" s="44"/>
      <c r="OTI41" s="44"/>
      <c r="OTJ41" s="44"/>
      <c r="OTK41" s="44"/>
      <c r="OTL41" s="44"/>
      <c r="OTM41" s="44"/>
      <c r="OTN41" s="44"/>
      <c r="OTO41" s="44"/>
      <c r="OTP41" s="44"/>
      <c r="OTQ41" s="44"/>
      <c r="OTR41" s="44"/>
      <c r="OTS41" s="44"/>
      <c r="OTT41" s="44"/>
      <c r="OTU41" s="44"/>
      <c r="OTV41" s="44"/>
      <c r="OTW41" s="44"/>
      <c r="OTX41" s="44"/>
      <c r="OTY41" s="44"/>
      <c r="OTZ41" s="44"/>
      <c r="OUA41" s="44"/>
      <c r="OUB41" s="44"/>
      <c r="OUC41" s="44"/>
      <c r="OUD41" s="44"/>
      <c r="OUE41" s="44"/>
      <c r="OUF41" s="44"/>
      <c r="OUG41" s="44"/>
      <c r="OUH41" s="44"/>
      <c r="OUI41" s="44"/>
      <c r="OUJ41" s="44"/>
      <c r="OUK41" s="44"/>
      <c r="OUL41" s="44"/>
      <c r="OUM41" s="44"/>
      <c r="OUN41" s="44"/>
      <c r="OUO41" s="44"/>
      <c r="OUP41" s="44"/>
      <c r="OUQ41" s="44"/>
      <c r="OUR41" s="44"/>
      <c r="OUS41" s="44"/>
      <c r="OUT41" s="44"/>
      <c r="OUU41" s="44"/>
      <c r="OUV41" s="44"/>
      <c r="OUW41" s="44"/>
      <c r="OUX41" s="44"/>
      <c r="OUY41" s="44"/>
      <c r="OUZ41" s="44"/>
      <c r="OVA41" s="44"/>
      <c r="OVB41" s="44"/>
      <c r="OVC41" s="44"/>
      <c r="OVD41" s="44"/>
      <c r="OVE41" s="44"/>
      <c r="OVF41" s="44"/>
      <c r="OVG41" s="44"/>
      <c r="OVH41" s="44"/>
      <c r="OVI41" s="44"/>
      <c r="OVJ41" s="44"/>
      <c r="OVK41" s="44"/>
      <c r="OVL41" s="44"/>
      <c r="OVM41" s="44"/>
      <c r="OVN41" s="44"/>
      <c r="OVO41" s="44"/>
      <c r="OVP41" s="44"/>
      <c r="OVQ41" s="44"/>
      <c r="OVR41" s="44"/>
      <c r="OVS41" s="44"/>
      <c r="OVT41" s="44"/>
      <c r="OVU41" s="44"/>
      <c r="OVV41" s="44"/>
      <c r="OVW41" s="44"/>
      <c r="OVX41" s="44"/>
      <c r="OVY41" s="44"/>
      <c r="OVZ41" s="44"/>
      <c r="OWA41" s="44"/>
      <c r="OWB41" s="44"/>
      <c r="OWC41" s="44"/>
      <c r="OWD41" s="44"/>
      <c r="OWE41" s="44"/>
      <c r="OWF41" s="44"/>
      <c r="OWG41" s="44"/>
      <c r="OWH41" s="44"/>
      <c r="OWI41" s="44"/>
      <c r="OWJ41" s="44"/>
      <c r="OWK41" s="44"/>
      <c r="OWL41" s="44"/>
      <c r="OWM41" s="44"/>
      <c r="OWN41" s="44"/>
      <c r="OWO41" s="44"/>
      <c r="OWP41" s="44"/>
      <c r="OWQ41" s="44"/>
      <c r="OWR41" s="44"/>
      <c r="OWS41" s="44"/>
      <c r="OWT41" s="44"/>
      <c r="OWU41" s="44"/>
      <c r="OWV41" s="44"/>
      <c r="OWW41" s="44"/>
      <c r="OWX41" s="44"/>
      <c r="OWY41" s="44"/>
      <c r="OWZ41" s="44"/>
      <c r="OXA41" s="44"/>
      <c r="OXB41" s="44"/>
      <c r="OXC41" s="44"/>
      <c r="OXD41" s="44"/>
      <c r="OXE41" s="44"/>
      <c r="OXF41" s="44"/>
      <c r="OXG41" s="44"/>
      <c r="OXH41" s="44"/>
      <c r="OXI41" s="44"/>
      <c r="OXJ41" s="44"/>
      <c r="OXK41" s="44"/>
      <c r="OXL41" s="44"/>
      <c r="OXM41" s="44"/>
      <c r="OXN41" s="44"/>
      <c r="OXO41" s="44"/>
      <c r="OXP41" s="44"/>
      <c r="OXQ41" s="44"/>
      <c r="OXR41" s="44"/>
      <c r="OXS41" s="44"/>
      <c r="OXT41" s="44"/>
      <c r="OXU41" s="44"/>
      <c r="OXV41" s="44"/>
      <c r="OXW41" s="44"/>
      <c r="OXX41" s="44"/>
      <c r="OXY41" s="44"/>
      <c r="OXZ41" s="44"/>
      <c r="OYA41" s="44"/>
      <c r="OYB41" s="44"/>
      <c r="OYC41" s="44"/>
      <c r="OYD41" s="44"/>
      <c r="OYE41" s="44"/>
      <c r="OYF41" s="44"/>
      <c r="OYG41" s="44"/>
      <c r="OYH41" s="44"/>
      <c r="OYI41" s="44"/>
      <c r="OYJ41" s="44"/>
      <c r="OYK41" s="44"/>
      <c r="OYL41" s="44"/>
      <c r="OYM41" s="44"/>
      <c r="OYN41" s="44"/>
      <c r="OYO41" s="44"/>
      <c r="OYP41" s="44"/>
      <c r="OYQ41" s="44"/>
      <c r="OYR41" s="44"/>
      <c r="OYS41" s="44"/>
      <c r="OYT41" s="44"/>
      <c r="OYU41" s="44"/>
      <c r="OYV41" s="44"/>
      <c r="OYW41" s="44"/>
      <c r="OYX41" s="44"/>
      <c r="OYY41" s="44"/>
      <c r="OYZ41" s="44"/>
      <c r="OZA41" s="44"/>
      <c r="OZB41" s="44"/>
      <c r="OZC41" s="44"/>
      <c r="OZD41" s="44"/>
      <c r="OZE41" s="44"/>
      <c r="OZF41" s="44"/>
      <c r="OZG41" s="44"/>
      <c r="OZH41" s="44"/>
      <c r="OZI41" s="44"/>
      <c r="OZJ41" s="44"/>
      <c r="OZK41" s="44"/>
      <c r="OZL41" s="44"/>
      <c r="OZM41" s="44"/>
      <c r="OZN41" s="44"/>
      <c r="OZO41" s="44"/>
      <c r="OZP41" s="44"/>
      <c r="OZQ41" s="44"/>
      <c r="OZR41" s="44"/>
      <c r="OZS41" s="44"/>
      <c r="OZT41" s="44"/>
      <c r="OZU41" s="44"/>
      <c r="OZV41" s="44"/>
      <c r="OZW41" s="44"/>
      <c r="OZX41" s="44"/>
      <c r="OZY41" s="44"/>
      <c r="OZZ41" s="44"/>
      <c r="PAA41" s="44"/>
      <c r="PAB41" s="44"/>
      <c r="PAC41" s="44"/>
      <c r="PAD41" s="44"/>
      <c r="PAE41" s="44"/>
      <c r="PAF41" s="44"/>
      <c r="PAG41" s="44"/>
      <c r="PAH41" s="44"/>
      <c r="PAI41" s="44"/>
      <c r="PAJ41" s="44"/>
      <c r="PAK41" s="44"/>
      <c r="PAL41" s="44"/>
      <c r="PAM41" s="44"/>
      <c r="PAN41" s="44"/>
      <c r="PAO41" s="44"/>
      <c r="PAP41" s="44"/>
      <c r="PAQ41" s="44"/>
      <c r="PAR41" s="44"/>
      <c r="PAS41" s="44"/>
      <c r="PAT41" s="44"/>
      <c r="PAU41" s="44"/>
      <c r="PAV41" s="44"/>
      <c r="PAW41" s="44"/>
      <c r="PAX41" s="44"/>
      <c r="PAY41" s="44"/>
      <c r="PAZ41" s="44"/>
      <c r="PBA41" s="44"/>
      <c r="PBB41" s="44"/>
      <c r="PBC41" s="44"/>
      <c r="PBD41" s="44"/>
      <c r="PBE41" s="44"/>
      <c r="PBF41" s="44"/>
      <c r="PBG41" s="44"/>
      <c r="PBH41" s="44"/>
      <c r="PBI41" s="44"/>
      <c r="PBJ41" s="44"/>
      <c r="PBK41" s="44"/>
      <c r="PBL41" s="44"/>
      <c r="PBM41" s="44"/>
      <c r="PBN41" s="44"/>
      <c r="PBO41" s="44"/>
      <c r="PBP41" s="44"/>
      <c r="PBQ41" s="44"/>
      <c r="PBR41" s="44"/>
      <c r="PBS41" s="44"/>
      <c r="PBT41" s="44"/>
      <c r="PBU41" s="44"/>
      <c r="PBV41" s="44"/>
      <c r="PBW41" s="44"/>
      <c r="PBX41" s="44"/>
      <c r="PBY41" s="44"/>
      <c r="PBZ41" s="44"/>
      <c r="PCA41" s="44"/>
      <c r="PCB41" s="44"/>
      <c r="PCC41" s="44"/>
      <c r="PCD41" s="44"/>
      <c r="PCE41" s="44"/>
      <c r="PCF41" s="44"/>
      <c r="PCG41" s="44"/>
      <c r="PCH41" s="44"/>
      <c r="PCI41" s="44"/>
      <c r="PCJ41" s="44"/>
      <c r="PCK41" s="44"/>
      <c r="PCL41" s="44"/>
      <c r="PCM41" s="44"/>
      <c r="PCN41" s="44"/>
      <c r="PCO41" s="44"/>
      <c r="PCP41" s="44"/>
      <c r="PCQ41" s="44"/>
      <c r="PCR41" s="44"/>
      <c r="PCS41" s="44"/>
      <c r="PCT41" s="44"/>
      <c r="PCU41" s="44"/>
      <c r="PCV41" s="44"/>
      <c r="PCW41" s="44"/>
      <c r="PCX41" s="44"/>
      <c r="PCY41" s="44"/>
      <c r="PCZ41" s="44"/>
      <c r="PDA41" s="44"/>
      <c r="PDB41" s="44"/>
      <c r="PDC41" s="44"/>
      <c r="PDD41" s="44"/>
      <c r="PDE41" s="44"/>
      <c r="PDF41" s="44"/>
      <c r="PDG41" s="44"/>
      <c r="PDH41" s="44"/>
      <c r="PDI41" s="44"/>
      <c r="PDJ41" s="44"/>
      <c r="PDK41" s="44"/>
      <c r="PDL41" s="44"/>
      <c r="PDM41" s="44"/>
      <c r="PDN41" s="44"/>
      <c r="PDO41" s="44"/>
      <c r="PDP41" s="44"/>
      <c r="PDQ41" s="44"/>
      <c r="PDR41" s="44"/>
      <c r="PDS41" s="44"/>
      <c r="PDT41" s="44"/>
      <c r="PDU41" s="44"/>
      <c r="PDV41" s="44"/>
      <c r="PDW41" s="44"/>
      <c r="PDX41" s="44"/>
      <c r="PDY41" s="44"/>
      <c r="PDZ41" s="44"/>
      <c r="PEA41" s="44"/>
      <c r="PEB41" s="44"/>
      <c r="PEC41" s="44"/>
      <c r="PED41" s="44"/>
      <c r="PEE41" s="44"/>
      <c r="PEF41" s="44"/>
      <c r="PEG41" s="44"/>
      <c r="PEH41" s="44"/>
      <c r="PEI41" s="44"/>
      <c r="PEJ41" s="44"/>
      <c r="PEK41" s="44"/>
      <c r="PEL41" s="44"/>
      <c r="PEM41" s="44"/>
      <c r="PEN41" s="44"/>
      <c r="PEO41" s="44"/>
      <c r="PEP41" s="44"/>
      <c r="PEQ41" s="44"/>
      <c r="PER41" s="44"/>
      <c r="PES41" s="44"/>
      <c r="PET41" s="44"/>
      <c r="PEU41" s="44"/>
      <c r="PEV41" s="44"/>
      <c r="PEW41" s="44"/>
      <c r="PEX41" s="44"/>
      <c r="PEY41" s="44"/>
      <c r="PEZ41" s="44"/>
      <c r="PFA41" s="44"/>
      <c r="PFB41" s="44"/>
      <c r="PFC41" s="44"/>
      <c r="PFD41" s="44"/>
      <c r="PFE41" s="44"/>
      <c r="PFF41" s="44"/>
      <c r="PFG41" s="44"/>
      <c r="PFH41" s="44"/>
      <c r="PFI41" s="44"/>
      <c r="PFJ41" s="44"/>
      <c r="PFK41" s="44"/>
      <c r="PFL41" s="44"/>
      <c r="PFM41" s="44"/>
      <c r="PFN41" s="44"/>
      <c r="PFO41" s="44"/>
      <c r="PFP41" s="44"/>
      <c r="PFQ41" s="44"/>
      <c r="PFR41" s="44"/>
      <c r="PFS41" s="44"/>
      <c r="PFT41" s="44"/>
      <c r="PFU41" s="44"/>
      <c r="PFV41" s="44"/>
      <c r="PFW41" s="44"/>
      <c r="PFX41" s="44"/>
      <c r="PFY41" s="44"/>
      <c r="PFZ41" s="44"/>
      <c r="PGA41" s="44"/>
      <c r="PGB41" s="44"/>
      <c r="PGC41" s="44"/>
      <c r="PGD41" s="44"/>
      <c r="PGE41" s="44"/>
      <c r="PGF41" s="44"/>
      <c r="PGG41" s="44"/>
      <c r="PGH41" s="44"/>
      <c r="PGI41" s="44"/>
      <c r="PGJ41" s="44"/>
      <c r="PGK41" s="44"/>
      <c r="PGL41" s="44"/>
      <c r="PGM41" s="44"/>
      <c r="PGN41" s="44"/>
      <c r="PGO41" s="44"/>
      <c r="PGP41" s="44"/>
      <c r="PGQ41" s="44"/>
      <c r="PGR41" s="44"/>
      <c r="PGS41" s="44"/>
      <c r="PGT41" s="44"/>
      <c r="PGU41" s="44"/>
      <c r="PGV41" s="44"/>
      <c r="PGW41" s="44"/>
      <c r="PGX41" s="44"/>
      <c r="PGY41" s="44"/>
      <c r="PGZ41" s="44"/>
      <c r="PHA41" s="44"/>
      <c r="PHB41" s="44"/>
      <c r="PHC41" s="44"/>
      <c r="PHD41" s="44"/>
      <c r="PHE41" s="44"/>
      <c r="PHF41" s="44"/>
      <c r="PHG41" s="44"/>
      <c r="PHH41" s="44"/>
      <c r="PHI41" s="44"/>
      <c r="PHJ41" s="44"/>
      <c r="PHK41" s="44"/>
      <c r="PHL41" s="44"/>
      <c r="PHM41" s="44"/>
      <c r="PHN41" s="44"/>
      <c r="PHO41" s="44"/>
      <c r="PHP41" s="44"/>
      <c r="PHQ41" s="44"/>
      <c r="PHR41" s="44"/>
      <c r="PHS41" s="44"/>
      <c r="PHT41" s="44"/>
      <c r="PHU41" s="44"/>
      <c r="PHV41" s="44"/>
      <c r="PHW41" s="44"/>
      <c r="PHX41" s="44"/>
      <c r="PHY41" s="44"/>
      <c r="PHZ41" s="44"/>
      <c r="PIA41" s="44"/>
      <c r="PIB41" s="44"/>
      <c r="PIC41" s="44"/>
      <c r="PID41" s="44"/>
      <c r="PIE41" s="44"/>
      <c r="PIF41" s="44"/>
      <c r="PIG41" s="44"/>
      <c r="PIH41" s="44"/>
      <c r="PII41" s="44"/>
      <c r="PIJ41" s="44"/>
      <c r="PIK41" s="44"/>
      <c r="PIL41" s="44"/>
      <c r="PIM41" s="44"/>
      <c r="PIN41" s="44"/>
      <c r="PIO41" s="44"/>
      <c r="PIP41" s="44"/>
      <c r="PIQ41" s="44"/>
      <c r="PIR41" s="44"/>
      <c r="PIS41" s="44"/>
      <c r="PIT41" s="44"/>
      <c r="PIU41" s="44"/>
      <c r="PIV41" s="44"/>
      <c r="PIW41" s="44"/>
      <c r="PIX41" s="44"/>
      <c r="PIY41" s="44"/>
      <c r="PIZ41" s="44"/>
      <c r="PJA41" s="44"/>
      <c r="PJB41" s="44"/>
      <c r="PJC41" s="44"/>
      <c r="PJD41" s="44"/>
      <c r="PJE41" s="44"/>
      <c r="PJF41" s="44"/>
      <c r="PJG41" s="44"/>
      <c r="PJH41" s="44"/>
      <c r="PJI41" s="44"/>
      <c r="PJJ41" s="44"/>
      <c r="PJK41" s="44"/>
      <c r="PJL41" s="44"/>
      <c r="PJM41" s="44"/>
      <c r="PJN41" s="44"/>
      <c r="PJO41" s="44"/>
      <c r="PJP41" s="44"/>
      <c r="PJQ41" s="44"/>
      <c r="PJR41" s="44"/>
      <c r="PJS41" s="44"/>
      <c r="PJT41" s="44"/>
      <c r="PJU41" s="44"/>
      <c r="PJV41" s="44"/>
      <c r="PJW41" s="44"/>
      <c r="PJX41" s="44"/>
      <c r="PJY41" s="44"/>
      <c r="PJZ41" s="44"/>
      <c r="PKA41" s="44"/>
      <c r="PKB41" s="44"/>
      <c r="PKC41" s="44"/>
      <c r="PKD41" s="44"/>
      <c r="PKE41" s="44"/>
      <c r="PKF41" s="44"/>
      <c r="PKG41" s="44"/>
      <c r="PKH41" s="44"/>
      <c r="PKI41" s="44"/>
      <c r="PKJ41" s="44"/>
      <c r="PKK41" s="44"/>
      <c r="PKL41" s="44"/>
      <c r="PKM41" s="44"/>
      <c r="PKN41" s="44"/>
      <c r="PKO41" s="44"/>
      <c r="PKP41" s="44"/>
      <c r="PKQ41" s="44"/>
      <c r="PKR41" s="44"/>
      <c r="PKS41" s="44"/>
      <c r="PKT41" s="44"/>
      <c r="PKU41" s="44"/>
      <c r="PKV41" s="44"/>
      <c r="PKW41" s="44"/>
      <c r="PKX41" s="44"/>
      <c r="PKY41" s="44"/>
      <c r="PKZ41" s="44"/>
      <c r="PLA41" s="44"/>
      <c r="PLB41" s="44"/>
      <c r="PLC41" s="44"/>
      <c r="PLD41" s="44"/>
      <c r="PLE41" s="44"/>
      <c r="PLF41" s="44"/>
      <c r="PLG41" s="44"/>
      <c r="PLH41" s="44"/>
      <c r="PLI41" s="44"/>
      <c r="PLJ41" s="44"/>
      <c r="PLK41" s="44"/>
      <c r="PLL41" s="44"/>
      <c r="PLM41" s="44"/>
      <c r="PLN41" s="44"/>
      <c r="PLO41" s="44"/>
      <c r="PLP41" s="44"/>
      <c r="PLQ41" s="44"/>
      <c r="PLR41" s="44"/>
      <c r="PLS41" s="44"/>
      <c r="PLT41" s="44"/>
      <c r="PLU41" s="44"/>
      <c r="PLV41" s="44"/>
      <c r="PLW41" s="44"/>
      <c r="PLX41" s="44"/>
      <c r="PLY41" s="44"/>
      <c r="PLZ41" s="44"/>
      <c r="PMA41" s="44"/>
      <c r="PMB41" s="44"/>
      <c r="PMC41" s="44"/>
      <c r="PMD41" s="44"/>
      <c r="PME41" s="44"/>
      <c r="PMF41" s="44"/>
      <c r="PMG41" s="44"/>
      <c r="PMH41" s="44"/>
      <c r="PMI41" s="44"/>
      <c r="PMJ41" s="44"/>
      <c r="PMK41" s="44"/>
      <c r="PML41" s="44"/>
      <c r="PMM41" s="44"/>
      <c r="PMN41" s="44"/>
      <c r="PMO41" s="44"/>
      <c r="PMP41" s="44"/>
      <c r="PMQ41" s="44"/>
      <c r="PMR41" s="44"/>
      <c r="PMS41" s="44"/>
      <c r="PMT41" s="44"/>
      <c r="PMU41" s="44"/>
      <c r="PMV41" s="44"/>
      <c r="PMW41" s="44"/>
      <c r="PMX41" s="44"/>
      <c r="PMY41" s="44"/>
      <c r="PMZ41" s="44"/>
      <c r="PNA41" s="44"/>
      <c r="PNB41" s="44"/>
      <c r="PNC41" s="44"/>
      <c r="PND41" s="44"/>
      <c r="PNE41" s="44"/>
      <c r="PNF41" s="44"/>
      <c r="PNG41" s="44"/>
      <c r="PNH41" s="44"/>
      <c r="PNI41" s="44"/>
      <c r="PNJ41" s="44"/>
      <c r="PNK41" s="44"/>
      <c r="PNL41" s="44"/>
      <c r="PNM41" s="44"/>
      <c r="PNN41" s="44"/>
      <c r="PNO41" s="44"/>
      <c r="PNP41" s="44"/>
      <c r="PNQ41" s="44"/>
      <c r="PNR41" s="44"/>
      <c r="PNS41" s="44"/>
      <c r="PNT41" s="44"/>
      <c r="PNU41" s="44"/>
      <c r="PNV41" s="44"/>
      <c r="PNW41" s="44"/>
      <c r="PNX41" s="44"/>
      <c r="PNY41" s="44"/>
      <c r="PNZ41" s="44"/>
      <c r="POA41" s="44"/>
      <c r="POB41" s="44"/>
      <c r="POC41" s="44"/>
      <c r="POD41" s="44"/>
      <c r="POE41" s="44"/>
      <c r="POF41" s="44"/>
      <c r="POG41" s="44"/>
      <c r="POH41" s="44"/>
      <c r="POI41" s="44"/>
      <c r="POJ41" s="44"/>
      <c r="POK41" s="44"/>
      <c r="POL41" s="44"/>
      <c r="POM41" s="44"/>
      <c r="PON41" s="44"/>
      <c r="POO41" s="44"/>
      <c r="POP41" s="44"/>
      <c r="POQ41" s="44"/>
      <c r="POR41" s="44"/>
      <c r="POS41" s="44"/>
      <c r="POT41" s="44"/>
      <c r="POU41" s="44"/>
      <c r="POV41" s="44"/>
      <c r="POW41" s="44"/>
      <c r="POX41" s="44"/>
      <c r="POY41" s="44"/>
      <c r="POZ41" s="44"/>
      <c r="PPA41" s="44"/>
      <c r="PPB41" s="44"/>
      <c r="PPC41" s="44"/>
      <c r="PPD41" s="44"/>
      <c r="PPE41" s="44"/>
      <c r="PPF41" s="44"/>
      <c r="PPG41" s="44"/>
      <c r="PPH41" s="44"/>
      <c r="PPI41" s="44"/>
      <c r="PPJ41" s="44"/>
      <c r="PPK41" s="44"/>
      <c r="PPL41" s="44"/>
      <c r="PPM41" s="44"/>
      <c r="PPN41" s="44"/>
      <c r="PPO41" s="44"/>
      <c r="PPP41" s="44"/>
      <c r="PPQ41" s="44"/>
      <c r="PPR41" s="44"/>
      <c r="PPS41" s="44"/>
      <c r="PPT41" s="44"/>
      <c r="PPU41" s="44"/>
      <c r="PPV41" s="44"/>
      <c r="PPW41" s="44"/>
      <c r="PPX41" s="44"/>
      <c r="PPY41" s="44"/>
      <c r="PPZ41" s="44"/>
      <c r="PQA41" s="44"/>
      <c r="PQB41" s="44"/>
      <c r="PQC41" s="44"/>
      <c r="PQD41" s="44"/>
      <c r="PQE41" s="44"/>
      <c r="PQF41" s="44"/>
      <c r="PQG41" s="44"/>
      <c r="PQH41" s="44"/>
      <c r="PQI41" s="44"/>
      <c r="PQJ41" s="44"/>
      <c r="PQK41" s="44"/>
      <c r="PQL41" s="44"/>
      <c r="PQM41" s="44"/>
      <c r="PQN41" s="44"/>
      <c r="PQO41" s="44"/>
      <c r="PQP41" s="44"/>
      <c r="PQQ41" s="44"/>
      <c r="PQR41" s="44"/>
      <c r="PQS41" s="44"/>
      <c r="PQT41" s="44"/>
      <c r="PQU41" s="44"/>
      <c r="PQV41" s="44"/>
      <c r="PQW41" s="44"/>
      <c r="PQX41" s="44"/>
      <c r="PQY41" s="44"/>
      <c r="PQZ41" s="44"/>
      <c r="PRA41" s="44"/>
      <c r="PRB41" s="44"/>
      <c r="PRC41" s="44"/>
      <c r="PRD41" s="44"/>
      <c r="PRE41" s="44"/>
      <c r="PRF41" s="44"/>
      <c r="PRG41" s="44"/>
      <c r="PRH41" s="44"/>
      <c r="PRI41" s="44"/>
      <c r="PRJ41" s="44"/>
      <c r="PRK41" s="44"/>
      <c r="PRL41" s="44"/>
      <c r="PRM41" s="44"/>
      <c r="PRN41" s="44"/>
      <c r="PRO41" s="44"/>
      <c r="PRP41" s="44"/>
      <c r="PRQ41" s="44"/>
      <c r="PRR41" s="44"/>
      <c r="PRS41" s="44"/>
      <c r="PRT41" s="44"/>
      <c r="PRU41" s="44"/>
      <c r="PRV41" s="44"/>
      <c r="PRW41" s="44"/>
      <c r="PRX41" s="44"/>
      <c r="PRY41" s="44"/>
      <c r="PRZ41" s="44"/>
      <c r="PSA41" s="44"/>
      <c r="PSB41" s="44"/>
      <c r="PSC41" s="44"/>
      <c r="PSD41" s="44"/>
      <c r="PSE41" s="44"/>
      <c r="PSF41" s="44"/>
      <c r="PSG41" s="44"/>
      <c r="PSH41" s="44"/>
      <c r="PSI41" s="44"/>
      <c r="PSJ41" s="44"/>
      <c r="PSK41" s="44"/>
      <c r="PSL41" s="44"/>
      <c r="PSM41" s="44"/>
      <c r="PSN41" s="44"/>
      <c r="PSO41" s="44"/>
      <c r="PSP41" s="44"/>
      <c r="PSQ41" s="44"/>
      <c r="PSR41" s="44"/>
      <c r="PSS41" s="44"/>
      <c r="PST41" s="44"/>
      <c r="PSU41" s="44"/>
      <c r="PSV41" s="44"/>
      <c r="PSW41" s="44"/>
      <c r="PSX41" s="44"/>
      <c r="PSY41" s="44"/>
      <c r="PSZ41" s="44"/>
      <c r="PTA41" s="44"/>
      <c r="PTB41" s="44"/>
      <c r="PTC41" s="44"/>
      <c r="PTD41" s="44"/>
      <c r="PTE41" s="44"/>
      <c r="PTF41" s="44"/>
      <c r="PTG41" s="44"/>
      <c r="PTH41" s="44"/>
      <c r="PTI41" s="44"/>
      <c r="PTJ41" s="44"/>
      <c r="PTK41" s="44"/>
      <c r="PTL41" s="44"/>
      <c r="PTM41" s="44"/>
      <c r="PTN41" s="44"/>
      <c r="PTO41" s="44"/>
      <c r="PTP41" s="44"/>
      <c r="PTQ41" s="44"/>
      <c r="PTR41" s="44"/>
      <c r="PTS41" s="44"/>
      <c r="PTT41" s="44"/>
      <c r="PTU41" s="44"/>
      <c r="PTV41" s="44"/>
      <c r="PTW41" s="44"/>
      <c r="PTX41" s="44"/>
      <c r="PTY41" s="44"/>
      <c r="PTZ41" s="44"/>
      <c r="PUA41" s="44"/>
      <c r="PUB41" s="44"/>
      <c r="PUC41" s="44"/>
      <c r="PUD41" s="44"/>
      <c r="PUE41" s="44"/>
      <c r="PUF41" s="44"/>
      <c r="PUG41" s="44"/>
      <c r="PUH41" s="44"/>
      <c r="PUI41" s="44"/>
      <c r="PUJ41" s="44"/>
      <c r="PUK41" s="44"/>
      <c r="PUL41" s="44"/>
      <c r="PUM41" s="44"/>
      <c r="PUN41" s="44"/>
      <c r="PUO41" s="44"/>
      <c r="PUP41" s="44"/>
      <c r="PUQ41" s="44"/>
      <c r="PUR41" s="44"/>
      <c r="PUS41" s="44"/>
      <c r="PUT41" s="44"/>
      <c r="PUU41" s="44"/>
      <c r="PUV41" s="44"/>
      <c r="PUW41" s="44"/>
      <c r="PUX41" s="44"/>
      <c r="PUY41" s="44"/>
      <c r="PUZ41" s="44"/>
      <c r="PVA41" s="44"/>
      <c r="PVB41" s="44"/>
      <c r="PVC41" s="44"/>
      <c r="PVD41" s="44"/>
      <c r="PVE41" s="44"/>
      <c r="PVF41" s="44"/>
      <c r="PVG41" s="44"/>
      <c r="PVH41" s="44"/>
      <c r="PVI41" s="44"/>
      <c r="PVJ41" s="44"/>
      <c r="PVK41" s="44"/>
      <c r="PVL41" s="44"/>
      <c r="PVM41" s="44"/>
      <c r="PVN41" s="44"/>
      <c r="PVO41" s="44"/>
      <c r="PVP41" s="44"/>
      <c r="PVQ41" s="44"/>
      <c r="PVR41" s="44"/>
      <c r="PVS41" s="44"/>
      <c r="PVT41" s="44"/>
      <c r="PVU41" s="44"/>
      <c r="PVV41" s="44"/>
      <c r="PVW41" s="44"/>
      <c r="PVX41" s="44"/>
      <c r="PVY41" s="44"/>
      <c r="PVZ41" s="44"/>
      <c r="PWA41" s="44"/>
      <c r="PWB41" s="44"/>
      <c r="PWC41" s="44"/>
      <c r="PWD41" s="44"/>
      <c r="PWE41" s="44"/>
      <c r="PWF41" s="44"/>
      <c r="PWG41" s="44"/>
      <c r="PWH41" s="44"/>
      <c r="PWI41" s="44"/>
      <c r="PWJ41" s="44"/>
      <c r="PWK41" s="44"/>
      <c r="PWL41" s="44"/>
      <c r="PWM41" s="44"/>
      <c r="PWN41" s="44"/>
      <c r="PWO41" s="44"/>
      <c r="PWP41" s="44"/>
      <c r="PWQ41" s="44"/>
      <c r="PWR41" s="44"/>
      <c r="PWS41" s="44"/>
      <c r="PWT41" s="44"/>
      <c r="PWU41" s="44"/>
      <c r="PWV41" s="44"/>
      <c r="PWW41" s="44"/>
      <c r="PWX41" s="44"/>
      <c r="PWY41" s="44"/>
      <c r="PWZ41" s="44"/>
      <c r="PXA41" s="44"/>
      <c r="PXB41" s="44"/>
      <c r="PXC41" s="44"/>
      <c r="PXD41" s="44"/>
      <c r="PXE41" s="44"/>
      <c r="PXF41" s="44"/>
      <c r="PXG41" s="44"/>
      <c r="PXH41" s="44"/>
      <c r="PXI41" s="44"/>
      <c r="PXJ41" s="44"/>
      <c r="PXK41" s="44"/>
      <c r="PXL41" s="44"/>
      <c r="PXM41" s="44"/>
      <c r="PXN41" s="44"/>
      <c r="PXO41" s="44"/>
      <c r="PXP41" s="44"/>
      <c r="PXQ41" s="44"/>
      <c r="PXR41" s="44"/>
      <c r="PXS41" s="44"/>
      <c r="PXT41" s="44"/>
      <c r="PXU41" s="44"/>
      <c r="PXV41" s="44"/>
      <c r="PXW41" s="44"/>
      <c r="PXX41" s="44"/>
      <c r="PXY41" s="44"/>
      <c r="PXZ41" s="44"/>
      <c r="PYA41" s="44"/>
      <c r="PYB41" s="44"/>
      <c r="PYC41" s="44"/>
      <c r="PYD41" s="44"/>
      <c r="PYE41" s="44"/>
      <c r="PYF41" s="44"/>
      <c r="PYG41" s="44"/>
      <c r="PYH41" s="44"/>
      <c r="PYI41" s="44"/>
      <c r="PYJ41" s="44"/>
      <c r="PYK41" s="44"/>
      <c r="PYL41" s="44"/>
      <c r="PYM41" s="44"/>
      <c r="PYN41" s="44"/>
      <c r="PYO41" s="44"/>
      <c r="PYP41" s="44"/>
      <c r="PYQ41" s="44"/>
      <c r="PYR41" s="44"/>
      <c r="PYS41" s="44"/>
      <c r="PYT41" s="44"/>
      <c r="PYU41" s="44"/>
      <c r="PYV41" s="44"/>
      <c r="PYW41" s="44"/>
      <c r="PYX41" s="44"/>
      <c r="PYY41" s="44"/>
      <c r="PYZ41" s="44"/>
      <c r="PZA41" s="44"/>
      <c r="PZB41" s="44"/>
      <c r="PZC41" s="44"/>
      <c r="PZD41" s="44"/>
      <c r="PZE41" s="44"/>
      <c r="PZF41" s="44"/>
      <c r="PZG41" s="44"/>
      <c r="PZH41" s="44"/>
      <c r="PZI41" s="44"/>
      <c r="PZJ41" s="44"/>
      <c r="PZK41" s="44"/>
      <c r="PZL41" s="44"/>
      <c r="PZM41" s="44"/>
      <c r="PZN41" s="44"/>
      <c r="PZO41" s="44"/>
      <c r="PZP41" s="44"/>
      <c r="PZQ41" s="44"/>
      <c r="PZR41" s="44"/>
      <c r="PZS41" s="44"/>
      <c r="PZT41" s="44"/>
      <c r="PZU41" s="44"/>
      <c r="PZV41" s="44"/>
      <c r="PZW41" s="44"/>
      <c r="PZX41" s="44"/>
      <c r="PZY41" s="44"/>
      <c r="PZZ41" s="44"/>
      <c r="QAA41" s="44"/>
      <c r="QAB41" s="44"/>
      <c r="QAC41" s="44"/>
      <c r="QAD41" s="44"/>
      <c r="QAE41" s="44"/>
      <c r="QAF41" s="44"/>
      <c r="QAG41" s="44"/>
      <c r="QAH41" s="44"/>
      <c r="QAI41" s="44"/>
      <c r="QAJ41" s="44"/>
      <c r="QAK41" s="44"/>
      <c r="QAL41" s="44"/>
      <c r="QAM41" s="44"/>
      <c r="QAN41" s="44"/>
      <c r="QAO41" s="44"/>
      <c r="QAP41" s="44"/>
      <c r="QAQ41" s="44"/>
      <c r="QAR41" s="44"/>
      <c r="QAS41" s="44"/>
      <c r="QAT41" s="44"/>
      <c r="QAU41" s="44"/>
      <c r="QAV41" s="44"/>
      <c r="QAW41" s="44"/>
      <c r="QAX41" s="44"/>
      <c r="QAY41" s="44"/>
      <c r="QAZ41" s="44"/>
      <c r="QBA41" s="44"/>
      <c r="QBB41" s="44"/>
      <c r="QBC41" s="44"/>
      <c r="QBD41" s="44"/>
      <c r="QBE41" s="44"/>
      <c r="QBF41" s="44"/>
      <c r="QBG41" s="44"/>
      <c r="QBH41" s="44"/>
      <c r="QBI41" s="44"/>
      <c r="QBJ41" s="44"/>
      <c r="QBK41" s="44"/>
      <c r="QBL41" s="44"/>
      <c r="QBM41" s="44"/>
      <c r="QBN41" s="44"/>
      <c r="QBO41" s="44"/>
      <c r="QBP41" s="44"/>
      <c r="QBQ41" s="44"/>
      <c r="QBR41" s="44"/>
      <c r="QBS41" s="44"/>
      <c r="QBT41" s="44"/>
      <c r="QBU41" s="44"/>
      <c r="QBV41" s="44"/>
      <c r="QBW41" s="44"/>
      <c r="QBX41" s="44"/>
      <c r="QBY41" s="44"/>
      <c r="QBZ41" s="44"/>
      <c r="QCA41" s="44"/>
      <c r="QCB41" s="44"/>
      <c r="QCC41" s="44"/>
      <c r="QCD41" s="44"/>
      <c r="QCE41" s="44"/>
      <c r="QCF41" s="44"/>
      <c r="QCG41" s="44"/>
      <c r="QCH41" s="44"/>
      <c r="QCI41" s="44"/>
      <c r="QCJ41" s="44"/>
      <c r="QCK41" s="44"/>
      <c r="QCL41" s="44"/>
      <c r="QCM41" s="44"/>
      <c r="QCN41" s="44"/>
      <c r="QCO41" s="44"/>
      <c r="QCP41" s="44"/>
      <c r="QCQ41" s="44"/>
      <c r="QCR41" s="44"/>
      <c r="QCS41" s="44"/>
      <c r="QCT41" s="44"/>
      <c r="QCU41" s="44"/>
      <c r="QCV41" s="44"/>
      <c r="QCW41" s="44"/>
      <c r="QCX41" s="44"/>
      <c r="QCY41" s="44"/>
      <c r="QCZ41" s="44"/>
      <c r="QDA41" s="44"/>
      <c r="QDB41" s="44"/>
      <c r="QDC41" s="44"/>
      <c r="QDD41" s="44"/>
      <c r="QDE41" s="44"/>
      <c r="QDF41" s="44"/>
      <c r="QDG41" s="44"/>
      <c r="QDH41" s="44"/>
      <c r="QDI41" s="44"/>
      <c r="QDJ41" s="44"/>
      <c r="QDK41" s="44"/>
      <c r="QDL41" s="44"/>
      <c r="QDM41" s="44"/>
      <c r="QDN41" s="44"/>
      <c r="QDO41" s="44"/>
      <c r="QDP41" s="44"/>
      <c r="QDQ41" s="44"/>
      <c r="QDR41" s="44"/>
      <c r="QDS41" s="44"/>
      <c r="QDT41" s="44"/>
      <c r="QDU41" s="44"/>
      <c r="QDV41" s="44"/>
      <c r="QDW41" s="44"/>
      <c r="QDX41" s="44"/>
      <c r="QDY41" s="44"/>
      <c r="QDZ41" s="44"/>
      <c r="QEA41" s="44"/>
      <c r="QEB41" s="44"/>
      <c r="QEC41" s="44"/>
      <c r="QED41" s="44"/>
      <c r="QEE41" s="44"/>
      <c r="QEF41" s="44"/>
      <c r="QEG41" s="44"/>
      <c r="QEH41" s="44"/>
      <c r="QEI41" s="44"/>
      <c r="QEJ41" s="44"/>
      <c r="QEK41" s="44"/>
      <c r="QEL41" s="44"/>
      <c r="QEM41" s="44"/>
      <c r="QEN41" s="44"/>
      <c r="QEO41" s="44"/>
      <c r="QEP41" s="44"/>
      <c r="QEQ41" s="44"/>
      <c r="QER41" s="44"/>
      <c r="QES41" s="44"/>
      <c r="QET41" s="44"/>
      <c r="QEU41" s="44"/>
      <c r="QEV41" s="44"/>
      <c r="QEW41" s="44"/>
      <c r="QEX41" s="44"/>
      <c r="QEY41" s="44"/>
      <c r="QEZ41" s="44"/>
      <c r="QFA41" s="44"/>
      <c r="QFB41" s="44"/>
      <c r="QFC41" s="44"/>
      <c r="QFD41" s="44"/>
      <c r="QFE41" s="44"/>
      <c r="QFF41" s="44"/>
      <c r="QFG41" s="44"/>
      <c r="QFH41" s="44"/>
      <c r="QFI41" s="44"/>
      <c r="QFJ41" s="44"/>
      <c r="QFK41" s="44"/>
      <c r="QFL41" s="44"/>
      <c r="QFM41" s="44"/>
      <c r="QFN41" s="44"/>
      <c r="QFO41" s="44"/>
      <c r="QFP41" s="44"/>
      <c r="QFQ41" s="44"/>
      <c r="QFR41" s="44"/>
      <c r="QFS41" s="44"/>
      <c r="QFT41" s="44"/>
      <c r="QFU41" s="44"/>
      <c r="QFV41" s="44"/>
      <c r="QFW41" s="44"/>
      <c r="QFX41" s="44"/>
      <c r="QFY41" s="44"/>
      <c r="QFZ41" s="44"/>
      <c r="QGA41" s="44"/>
      <c r="QGB41" s="44"/>
      <c r="QGC41" s="44"/>
      <c r="QGD41" s="44"/>
      <c r="QGE41" s="44"/>
      <c r="QGF41" s="44"/>
      <c r="QGG41" s="44"/>
      <c r="QGH41" s="44"/>
      <c r="QGI41" s="44"/>
      <c r="QGJ41" s="44"/>
      <c r="QGK41" s="44"/>
      <c r="QGL41" s="44"/>
      <c r="QGM41" s="44"/>
      <c r="QGN41" s="44"/>
      <c r="QGO41" s="44"/>
      <c r="QGP41" s="44"/>
      <c r="QGQ41" s="44"/>
      <c r="QGR41" s="44"/>
      <c r="QGS41" s="44"/>
      <c r="QGT41" s="44"/>
      <c r="QGU41" s="44"/>
      <c r="QGV41" s="44"/>
      <c r="QGW41" s="44"/>
      <c r="QGX41" s="44"/>
      <c r="QGY41" s="44"/>
      <c r="QGZ41" s="44"/>
      <c r="QHA41" s="44"/>
      <c r="QHB41" s="44"/>
      <c r="QHC41" s="44"/>
      <c r="QHD41" s="44"/>
      <c r="QHE41" s="44"/>
      <c r="QHF41" s="44"/>
      <c r="QHG41" s="44"/>
      <c r="QHH41" s="44"/>
      <c r="QHI41" s="44"/>
      <c r="QHJ41" s="44"/>
      <c r="QHK41" s="44"/>
      <c r="QHL41" s="44"/>
      <c r="QHM41" s="44"/>
      <c r="QHN41" s="44"/>
      <c r="QHO41" s="44"/>
      <c r="QHP41" s="44"/>
      <c r="QHQ41" s="44"/>
      <c r="QHR41" s="44"/>
      <c r="QHS41" s="44"/>
      <c r="QHT41" s="44"/>
      <c r="QHU41" s="44"/>
      <c r="QHV41" s="44"/>
      <c r="QHW41" s="44"/>
      <c r="QHX41" s="44"/>
      <c r="QHY41" s="44"/>
      <c r="QHZ41" s="44"/>
      <c r="QIA41" s="44"/>
      <c r="QIB41" s="44"/>
      <c r="QIC41" s="44"/>
      <c r="QID41" s="44"/>
      <c r="QIE41" s="44"/>
      <c r="QIF41" s="44"/>
      <c r="QIG41" s="44"/>
      <c r="QIH41" s="44"/>
      <c r="QII41" s="44"/>
      <c r="QIJ41" s="44"/>
      <c r="QIK41" s="44"/>
      <c r="QIL41" s="44"/>
      <c r="QIM41" s="44"/>
      <c r="QIN41" s="44"/>
      <c r="QIO41" s="44"/>
      <c r="QIP41" s="44"/>
      <c r="QIQ41" s="44"/>
      <c r="QIR41" s="44"/>
      <c r="QIS41" s="44"/>
      <c r="QIT41" s="44"/>
      <c r="QIU41" s="44"/>
      <c r="QIV41" s="44"/>
      <c r="QIW41" s="44"/>
      <c r="QIX41" s="44"/>
      <c r="QIY41" s="44"/>
      <c r="QIZ41" s="44"/>
      <c r="QJA41" s="44"/>
      <c r="QJB41" s="44"/>
      <c r="QJC41" s="44"/>
      <c r="QJD41" s="44"/>
      <c r="QJE41" s="44"/>
      <c r="QJF41" s="44"/>
      <c r="QJG41" s="44"/>
      <c r="QJH41" s="44"/>
      <c r="QJI41" s="44"/>
      <c r="QJJ41" s="44"/>
      <c r="QJK41" s="44"/>
      <c r="QJL41" s="44"/>
      <c r="QJM41" s="44"/>
      <c r="QJN41" s="44"/>
      <c r="QJO41" s="44"/>
      <c r="QJP41" s="44"/>
      <c r="QJQ41" s="44"/>
      <c r="QJR41" s="44"/>
      <c r="QJS41" s="44"/>
      <c r="QJT41" s="44"/>
      <c r="QJU41" s="44"/>
      <c r="QJV41" s="44"/>
      <c r="QJW41" s="44"/>
      <c r="QJX41" s="44"/>
      <c r="QJY41" s="44"/>
      <c r="QJZ41" s="44"/>
      <c r="QKA41" s="44"/>
      <c r="QKB41" s="44"/>
      <c r="QKC41" s="44"/>
      <c r="QKD41" s="44"/>
      <c r="QKE41" s="44"/>
      <c r="QKF41" s="44"/>
      <c r="QKG41" s="44"/>
      <c r="QKH41" s="44"/>
      <c r="QKI41" s="44"/>
      <c r="QKJ41" s="44"/>
      <c r="QKK41" s="44"/>
      <c r="QKL41" s="44"/>
      <c r="QKM41" s="44"/>
      <c r="QKN41" s="44"/>
      <c r="QKO41" s="44"/>
      <c r="QKP41" s="44"/>
      <c r="QKQ41" s="44"/>
      <c r="QKR41" s="44"/>
      <c r="QKS41" s="44"/>
      <c r="QKT41" s="44"/>
      <c r="QKU41" s="44"/>
      <c r="QKV41" s="44"/>
      <c r="QKW41" s="44"/>
      <c r="QKX41" s="44"/>
      <c r="QKY41" s="44"/>
      <c r="QKZ41" s="44"/>
      <c r="QLA41" s="44"/>
      <c r="QLB41" s="44"/>
      <c r="QLC41" s="44"/>
      <c r="QLD41" s="44"/>
      <c r="QLE41" s="44"/>
      <c r="QLF41" s="44"/>
      <c r="QLG41" s="44"/>
      <c r="QLH41" s="44"/>
      <c r="QLI41" s="44"/>
      <c r="QLJ41" s="44"/>
      <c r="QLK41" s="44"/>
      <c r="QLL41" s="44"/>
      <c r="QLM41" s="44"/>
      <c r="QLN41" s="44"/>
      <c r="QLO41" s="44"/>
      <c r="QLP41" s="44"/>
      <c r="QLQ41" s="44"/>
      <c r="QLR41" s="44"/>
      <c r="QLS41" s="44"/>
      <c r="QLT41" s="44"/>
      <c r="QLU41" s="44"/>
      <c r="QLV41" s="44"/>
      <c r="QLW41" s="44"/>
      <c r="QLX41" s="44"/>
      <c r="QLY41" s="44"/>
      <c r="QLZ41" s="44"/>
      <c r="QMA41" s="44"/>
      <c r="QMB41" s="44"/>
      <c r="QMC41" s="44"/>
      <c r="QMD41" s="44"/>
      <c r="QME41" s="44"/>
      <c r="QMF41" s="44"/>
      <c r="QMG41" s="44"/>
      <c r="QMH41" s="44"/>
      <c r="QMI41" s="44"/>
      <c r="QMJ41" s="44"/>
      <c r="QMK41" s="44"/>
      <c r="QML41" s="44"/>
      <c r="QMM41" s="44"/>
      <c r="QMN41" s="44"/>
      <c r="QMO41" s="44"/>
      <c r="QMP41" s="44"/>
      <c r="QMQ41" s="44"/>
      <c r="QMR41" s="44"/>
      <c r="QMS41" s="44"/>
      <c r="QMT41" s="44"/>
      <c r="QMU41" s="44"/>
      <c r="QMV41" s="44"/>
      <c r="QMW41" s="44"/>
      <c r="QMX41" s="44"/>
      <c r="QMY41" s="44"/>
      <c r="QMZ41" s="44"/>
      <c r="QNA41" s="44"/>
      <c r="QNB41" s="44"/>
      <c r="QNC41" s="44"/>
      <c r="QND41" s="44"/>
      <c r="QNE41" s="44"/>
      <c r="QNF41" s="44"/>
      <c r="QNG41" s="44"/>
      <c r="QNH41" s="44"/>
      <c r="QNI41" s="44"/>
      <c r="QNJ41" s="44"/>
      <c r="QNK41" s="44"/>
      <c r="QNL41" s="44"/>
      <c r="QNM41" s="44"/>
      <c r="QNN41" s="44"/>
      <c r="QNO41" s="44"/>
      <c r="QNP41" s="44"/>
      <c r="QNQ41" s="44"/>
      <c r="QNR41" s="44"/>
      <c r="QNS41" s="44"/>
      <c r="QNT41" s="44"/>
      <c r="QNU41" s="44"/>
      <c r="QNV41" s="44"/>
      <c r="QNW41" s="44"/>
      <c r="QNX41" s="44"/>
      <c r="QNY41" s="44"/>
      <c r="QNZ41" s="44"/>
      <c r="QOA41" s="44"/>
      <c r="QOB41" s="44"/>
      <c r="QOC41" s="44"/>
      <c r="QOD41" s="44"/>
      <c r="QOE41" s="44"/>
      <c r="QOF41" s="44"/>
      <c r="QOG41" s="44"/>
      <c r="QOH41" s="44"/>
      <c r="QOI41" s="44"/>
      <c r="QOJ41" s="44"/>
      <c r="QOK41" s="44"/>
      <c r="QOL41" s="44"/>
      <c r="QOM41" s="44"/>
      <c r="QON41" s="44"/>
      <c r="QOO41" s="44"/>
      <c r="QOP41" s="44"/>
      <c r="QOQ41" s="44"/>
      <c r="QOR41" s="44"/>
      <c r="QOS41" s="44"/>
      <c r="QOT41" s="44"/>
      <c r="QOU41" s="44"/>
      <c r="QOV41" s="44"/>
      <c r="QOW41" s="44"/>
      <c r="QOX41" s="44"/>
      <c r="QOY41" s="44"/>
      <c r="QOZ41" s="44"/>
      <c r="QPA41" s="44"/>
      <c r="QPB41" s="44"/>
      <c r="QPC41" s="44"/>
      <c r="QPD41" s="44"/>
      <c r="QPE41" s="44"/>
      <c r="QPF41" s="44"/>
      <c r="QPG41" s="44"/>
      <c r="QPH41" s="44"/>
      <c r="QPI41" s="44"/>
      <c r="QPJ41" s="44"/>
      <c r="QPK41" s="44"/>
      <c r="QPL41" s="44"/>
      <c r="QPM41" s="44"/>
      <c r="QPN41" s="44"/>
      <c r="QPO41" s="44"/>
      <c r="QPP41" s="44"/>
      <c r="QPQ41" s="44"/>
      <c r="QPR41" s="44"/>
      <c r="QPS41" s="44"/>
      <c r="QPT41" s="44"/>
      <c r="QPU41" s="44"/>
      <c r="QPV41" s="44"/>
      <c r="QPW41" s="44"/>
      <c r="QPX41" s="44"/>
      <c r="QPY41" s="44"/>
      <c r="QPZ41" s="44"/>
      <c r="QQA41" s="44"/>
      <c r="QQB41" s="44"/>
      <c r="QQC41" s="44"/>
      <c r="QQD41" s="44"/>
      <c r="QQE41" s="44"/>
      <c r="QQF41" s="44"/>
      <c r="QQG41" s="44"/>
      <c r="QQH41" s="44"/>
      <c r="QQI41" s="44"/>
      <c r="QQJ41" s="44"/>
      <c r="QQK41" s="44"/>
      <c r="QQL41" s="44"/>
      <c r="QQM41" s="44"/>
      <c r="QQN41" s="44"/>
      <c r="QQO41" s="44"/>
      <c r="QQP41" s="44"/>
      <c r="QQQ41" s="44"/>
      <c r="QQR41" s="44"/>
      <c r="QQS41" s="44"/>
      <c r="QQT41" s="44"/>
      <c r="QQU41" s="44"/>
      <c r="QQV41" s="44"/>
      <c r="QQW41" s="44"/>
      <c r="QQX41" s="44"/>
      <c r="QQY41" s="44"/>
      <c r="QQZ41" s="44"/>
      <c r="QRA41" s="44"/>
      <c r="QRB41" s="44"/>
      <c r="QRC41" s="44"/>
      <c r="QRD41" s="44"/>
      <c r="QRE41" s="44"/>
      <c r="QRF41" s="44"/>
      <c r="QRG41" s="44"/>
      <c r="QRH41" s="44"/>
      <c r="QRI41" s="44"/>
      <c r="QRJ41" s="44"/>
      <c r="QRK41" s="44"/>
      <c r="QRL41" s="44"/>
      <c r="QRM41" s="44"/>
      <c r="QRN41" s="44"/>
      <c r="QRO41" s="44"/>
      <c r="QRP41" s="44"/>
      <c r="QRQ41" s="44"/>
      <c r="QRR41" s="44"/>
      <c r="QRS41" s="44"/>
      <c r="QRT41" s="44"/>
      <c r="QRU41" s="44"/>
      <c r="QRV41" s="44"/>
      <c r="QRW41" s="44"/>
      <c r="QRX41" s="44"/>
      <c r="QRY41" s="44"/>
      <c r="QRZ41" s="44"/>
      <c r="QSA41" s="44"/>
      <c r="QSB41" s="44"/>
      <c r="QSC41" s="44"/>
      <c r="QSD41" s="44"/>
      <c r="QSE41" s="44"/>
      <c r="QSF41" s="44"/>
      <c r="QSG41" s="44"/>
      <c r="QSH41" s="44"/>
      <c r="QSI41" s="44"/>
      <c r="QSJ41" s="44"/>
      <c r="QSK41" s="44"/>
      <c r="QSL41" s="44"/>
      <c r="QSM41" s="44"/>
      <c r="QSN41" s="44"/>
      <c r="QSO41" s="44"/>
      <c r="QSP41" s="44"/>
      <c r="QSQ41" s="44"/>
      <c r="QSR41" s="44"/>
      <c r="QSS41" s="44"/>
      <c r="QST41" s="44"/>
      <c r="QSU41" s="44"/>
      <c r="QSV41" s="44"/>
      <c r="QSW41" s="44"/>
      <c r="QSX41" s="44"/>
      <c r="QSY41" s="44"/>
      <c r="QSZ41" s="44"/>
      <c r="QTA41" s="44"/>
      <c r="QTB41" s="44"/>
      <c r="QTC41" s="44"/>
      <c r="QTD41" s="44"/>
      <c r="QTE41" s="44"/>
      <c r="QTF41" s="44"/>
      <c r="QTG41" s="44"/>
      <c r="QTH41" s="44"/>
      <c r="QTI41" s="44"/>
      <c r="QTJ41" s="44"/>
      <c r="QTK41" s="44"/>
      <c r="QTL41" s="44"/>
      <c r="QTM41" s="44"/>
      <c r="QTN41" s="44"/>
      <c r="QTO41" s="44"/>
      <c r="QTP41" s="44"/>
      <c r="QTQ41" s="44"/>
      <c r="QTR41" s="44"/>
      <c r="QTS41" s="44"/>
      <c r="QTT41" s="44"/>
      <c r="QTU41" s="44"/>
      <c r="QTV41" s="44"/>
      <c r="QTW41" s="44"/>
      <c r="QTX41" s="44"/>
      <c r="QTY41" s="44"/>
      <c r="QTZ41" s="44"/>
      <c r="QUA41" s="44"/>
      <c r="QUB41" s="44"/>
      <c r="QUC41" s="44"/>
      <c r="QUD41" s="44"/>
      <c r="QUE41" s="44"/>
      <c r="QUF41" s="44"/>
      <c r="QUG41" s="44"/>
      <c r="QUH41" s="44"/>
      <c r="QUI41" s="44"/>
      <c r="QUJ41" s="44"/>
      <c r="QUK41" s="44"/>
      <c r="QUL41" s="44"/>
      <c r="QUM41" s="44"/>
      <c r="QUN41" s="44"/>
      <c r="QUO41" s="44"/>
      <c r="QUP41" s="44"/>
      <c r="QUQ41" s="44"/>
      <c r="QUR41" s="44"/>
      <c r="QUS41" s="44"/>
      <c r="QUT41" s="44"/>
      <c r="QUU41" s="44"/>
      <c r="QUV41" s="44"/>
      <c r="QUW41" s="44"/>
      <c r="QUX41" s="44"/>
      <c r="QUY41" s="44"/>
      <c r="QUZ41" s="44"/>
      <c r="QVA41" s="44"/>
      <c r="QVB41" s="44"/>
      <c r="QVC41" s="44"/>
      <c r="QVD41" s="44"/>
      <c r="QVE41" s="44"/>
      <c r="QVF41" s="44"/>
      <c r="QVG41" s="44"/>
      <c r="QVH41" s="44"/>
      <c r="QVI41" s="44"/>
      <c r="QVJ41" s="44"/>
      <c r="QVK41" s="44"/>
      <c r="QVL41" s="44"/>
      <c r="QVM41" s="44"/>
      <c r="QVN41" s="44"/>
      <c r="QVO41" s="44"/>
      <c r="QVP41" s="44"/>
      <c r="QVQ41" s="44"/>
      <c r="QVR41" s="44"/>
      <c r="QVS41" s="44"/>
      <c r="QVT41" s="44"/>
      <c r="QVU41" s="44"/>
      <c r="QVV41" s="44"/>
      <c r="QVW41" s="44"/>
      <c r="QVX41" s="44"/>
      <c r="QVY41" s="44"/>
      <c r="QVZ41" s="44"/>
      <c r="QWA41" s="44"/>
      <c r="QWB41" s="44"/>
      <c r="QWC41" s="44"/>
      <c r="QWD41" s="44"/>
      <c r="QWE41" s="44"/>
      <c r="QWF41" s="44"/>
      <c r="QWG41" s="44"/>
      <c r="QWH41" s="44"/>
      <c r="QWI41" s="44"/>
      <c r="QWJ41" s="44"/>
      <c r="QWK41" s="44"/>
      <c r="QWL41" s="44"/>
      <c r="QWM41" s="44"/>
      <c r="QWN41" s="44"/>
      <c r="QWO41" s="44"/>
      <c r="QWP41" s="44"/>
      <c r="QWQ41" s="44"/>
      <c r="QWR41" s="44"/>
      <c r="QWS41" s="44"/>
      <c r="QWT41" s="44"/>
      <c r="QWU41" s="44"/>
      <c r="QWV41" s="44"/>
      <c r="QWW41" s="44"/>
      <c r="QWX41" s="44"/>
      <c r="QWY41" s="44"/>
      <c r="QWZ41" s="44"/>
      <c r="QXA41" s="44"/>
      <c r="QXB41" s="44"/>
      <c r="QXC41" s="44"/>
      <c r="QXD41" s="44"/>
      <c r="QXE41" s="44"/>
      <c r="QXF41" s="44"/>
      <c r="QXG41" s="44"/>
      <c r="QXH41" s="44"/>
      <c r="QXI41" s="44"/>
      <c r="QXJ41" s="44"/>
      <c r="QXK41" s="44"/>
      <c r="QXL41" s="44"/>
      <c r="QXM41" s="44"/>
      <c r="QXN41" s="44"/>
      <c r="QXO41" s="44"/>
      <c r="QXP41" s="44"/>
      <c r="QXQ41" s="44"/>
      <c r="QXR41" s="44"/>
      <c r="QXS41" s="44"/>
      <c r="QXT41" s="44"/>
      <c r="QXU41" s="44"/>
      <c r="QXV41" s="44"/>
      <c r="QXW41" s="44"/>
      <c r="QXX41" s="44"/>
      <c r="QXY41" s="44"/>
      <c r="QXZ41" s="44"/>
      <c r="QYA41" s="44"/>
      <c r="QYB41" s="44"/>
      <c r="QYC41" s="44"/>
      <c r="QYD41" s="44"/>
      <c r="QYE41" s="44"/>
      <c r="QYF41" s="44"/>
      <c r="QYG41" s="44"/>
      <c r="QYH41" s="44"/>
      <c r="QYI41" s="44"/>
      <c r="QYJ41" s="44"/>
      <c r="QYK41" s="44"/>
      <c r="QYL41" s="44"/>
      <c r="QYM41" s="44"/>
      <c r="QYN41" s="44"/>
      <c r="QYO41" s="44"/>
      <c r="QYP41" s="44"/>
      <c r="QYQ41" s="44"/>
      <c r="QYR41" s="44"/>
      <c r="QYS41" s="44"/>
      <c r="QYT41" s="44"/>
      <c r="QYU41" s="44"/>
      <c r="QYV41" s="44"/>
      <c r="QYW41" s="44"/>
      <c r="QYX41" s="44"/>
      <c r="QYY41" s="44"/>
      <c r="QYZ41" s="44"/>
      <c r="QZA41" s="44"/>
      <c r="QZB41" s="44"/>
      <c r="QZC41" s="44"/>
      <c r="QZD41" s="44"/>
      <c r="QZE41" s="44"/>
      <c r="QZF41" s="44"/>
      <c r="QZG41" s="44"/>
      <c r="QZH41" s="44"/>
      <c r="QZI41" s="44"/>
      <c r="QZJ41" s="44"/>
      <c r="QZK41" s="44"/>
      <c r="QZL41" s="44"/>
      <c r="QZM41" s="44"/>
      <c r="QZN41" s="44"/>
      <c r="QZO41" s="44"/>
      <c r="QZP41" s="44"/>
      <c r="QZQ41" s="44"/>
      <c r="QZR41" s="44"/>
      <c r="QZS41" s="44"/>
      <c r="QZT41" s="44"/>
      <c r="QZU41" s="44"/>
      <c r="QZV41" s="44"/>
      <c r="QZW41" s="44"/>
      <c r="QZX41" s="44"/>
      <c r="QZY41" s="44"/>
      <c r="QZZ41" s="44"/>
      <c r="RAA41" s="44"/>
      <c r="RAB41" s="44"/>
      <c r="RAC41" s="44"/>
      <c r="RAD41" s="44"/>
      <c r="RAE41" s="44"/>
      <c r="RAF41" s="44"/>
      <c r="RAG41" s="44"/>
      <c r="RAH41" s="44"/>
      <c r="RAI41" s="44"/>
      <c r="RAJ41" s="44"/>
      <c r="RAK41" s="44"/>
      <c r="RAL41" s="44"/>
      <c r="RAM41" s="44"/>
      <c r="RAN41" s="44"/>
      <c r="RAO41" s="44"/>
      <c r="RAP41" s="44"/>
      <c r="RAQ41" s="44"/>
      <c r="RAR41" s="44"/>
      <c r="RAS41" s="44"/>
      <c r="RAT41" s="44"/>
      <c r="RAU41" s="44"/>
      <c r="RAV41" s="44"/>
      <c r="RAW41" s="44"/>
      <c r="RAX41" s="44"/>
      <c r="RAY41" s="44"/>
      <c r="RAZ41" s="44"/>
      <c r="RBA41" s="44"/>
      <c r="RBB41" s="44"/>
      <c r="RBC41" s="44"/>
      <c r="RBD41" s="44"/>
      <c r="RBE41" s="44"/>
      <c r="RBF41" s="44"/>
      <c r="RBG41" s="44"/>
      <c r="RBH41" s="44"/>
      <c r="RBI41" s="44"/>
      <c r="RBJ41" s="44"/>
      <c r="RBK41" s="44"/>
      <c r="RBL41" s="44"/>
      <c r="RBM41" s="44"/>
      <c r="RBN41" s="44"/>
      <c r="RBO41" s="44"/>
      <c r="RBP41" s="44"/>
      <c r="RBQ41" s="44"/>
      <c r="RBR41" s="44"/>
      <c r="RBS41" s="44"/>
      <c r="RBT41" s="44"/>
      <c r="RBU41" s="44"/>
      <c r="RBV41" s="44"/>
      <c r="RBW41" s="44"/>
      <c r="RBX41" s="44"/>
      <c r="RBY41" s="44"/>
      <c r="RBZ41" s="44"/>
      <c r="RCA41" s="44"/>
      <c r="RCB41" s="44"/>
      <c r="RCC41" s="44"/>
      <c r="RCD41" s="44"/>
      <c r="RCE41" s="44"/>
      <c r="RCF41" s="44"/>
      <c r="RCG41" s="44"/>
      <c r="RCH41" s="44"/>
      <c r="RCI41" s="44"/>
      <c r="RCJ41" s="44"/>
      <c r="RCK41" s="44"/>
      <c r="RCL41" s="44"/>
      <c r="RCM41" s="44"/>
      <c r="RCN41" s="44"/>
      <c r="RCO41" s="44"/>
      <c r="RCP41" s="44"/>
      <c r="RCQ41" s="44"/>
      <c r="RCR41" s="44"/>
      <c r="RCS41" s="44"/>
      <c r="RCT41" s="44"/>
      <c r="RCU41" s="44"/>
      <c r="RCV41" s="44"/>
      <c r="RCW41" s="44"/>
      <c r="RCX41" s="44"/>
      <c r="RCY41" s="44"/>
      <c r="RCZ41" s="44"/>
      <c r="RDA41" s="44"/>
      <c r="RDB41" s="44"/>
      <c r="RDC41" s="44"/>
      <c r="RDD41" s="44"/>
      <c r="RDE41" s="44"/>
      <c r="RDF41" s="44"/>
      <c r="RDG41" s="44"/>
      <c r="RDH41" s="44"/>
      <c r="RDI41" s="44"/>
      <c r="RDJ41" s="44"/>
      <c r="RDK41" s="44"/>
      <c r="RDL41" s="44"/>
      <c r="RDM41" s="44"/>
      <c r="RDN41" s="44"/>
      <c r="RDO41" s="44"/>
      <c r="RDP41" s="44"/>
      <c r="RDQ41" s="44"/>
      <c r="RDR41" s="44"/>
      <c r="RDS41" s="44"/>
      <c r="RDT41" s="44"/>
      <c r="RDU41" s="44"/>
      <c r="RDV41" s="44"/>
      <c r="RDW41" s="44"/>
      <c r="RDX41" s="44"/>
      <c r="RDY41" s="44"/>
      <c r="RDZ41" s="44"/>
      <c r="REA41" s="44"/>
      <c r="REB41" s="44"/>
      <c r="REC41" s="44"/>
      <c r="RED41" s="44"/>
      <c r="REE41" s="44"/>
      <c r="REF41" s="44"/>
      <c r="REG41" s="44"/>
      <c r="REH41" s="44"/>
      <c r="REI41" s="44"/>
      <c r="REJ41" s="44"/>
      <c r="REK41" s="44"/>
      <c r="REL41" s="44"/>
      <c r="REM41" s="44"/>
      <c r="REN41" s="44"/>
      <c r="REO41" s="44"/>
      <c r="REP41" s="44"/>
      <c r="REQ41" s="44"/>
      <c r="RER41" s="44"/>
      <c r="RES41" s="44"/>
      <c r="RET41" s="44"/>
      <c r="REU41" s="44"/>
      <c r="REV41" s="44"/>
      <c r="REW41" s="44"/>
      <c r="REX41" s="44"/>
      <c r="REY41" s="44"/>
      <c r="REZ41" s="44"/>
      <c r="RFA41" s="44"/>
      <c r="RFB41" s="44"/>
      <c r="RFC41" s="44"/>
      <c r="RFD41" s="44"/>
      <c r="RFE41" s="44"/>
      <c r="RFF41" s="44"/>
      <c r="RFG41" s="44"/>
      <c r="RFH41" s="44"/>
      <c r="RFI41" s="44"/>
      <c r="RFJ41" s="44"/>
      <c r="RFK41" s="44"/>
      <c r="RFL41" s="44"/>
      <c r="RFM41" s="44"/>
      <c r="RFN41" s="44"/>
      <c r="RFO41" s="44"/>
      <c r="RFP41" s="44"/>
      <c r="RFQ41" s="44"/>
      <c r="RFR41" s="44"/>
      <c r="RFS41" s="44"/>
      <c r="RFT41" s="44"/>
      <c r="RFU41" s="44"/>
      <c r="RFV41" s="44"/>
      <c r="RFW41" s="44"/>
      <c r="RFX41" s="44"/>
      <c r="RFY41" s="44"/>
      <c r="RFZ41" s="44"/>
      <c r="RGA41" s="44"/>
      <c r="RGB41" s="44"/>
      <c r="RGC41" s="44"/>
      <c r="RGD41" s="44"/>
      <c r="RGE41" s="44"/>
      <c r="RGF41" s="44"/>
      <c r="RGG41" s="44"/>
      <c r="RGH41" s="44"/>
      <c r="RGI41" s="44"/>
      <c r="RGJ41" s="44"/>
      <c r="RGK41" s="44"/>
      <c r="RGL41" s="44"/>
      <c r="RGM41" s="44"/>
      <c r="RGN41" s="44"/>
      <c r="RGO41" s="44"/>
      <c r="RGP41" s="44"/>
      <c r="RGQ41" s="44"/>
      <c r="RGR41" s="44"/>
      <c r="RGS41" s="44"/>
      <c r="RGT41" s="44"/>
      <c r="RGU41" s="44"/>
      <c r="RGV41" s="44"/>
      <c r="RGW41" s="44"/>
      <c r="RGX41" s="44"/>
      <c r="RGY41" s="44"/>
      <c r="RGZ41" s="44"/>
      <c r="RHA41" s="44"/>
      <c r="RHB41" s="44"/>
      <c r="RHC41" s="44"/>
      <c r="RHD41" s="44"/>
      <c r="RHE41" s="44"/>
      <c r="RHF41" s="44"/>
      <c r="RHG41" s="44"/>
      <c r="RHH41" s="44"/>
      <c r="RHI41" s="44"/>
      <c r="RHJ41" s="44"/>
      <c r="RHK41" s="44"/>
      <c r="RHL41" s="44"/>
      <c r="RHM41" s="44"/>
      <c r="RHN41" s="44"/>
      <c r="RHO41" s="44"/>
      <c r="RHP41" s="44"/>
      <c r="RHQ41" s="44"/>
      <c r="RHR41" s="44"/>
      <c r="RHS41" s="44"/>
      <c r="RHT41" s="44"/>
      <c r="RHU41" s="44"/>
      <c r="RHV41" s="44"/>
      <c r="RHW41" s="44"/>
      <c r="RHX41" s="44"/>
      <c r="RHY41" s="44"/>
      <c r="RHZ41" s="44"/>
      <c r="RIA41" s="44"/>
      <c r="RIB41" s="44"/>
      <c r="RIC41" s="44"/>
      <c r="RID41" s="44"/>
      <c r="RIE41" s="44"/>
      <c r="RIF41" s="44"/>
      <c r="RIG41" s="44"/>
      <c r="RIH41" s="44"/>
      <c r="RII41" s="44"/>
      <c r="RIJ41" s="44"/>
      <c r="RIK41" s="44"/>
      <c r="RIL41" s="44"/>
      <c r="RIM41" s="44"/>
      <c r="RIN41" s="44"/>
      <c r="RIO41" s="44"/>
      <c r="RIP41" s="44"/>
      <c r="RIQ41" s="44"/>
      <c r="RIR41" s="44"/>
      <c r="RIS41" s="44"/>
      <c r="RIT41" s="44"/>
      <c r="RIU41" s="44"/>
      <c r="RIV41" s="44"/>
      <c r="RIW41" s="44"/>
      <c r="RIX41" s="44"/>
      <c r="RIY41" s="44"/>
      <c r="RIZ41" s="44"/>
      <c r="RJA41" s="44"/>
      <c r="RJB41" s="44"/>
      <c r="RJC41" s="44"/>
      <c r="RJD41" s="44"/>
      <c r="RJE41" s="44"/>
      <c r="RJF41" s="44"/>
      <c r="RJG41" s="44"/>
      <c r="RJH41" s="44"/>
      <c r="RJI41" s="44"/>
      <c r="RJJ41" s="44"/>
      <c r="RJK41" s="44"/>
      <c r="RJL41" s="44"/>
      <c r="RJM41" s="44"/>
      <c r="RJN41" s="44"/>
      <c r="RJO41" s="44"/>
      <c r="RJP41" s="44"/>
      <c r="RJQ41" s="44"/>
      <c r="RJR41" s="44"/>
      <c r="RJS41" s="44"/>
      <c r="RJT41" s="44"/>
      <c r="RJU41" s="44"/>
      <c r="RJV41" s="44"/>
      <c r="RJW41" s="44"/>
      <c r="RJX41" s="44"/>
      <c r="RJY41" s="44"/>
      <c r="RJZ41" s="44"/>
      <c r="RKA41" s="44"/>
      <c r="RKB41" s="44"/>
      <c r="RKC41" s="44"/>
      <c r="RKD41" s="44"/>
      <c r="RKE41" s="44"/>
      <c r="RKF41" s="44"/>
      <c r="RKG41" s="44"/>
      <c r="RKH41" s="44"/>
      <c r="RKI41" s="44"/>
      <c r="RKJ41" s="44"/>
      <c r="RKK41" s="44"/>
      <c r="RKL41" s="44"/>
      <c r="RKM41" s="44"/>
      <c r="RKN41" s="44"/>
      <c r="RKO41" s="44"/>
      <c r="RKP41" s="44"/>
      <c r="RKQ41" s="44"/>
      <c r="RKR41" s="44"/>
      <c r="RKS41" s="44"/>
      <c r="RKT41" s="44"/>
      <c r="RKU41" s="44"/>
      <c r="RKV41" s="44"/>
      <c r="RKW41" s="44"/>
      <c r="RKX41" s="44"/>
      <c r="RKY41" s="44"/>
      <c r="RKZ41" s="44"/>
      <c r="RLA41" s="44"/>
      <c r="RLB41" s="44"/>
      <c r="RLC41" s="44"/>
      <c r="RLD41" s="44"/>
      <c r="RLE41" s="44"/>
      <c r="RLF41" s="44"/>
      <c r="RLG41" s="44"/>
      <c r="RLH41" s="44"/>
      <c r="RLI41" s="44"/>
      <c r="RLJ41" s="44"/>
      <c r="RLK41" s="44"/>
      <c r="RLL41" s="44"/>
      <c r="RLM41" s="44"/>
      <c r="RLN41" s="44"/>
      <c r="RLO41" s="44"/>
      <c r="RLP41" s="44"/>
      <c r="RLQ41" s="44"/>
      <c r="RLR41" s="44"/>
      <c r="RLS41" s="44"/>
      <c r="RLT41" s="44"/>
      <c r="RLU41" s="44"/>
      <c r="RLV41" s="44"/>
      <c r="RLW41" s="44"/>
      <c r="RLX41" s="44"/>
      <c r="RLY41" s="44"/>
      <c r="RLZ41" s="44"/>
      <c r="RMA41" s="44"/>
      <c r="RMB41" s="44"/>
      <c r="RMC41" s="44"/>
      <c r="RMD41" s="44"/>
      <c r="RME41" s="44"/>
      <c r="RMF41" s="44"/>
      <c r="RMG41" s="44"/>
      <c r="RMH41" s="44"/>
      <c r="RMI41" s="44"/>
      <c r="RMJ41" s="44"/>
      <c r="RMK41" s="44"/>
      <c r="RML41" s="44"/>
      <c r="RMM41" s="44"/>
      <c r="RMN41" s="44"/>
      <c r="RMO41" s="44"/>
      <c r="RMP41" s="44"/>
      <c r="RMQ41" s="44"/>
      <c r="RMR41" s="44"/>
      <c r="RMS41" s="44"/>
      <c r="RMT41" s="44"/>
      <c r="RMU41" s="44"/>
      <c r="RMV41" s="44"/>
      <c r="RMW41" s="44"/>
      <c r="RMX41" s="44"/>
      <c r="RMY41" s="44"/>
      <c r="RMZ41" s="44"/>
      <c r="RNA41" s="44"/>
      <c r="RNB41" s="44"/>
      <c r="RNC41" s="44"/>
      <c r="RND41" s="44"/>
      <c r="RNE41" s="44"/>
      <c r="RNF41" s="44"/>
      <c r="RNG41" s="44"/>
      <c r="RNH41" s="44"/>
      <c r="RNI41" s="44"/>
      <c r="RNJ41" s="44"/>
      <c r="RNK41" s="44"/>
      <c r="RNL41" s="44"/>
      <c r="RNM41" s="44"/>
      <c r="RNN41" s="44"/>
      <c r="RNO41" s="44"/>
      <c r="RNP41" s="44"/>
      <c r="RNQ41" s="44"/>
      <c r="RNR41" s="44"/>
      <c r="RNS41" s="44"/>
      <c r="RNT41" s="44"/>
      <c r="RNU41" s="44"/>
      <c r="RNV41" s="44"/>
      <c r="RNW41" s="44"/>
      <c r="RNX41" s="44"/>
      <c r="RNY41" s="44"/>
      <c r="RNZ41" s="44"/>
      <c r="ROA41" s="44"/>
      <c r="ROB41" s="44"/>
      <c r="ROC41" s="44"/>
      <c r="ROD41" s="44"/>
      <c r="ROE41" s="44"/>
      <c r="ROF41" s="44"/>
      <c r="ROG41" s="44"/>
      <c r="ROH41" s="44"/>
      <c r="ROI41" s="44"/>
      <c r="ROJ41" s="44"/>
      <c r="ROK41" s="44"/>
      <c r="ROL41" s="44"/>
      <c r="ROM41" s="44"/>
      <c r="RON41" s="44"/>
      <c r="ROO41" s="44"/>
      <c r="ROP41" s="44"/>
      <c r="ROQ41" s="44"/>
      <c r="ROR41" s="44"/>
      <c r="ROS41" s="44"/>
      <c r="ROT41" s="44"/>
      <c r="ROU41" s="44"/>
      <c r="ROV41" s="44"/>
      <c r="ROW41" s="44"/>
      <c r="ROX41" s="44"/>
      <c r="ROY41" s="44"/>
      <c r="ROZ41" s="44"/>
      <c r="RPA41" s="44"/>
      <c r="RPB41" s="44"/>
      <c r="RPC41" s="44"/>
      <c r="RPD41" s="44"/>
      <c r="RPE41" s="44"/>
      <c r="RPF41" s="44"/>
      <c r="RPG41" s="44"/>
      <c r="RPH41" s="44"/>
      <c r="RPI41" s="44"/>
      <c r="RPJ41" s="44"/>
      <c r="RPK41" s="44"/>
      <c r="RPL41" s="44"/>
      <c r="RPM41" s="44"/>
      <c r="RPN41" s="44"/>
      <c r="RPO41" s="44"/>
      <c r="RPP41" s="44"/>
      <c r="RPQ41" s="44"/>
      <c r="RPR41" s="44"/>
      <c r="RPS41" s="44"/>
      <c r="RPT41" s="44"/>
      <c r="RPU41" s="44"/>
      <c r="RPV41" s="44"/>
      <c r="RPW41" s="44"/>
      <c r="RPX41" s="44"/>
      <c r="RPY41" s="44"/>
      <c r="RPZ41" s="44"/>
      <c r="RQA41" s="44"/>
      <c r="RQB41" s="44"/>
      <c r="RQC41" s="44"/>
      <c r="RQD41" s="44"/>
      <c r="RQE41" s="44"/>
      <c r="RQF41" s="44"/>
      <c r="RQG41" s="44"/>
      <c r="RQH41" s="44"/>
      <c r="RQI41" s="44"/>
      <c r="RQJ41" s="44"/>
      <c r="RQK41" s="44"/>
      <c r="RQL41" s="44"/>
      <c r="RQM41" s="44"/>
      <c r="RQN41" s="44"/>
      <c r="RQO41" s="44"/>
      <c r="RQP41" s="44"/>
      <c r="RQQ41" s="44"/>
      <c r="RQR41" s="44"/>
      <c r="RQS41" s="44"/>
      <c r="RQT41" s="44"/>
      <c r="RQU41" s="44"/>
      <c r="RQV41" s="44"/>
      <c r="RQW41" s="44"/>
      <c r="RQX41" s="44"/>
      <c r="RQY41" s="44"/>
      <c r="RQZ41" s="44"/>
      <c r="RRA41" s="44"/>
      <c r="RRB41" s="44"/>
      <c r="RRC41" s="44"/>
      <c r="RRD41" s="44"/>
      <c r="RRE41" s="44"/>
      <c r="RRF41" s="44"/>
      <c r="RRG41" s="44"/>
      <c r="RRH41" s="44"/>
      <c r="RRI41" s="44"/>
      <c r="RRJ41" s="44"/>
      <c r="RRK41" s="44"/>
      <c r="RRL41" s="44"/>
      <c r="RRM41" s="44"/>
      <c r="RRN41" s="44"/>
      <c r="RRO41" s="44"/>
      <c r="RRP41" s="44"/>
      <c r="RRQ41" s="44"/>
      <c r="RRR41" s="44"/>
      <c r="RRS41" s="44"/>
      <c r="RRT41" s="44"/>
      <c r="RRU41" s="44"/>
      <c r="RRV41" s="44"/>
      <c r="RRW41" s="44"/>
      <c r="RRX41" s="44"/>
      <c r="RRY41" s="44"/>
      <c r="RRZ41" s="44"/>
      <c r="RSA41" s="44"/>
      <c r="RSB41" s="44"/>
      <c r="RSC41" s="44"/>
      <c r="RSD41" s="44"/>
      <c r="RSE41" s="44"/>
      <c r="RSF41" s="44"/>
      <c r="RSG41" s="44"/>
      <c r="RSH41" s="44"/>
      <c r="RSI41" s="44"/>
      <c r="RSJ41" s="44"/>
      <c r="RSK41" s="44"/>
      <c r="RSL41" s="44"/>
      <c r="RSM41" s="44"/>
      <c r="RSN41" s="44"/>
      <c r="RSO41" s="44"/>
      <c r="RSP41" s="44"/>
      <c r="RSQ41" s="44"/>
      <c r="RSR41" s="44"/>
      <c r="RSS41" s="44"/>
      <c r="RST41" s="44"/>
      <c r="RSU41" s="44"/>
      <c r="RSV41" s="44"/>
      <c r="RSW41" s="44"/>
      <c r="RSX41" s="44"/>
      <c r="RSY41" s="44"/>
      <c r="RSZ41" s="44"/>
      <c r="RTA41" s="44"/>
      <c r="RTB41" s="44"/>
      <c r="RTC41" s="44"/>
      <c r="RTD41" s="44"/>
      <c r="RTE41" s="44"/>
      <c r="RTF41" s="44"/>
      <c r="RTG41" s="44"/>
      <c r="RTH41" s="44"/>
      <c r="RTI41" s="44"/>
      <c r="RTJ41" s="44"/>
      <c r="RTK41" s="44"/>
      <c r="RTL41" s="44"/>
      <c r="RTM41" s="44"/>
      <c r="RTN41" s="44"/>
      <c r="RTO41" s="44"/>
      <c r="RTP41" s="44"/>
      <c r="RTQ41" s="44"/>
      <c r="RTR41" s="44"/>
      <c r="RTS41" s="44"/>
      <c r="RTT41" s="44"/>
      <c r="RTU41" s="44"/>
      <c r="RTV41" s="44"/>
      <c r="RTW41" s="44"/>
      <c r="RTX41" s="44"/>
      <c r="RTY41" s="44"/>
      <c r="RTZ41" s="44"/>
      <c r="RUA41" s="44"/>
      <c r="RUB41" s="44"/>
      <c r="RUC41" s="44"/>
      <c r="RUD41" s="44"/>
      <c r="RUE41" s="44"/>
      <c r="RUF41" s="44"/>
      <c r="RUG41" s="44"/>
      <c r="RUH41" s="44"/>
      <c r="RUI41" s="44"/>
      <c r="RUJ41" s="44"/>
      <c r="RUK41" s="44"/>
      <c r="RUL41" s="44"/>
      <c r="RUM41" s="44"/>
      <c r="RUN41" s="44"/>
      <c r="RUO41" s="44"/>
      <c r="RUP41" s="44"/>
      <c r="RUQ41" s="44"/>
      <c r="RUR41" s="44"/>
      <c r="RUS41" s="44"/>
      <c r="RUT41" s="44"/>
      <c r="RUU41" s="44"/>
      <c r="RUV41" s="44"/>
      <c r="RUW41" s="44"/>
      <c r="RUX41" s="44"/>
      <c r="RUY41" s="44"/>
      <c r="RUZ41" s="44"/>
      <c r="RVA41" s="44"/>
      <c r="RVB41" s="44"/>
      <c r="RVC41" s="44"/>
      <c r="RVD41" s="44"/>
      <c r="RVE41" s="44"/>
      <c r="RVF41" s="44"/>
      <c r="RVG41" s="44"/>
      <c r="RVH41" s="44"/>
      <c r="RVI41" s="44"/>
      <c r="RVJ41" s="44"/>
      <c r="RVK41" s="44"/>
      <c r="RVL41" s="44"/>
      <c r="RVM41" s="44"/>
      <c r="RVN41" s="44"/>
      <c r="RVO41" s="44"/>
      <c r="RVP41" s="44"/>
      <c r="RVQ41" s="44"/>
      <c r="RVR41" s="44"/>
      <c r="RVS41" s="44"/>
      <c r="RVT41" s="44"/>
      <c r="RVU41" s="44"/>
      <c r="RVV41" s="44"/>
      <c r="RVW41" s="44"/>
      <c r="RVX41" s="44"/>
      <c r="RVY41" s="44"/>
      <c r="RVZ41" s="44"/>
      <c r="RWA41" s="44"/>
      <c r="RWB41" s="44"/>
      <c r="RWC41" s="44"/>
      <c r="RWD41" s="44"/>
      <c r="RWE41" s="44"/>
      <c r="RWF41" s="44"/>
      <c r="RWG41" s="44"/>
      <c r="RWH41" s="44"/>
      <c r="RWI41" s="44"/>
      <c r="RWJ41" s="44"/>
      <c r="RWK41" s="44"/>
      <c r="RWL41" s="44"/>
      <c r="RWM41" s="44"/>
      <c r="RWN41" s="44"/>
      <c r="RWO41" s="44"/>
      <c r="RWP41" s="44"/>
      <c r="RWQ41" s="44"/>
      <c r="RWR41" s="44"/>
      <c r="RWS41" s="44"/>
      <c r="RWT41" s="44"/>
      <c r="RWU41" s="44"/>
      <c r="RWV41" s="44"/>
      <c r="RWW41" s="44"/>
      <c r="RWX41" s="44"/>
      <c r="RWY41" s="44"/>
      <c r="RWZ41" s="44"/>
      <c r="RXA41" s="44"/>
      <c r="RXB41" s="44"/>
      <c r="RXC41" s="44"/>
      <c r="RXD41" s="44"/>
      <c r="RXE41" s="44"/>
      <c r="RXF41" s="44"/>
      <c r="RXG41" s="44"/>
      <c r="RXH41" s="44"/>
      <c r="RXI41" s="44"/>
      <c r="RXJ41" s="44"/>
      <c r="RXK41" s="44"/>
      <c r="RXL41" s="44"/>
      <c r="RXM41" s="44"/>
      <c r="RXN41" s="44"/>
      <c r="RXO41" s="44"/>
      <c r="RXP41" s="44"/>
      <c r="RXQ41" s="44"/>
      <c r="RXR41" s="44"/>
      <c r="RXS41" s="44"/>
      <c r="RXT41" s="44"/>
      <c r="RXU41" s="44"/>
      <c r="RXV41" s="44"/>
      <c r="RXW41" s="44"/>
      <c r="RXX41" s="44"/>
      <c r="RXY41" s="44"/>
      <c r="RXZ41" s="44"/>
      <c r="RYA41" s="44"/>
      <c r="RYB41" s="44"/>
      <c r="RYC41" s="44"/>
      <c r="RYD41" s="44"/>
      <c r="RYE41" s="44"/>
      <c r="RYF41" s="44"/>
      <c r="RYG41" s="44"/>
      <c r="RYH41" s="44"/>
      <c r="RYI41" s="44"/>
      <c r="RYJ41" s="44"/>
      <c r="RYK41" s="44"/>
      <c r="RYL41" s="44"/>
      <c r="RYM41" s="44"/>
      <c r="RYN41" s="44"/>
      <c r="RYO41" s="44"/>
      <c r="RYP41" s="44"/>
      <c r="RYQ41" s="44"/>
      <c r="RYR41" s="44"/>
      <c r="RYS41" s="44"/>
      <c r="RYT41" s="44"/>
      <c r="RYU41" s="44"/>
      <c r="RYV41" s="44"/>
      <c r="RYW41" s="44"/>
      <c r="RYX41" s="44"/>
      <c r="RYY41" s="44"/>
      <c r="RYZ41" s="44"/>
      <c r="RZA41" s="44"/>
      <c r="RZB41" s="44"/>
      <c r="RZC41" s="44"/>
      <c r="RZD41" s="44"/>
      <c r="RZE41" s="44"/>
      <c r="RZF41" s="44"/>
      <c r="RZG41" s="44"/>
      <c r="RZH41" s="44"/>
      <c r="RZI41" s="44"/>
      <c r="RZJ41" s="44"/>
      <c r="RZK41" s="44"/>
      <c r="RZL41" s="44"/>
      <c r="RZM41" s="44"/>
      <c r="RZN41" s="44"/>
      <c r="RZO41" s="44"/>
      <c r="RZP41" s="44"/>
      <c r="RZQ41" s="44"/>
      <c r="RZR41" s="44"/>
      <c r="RZS41" s="44"/>
      <c r="RZT41" s="44"/>
      <c r="RZU41" s="44"/>
      <c r="RZV41" s="44"/>
      <c r="RZW41" s="44"/>
      <c r="RZX41" s="44"/>
      <c r="RZY41" s="44"/>
      <c r="RZZ41" s="44"/>
      <c r="SAA41" s="44"/>
      <c r="SAB41" s="44"/>
      <c r="SAC41" s="44"/>
      <c r="SAD41" s="44"/>
      <c r="SAE41" s="44"/>
      <c r="SAF41" s="44"/>
      <c r="SAG41" s="44"/>
      <c r="SAH41" s="44"/>
      <c r="SAI41" s="44"/>
      <c r="SAJ41" s="44"/>
      <c r="SAK41" s="44"/>
      <c r="SAL41" s="44"/>
      <c r="SAM41" s="44"/>
      <c r="SAN41" s="44"/>
      <c r="SAO41" s="44"/>
      <c r="SAP41" s="44"/>
      <c r="SAQ41" s="44"/>
      <c r="SAR41" s="44"/>
      <c r="SAS41" s="44"/>
      <c r="SAT41" s="44"/>
      <c r="SAU41" s="44"/>
      <c r="SAV41" s="44"/>
      <c r="SAW41" s="44"/>
      <c r="SAX41" s="44"/>
      <c r="SAY41" s="44"/>
      <c r="SAZ41" s="44"/>
      <c r="SBA41" s="44"/>
      <c r="SBB41" s="44"/>
      <c r="SBC41" s="44"/>
      <c r="SBD41" s="44"/>
      <c r="SBE41" s="44"/>
      <c r="SBF41" s="44"/>
      <c r="SBG41" s="44"/>
      <c r="SBH41" s="44"/>
      <c r="SBI41" s="44"/>
      <c r="SBJ41" s="44"/>
      <c r="SBK41" s="44"/>
      <c r="SBL41" s="44"/>
      <c r="SBM41" s="44"/>
      <c r="SBN41" s="44"/>
      <c r="SBO41" s="44"/>
      <c r="SBP41" s="44"/>
      <c r="SBQ41" s="44"/>
      <c r="SBR41" s="44"/>
      <c r="SBS41" s="44"/>
      <c r="SBT41" s="44"/>
      <c r="SBU41" s="44"/>
      <c r="SBV41" s="44"/>
      <c r="SBW41" s="44"/>
      <c r="SBX41" s="44"/>
      <c r="SBY41" s="44"/>
      <c r="SBZ41" s="44"/>
      <c r="SCA41" s="44"/>
      <c r="SCB41" s="44"/>
      <c r="SCC41" s="44"/>
      <c r="SCD41" s="44"/>
      <c r="SCE41" s="44"/>
      <c r="SCF41" s="44"/>
      <c r="SCG41" s="44"/>
      <c r="SCH41" s="44"/>
      <c r="SCI41" s="44"/>
      <c r="SCJ41" s="44"/>
      <c r="SCK41" s="44"/>
      <c r="SCL41" s="44"/>
      <c r="SCM41" s="44"/>
      <c r="SCN41" s="44"/>
      <c r="SCO41" s="44"/>
      <c r="SCP41" s="44"/>
      <c r="SCQ41" s="44"/>
      <c r="SCR41" s="44"/>
      <c r="SCS41" s="44"/>
      <c r="SCT41" s="44"/>
      <c r="SCU41" s="44"/>
      <c r="SCV41" s="44"/>
      <c r="SCW41" s="44"/>
      <c r="SCX41" s="44"/>
      <c r="SCY41" s="44"/>
      <c r="SCZ41" s="44"/>
      <c r="SDA41" s="44"/>
      <c r="SDB41" s="44"/>
      <c r="SDC41" s="44"/>
      <c r="SDD41" s="44"/>
      <c r="SDE41" s="44"/>
      <c r="SDF41" s="44"/>
      <c r="SDG41" s="44"/>
      <c r="SDH41" s="44"/>
      <c r="SDI41" s="44"/>
      <c r="SDJ41" s="44"/>
      <c r="SDK41" s="44"/>
      <c r="SDL41" s="44"/>
      <c r="SDM41" s="44"/>
      <c r="SDN41" s="44"/>
      <c r="SDO41" s="44"/>
      <c r="SDP41" s="44"/>
      <c r="SDQ41" s="44"/>
      <c r="SDR41" s="44"/>
      <c r="SDS41" s="44"/>
      <c r="SDT41" s="44"/>
      <c r="SDU41" s="44"/>
      <c r="SDV41" s="44"/>
      <c r="SDW41" s="44"/>
      <c r="SDX41" s="44"/>
      <c r="SDY41" s="44"/>
      <c r="SDZ41" s="44"/>
      <c r="SEA41" s="44"/>
      <c r="SEB41" s="44"/>
      <c r="SEC41" s="44"/>
      <c r="SED41" s="44"/>
      <c r="SEE41" s="44"/>
      <c r="SEF41" s="44"/>
      <c r="SEG41" s="44"/>
      <c r="SEH41" s="44"/>
      <c r="SEI41" s="44"/>
      <c r="SEJ41" s="44"/>
      <c r="SEK41" s="44"/>
      <c r="SEL41" s="44"/>
      <c r="SEM41" s="44"/>
      <c r="SEN41" s="44"/>
      <c r="SEO41" s="44"/>
      <c r="SEP41" s="44"/>
      <c r="SEQ41" s="44"/>
      <c r="SER41" s="44"/>
      <c r="SES41" s="44"/>
      <c r="SET41" s="44"/>
      <c r="SEU41" s="44"/>
      <c r="SEV41" s="44"/>
      <c r="SEW41" s="44"/>
      <c r="SEX41" s="44"/>
      <c r="SEY41" s="44"/>
      <c r="SEZ41" s="44"/>
      <c r="SFA41" s="44"/>
      <c r="SFB41" s="44"/>
      <c r="SFC41" s="44"/>
      <c r="SFD41" s="44"/>
      <c r="SFE41" s="44"/>
      <c r="SFF41" s="44"/>
      <c r="SFG41" s="44"/>
      <c r="SFH41" s="44"/>
      <c r="SFI41" s="44"/>
      <c r="SFJ41" s="44"/>
      <c r="SFK41" s="44"/>
      <c r="SFL41" s="44"/>
      <c r="SFM41" s="44"/>
      <c r="SFN41" s="44"/>
      <c r="SFO41" s="44"/>
      <c r="SFP41" s="44"/>
      <c r="SFQ41" s="44"/>
      <c r="SFR41" s="44"/>
      <c r="SFS41" s="44"/>
      <c r="SFT41" s="44"/>
      <c r="SFU41" s="44"/>
      <c r="SFV41" s="44"/>
      <c r="SFW41" s="44"/>
      <c r="SFX41" s="44"/>
      <c r="SFY41" s="44"/>
      <c r="SFZ41" s="44"/>
      <c r="SGA41" s="44"/>
      <c r="SGB41" s="44"/>
      <c r="SGC41" s="44"/>
      <c r="SGD41" s="44"/>
      <c r="SGE41" s="44"/>
      <c r="SGF41" s="44"/>
      <c r="SGG41" s="44"/>
      <c r="SGH41" s="44"/>
      <c r="SGI41" s="44"/>
      <c r="SGJ41" s="44"/>
      <c r="SGK41" s="44"/>
      <c r="SGL41" s="44"/>
      <c r="SGM41" s="44"/>
      <c r="SGN41" s="44"/>
      <c r="SGO41" s="44"/>
      <c r="SGP41" s="44"/>
      <c r="SGQ41" s="44"/>
      <c r="SGR41" s="44"/>
      <c r="SGS41" s="44"/>
      <c r="SGT41" s="44"/>
      <c r="SGU41" s="44"/>
      <c r="SGV41" s="44"/>
      <c r="SGW41" s="44"/>
      <c r="SGX41" s="44"/>
      <c r="SGY41" s="44"/>
      <c r="SGZ41" s="44"/>
      <c r="SHA41" s="44"/>
      <c r="SHB41" s="44"/>
      <c r="SHC41" s="44"/>
      <c r="SHD41" s="44"/>
      <c r="SHE41" s="44"/>
      <c r="SHF41" s="44"/>
      <c r="SHG41" s="44"/>
      <c r="SHH41" s="44"/>
      <c r="SHI41" s="44"/>
      <c r="SHJ41" s="44"/>
      <c r="SHK41" s="44"/>
      <c r="SHL41" s="44"/>
      <c r="SHM41" s="44"/>
      <c r="SHN41" s="44"/>
      <c r="SHO41" s="44"/>
      <c r="SHP41" s="44"/>
      <c r="SHQ41" s="44"/>
      <c r="SHR41" s="44"/>
      <c r="SHS41" s="44"/>
      <c r="SHT41" s="44"/>
      <c r="SHU41" s="44"/>
      <c r="SHV41" s="44"/>
      <c r="SHW41" s="44"/>
      <c r="SHX41" s="44"/>
      <c r="SHY41" s="44"/>
      <c r="SHZ41" s="44"/>
      <c r="SIA41" s="44"/>
      <c r="SIB41" s="44"/>
      <c r="SIC41" s="44"/>
      <c r="SID41" s="44"/>
      <c r="SIE41" s="44"/>
      <c r="SIF41" s="44"/>
      <c r="SIG41" s="44"/>
      <c r="SIH41" s="44"/>
      <c r="SII41" s="44"/>
      <c r="SIJ41" s="44"/>
      <c r="SIK41" s="44"/>
      <c r="SIL41" s="44"/>
      <c r="SIM41" s="44"/>
      <c r="SIN41" s="44"/>
      <c r="SIO41" s="44"/>
      <c r="SIP41" s="44"/>
      <c r="SIQ41" s="44"/>
      <c r="SIR41" s="44"/>
      <c r="SIS41" s="44"/>
      <c r="SIT41" s="44"/>
      <c r="SIU41" s="44"/>
      <c r="SIV41" s="44"/>
      <c r="SIW41" s="44"/>
      <c r="SIX41" s="44"/>
      <c r="SIY41" s="44"/>
      <c r="SIZ41" s="44"/>
      <c r="SJA41" s="44"/>
      <c r="SJB41" s="44"/>
      <c r="SJC41" s="44"/>
      <c r="SJD41" s="44"/>
      <c r="SJE41" s="44"/>
      <c r="SJF41" s="44"/>
      <c r="SJG41" s="44"/>
      <c r="SJH41" s="44"/>
      <c r="SJI41" s="44"/>
      <c r="SJJ41" s="44"/>
      <c r="SJK41" s="44"/>
      <c r="SJL41" s="44"/>
      <c r="SJM41" s="44"/>
      <c r="SJN41" s="44"/>
      <c r="SJO41" s="44"/>
      <c r="SJP41" s="44"/>
      <c r="SJQ41" s="44"/>
      <c r="SJR41" s="44"/>
      <c r="SJS41" s="44"/>
      <c r="SJT41" s="44"/>
      <c r="SJU41" s="44"/>
      <c r="SJV41" s="44"/>
      <c r="SJW41" s="44"/>
      <c r="SJX41" s="44"/>
      <c r="SJY41" s="44"/>
      <c r="SJZ41" s="44"/>
      <c r="SKA41" s="44"/>
      <c r="SKB41" s="44"/>
      <c r="SKC41" s="44"/>
      <c r="SKD41" s="44"/>
      <c r="SKE41" s="44"/>
      <c r="SKF41" s="44"/>
      <c r="SKG41" s="44"/>
      <c r="SKH41" s="44"/>
      <c r="SKI41" s="44"/>
      <c r="SKJ41" s="44"/>
      <c r="SKK41" s="44"/>
      <c r="SKL41" s="44"/>
      <c r="SKM41" s="44"/>
      <c r="SKN41" s="44"/>
      <c r="SKO41" s="44"/>
      <c r="SKP41" s="44"/>
      <c r="SKQ41" s="44"/>
      <c r="SKR41" s="44"/>
      <c r="SKS41" s="44"/>
      <c r="SKT41" s="44"/>
      <c r="SKU41" s="44"/>
      <c r="SKV41" s="44"/>
      <c r="SKW41" s="44"/>
      <c r="SKX41" s="44"/>
      <c r="SKY41" s="44"/>
      <c r="SKZ41" s="44"/>
      <c r="SLA41" s="44"/>
      <c r="SLB41" s="44"/>
      <c r="SLC41" s="44"/>
      <c r="SLD41" s="44"/>
      <c r="SLE41" s="44"/>
      <c r="SLF41" s="44"/>
      <c r="SLG41" s="44"/>
      <c r="SLH41" s="44"/>
      <c r="SLI41" s="44"/>
      <c r="SLJ41" s="44"/>
      <c r="SLK41" s="44"/>
      <c r="SLL41" s="44"/>
      <c r="SLM41" s="44"/>
      <c r="SLN41" s="44"/>
      <c r="SLO41" s="44"/>
      <c r="SLP41" s="44"/>
      <c r="SLQ41" s="44"/>
      <c r="SLR41" s="44"/>
      <c r="SLS41" s="44"/>
      <c r="SLT41" s="44"/>
      <c r="SLU41" s="44"/>
      <c r="SLV41" s="44"/>
      <c r="SLW41" s="44"/>
      <c r="SLX41" s="44"/>
      <c r="SLY41" s="44"/>
      <c r="SLZ41" s="44"/>
      <c r="SMA41" s="44"/>
      <c r="SMB41" s="44"/>
      <c r="SMC41" s="44"/>
      <c r="SMD41" s="44"/>
      <c r="SME41" s="44"/>
      <c r="SMF41" s="44"/>
      <c r="SMG41" s="44"/>
      <c r="SMH41" s="44"/>
      <c r="SMI41" s="44"/>
      <c r="SMJ41" s="44"/>
      <c r="SMK41" s="44"/>
      <c r="SML41" s="44"/>
      <c r="SMM41" s="44"/>
      <c r="SMN41" s="44"/>
      <c r="SMO41" s="44"/>
      <c r="SMP41" s="44"/>
      <c r="SMQ41" s="44"/>
      <c r="SMR41" s="44"/>
      <c r="SMS41" s="44"/>
      <c r="SMT41" s="44"/>
      <c r="SMU41" s="44"/>
      <c r="SMV41" s="44"/>
      <c r="SMW41" s="44"/>
      <c r="SMX41" s="44"/>
      <c r="SMY41" s="44"/>
      <c r="SMZ41" s="44"/>
      <c r="SNA41" s="44"/>
      <c r="SNB41" s="44"/>
      <c r="SNC41" s="44"/>
      <c r="SND41" s="44"/>
      <c r="SNE41" s="44"/>
      <c r="SNF41" s="44"/>
      <c r="SNG41" s="44"/>
      <c r="SNH41" s="44"/>
      <c r="SNI41" s="44"/>
      <c r="SNJ41" s="44"/>
      <c r="SNK41" s="44"/>
      <c r="SNL41" s="44"/>
      <c r="SNM41" s="44"/>
      <c r="SNN41" s="44"/>
      <c r="SNO41" s="44"/>
      <c r="SNP41" s="44"/>
      <c r="SNQ41" s="44"/>
      <c r="SNR41" s="44"/>
      <c r="SNS41" s="44"/>
      <c r="SNT41" s="44"/>
      <c r="SNU41" s="44"/>
      <c r="SNV41" s="44"/>
      <c r="SNW41" s="44"/>
      <c r="SNX41" s="44"/>
      <c r="SNY41" s="44"/>
      <c r="SNZ41" s="44"/>
      <c r="SOA41" s="44"/>
      <c r="SOB41" s="44"/>
      <c r="SOC41" s="44"/>
      <c r="SOD41" s="44"/>
      <c r="SOE41" s="44"/>
      <c r="SOF41" s="44"/>
      <c r="SOG41" s="44"/>
      <c r="SOH41" s="44"/>
      <c r="SOI41" s="44"/>
      <c r="SOJ41" s="44"/>
      <c r="SOK41" s="44"/>
      <c r="SOL41" s="44"/>
      <c r="SOM41" s="44"/>
      <c r="SON41" s="44"/>
      <c r="SOO41" s="44"/>
      <c r="SOP41" s="44"/>
      <c r="SOQ41" s="44"/>
      <c r="SOR41" s="44"/>
      <c r="SOS41" s="44"/>
      <c r="SOT41" s="44"/>
      <c r="SOU41" s="44"/>
      <c r="SOV41" s="44"/>
      <c r="SOW41" s="44"/>
      <c r="SOX41" s="44"/>
      <c r="SOY41" s="44"/>
      <c r="SOZ41" s="44"/>
      <c r="SPA41" s="44"/>
      <c r="SPB41" s="44"/>
      <c r="SPC41" s="44"/>
      <c r="SPD41" s="44"/>
      <c r="SPE41" s="44"/>
      <c r="SPF41" s="44"/>
      <c r="SPG41" s="44"/>
      <c r="SPH41" s="44"/>
      <c r="SPI41" s="44"/>
      <c r="SPJ41" s="44"/>
      <c r="SPK41" s="44"/>
      <c r="SPL41" s="44"/>
      <c r="SPM41" s="44"/>
      <c r="SPN41" s="44"/>
      <c r="SPO41" s="44"/>
      <c r="SPP41" s="44"/>
      <c r="SPQ41" s="44"/>
      <c r="SPR41" s="44"/>
      <c r="SPS41" s="44"/>
      <c r="SPT41" s="44"/>
      <c r="SPU41" s="44"/>
      <c r="SPV41" s="44"/>
      <c r="SPW41" s="44"/>
      <c r="SPX41" s="44"/>
      <c r="SPY41" s="44"/>
      <c r="SPZ41" s="44"/>
      <c r="SQA41" s="44"/>
      <c r="SQB41" s="44"/>
      <c r="SQC41" s="44"/>
      <c r="SQD41" s="44"/>
      <c r="SQE41" s="44"/>
      <c r="SQF41" s="44"/>
      <c r="SQG41" s="44"/>
      <c r="SQH41" s="44"/>
      <c r="SQI41" s="44"/>
      <c r="SQJ41" s="44"/>
      <c r="SQK41" s="44"/>
      <c r="SQL41" s="44"/>
      <c r="SQM41" s="44"/>
      <c r="SQN41" s="44"/>
      <c r="SQO41" s="44"/>
      <c r="SQP41" s="44"/>
      <c r="SQQ41" s="44"/>
      <c r="SQR41" s="44"/>
      <c r="SQS41" s="44"/>
      <c r="SQT41" s="44"/>
      <c r="SQU41" s="44"/>
      <c r="SQV41" s="44"/>
      <c r="SQW41" s="44"/>
      <c r="SQX41" s="44"/>
      <c r="SQY41" s="44"/>
      <c r="SQZ41" s="44"/>
      <c r="SRA41" s="44"/>
      <c r="SRB41" s="44"/>
      <c r="SRC41" s="44"/>
      <c r="SRD41" s="44"/>
      <c r="SRE41" s="44"/>
      <c r="SRF41" s="44"/>
      <c r="SRG41" s="44"/>
      <c r="SRH41" s="44"/>
      <c r="SRI41" s="44"/>
      <c r="SRJ41" s="44"/>
      <c r="SRK41" s="44"/>
      <c r="SRL41" s="44"/>
      <c r="SRM41" s="44"/>
      <c r="SRN41" s="44"/>
      <c r="SRO41" s="44"/>
      <c r="SRP41" s="44"/>
      <c r="SRQ41" s="44"/>
      <c r="SRR41" s="44"/>
      <c r="SRS41" s="44"/>
      <c r="SRT41" s="44"/>
      <c r="SRU41" s="44"/>
      <c r="SRV41" s="44"/>
      <c r="SRW41" s="44"/>
      <c r="SRX41" s="44"/>
      <c r="SRY41" s="44"/>
      <c r="SRZ41" s="44"/>
      <c r="SSA41" s="44"/>
      <c r="SSB41" s="44"/>
      <c r="SSC41" s="44"/>
      <c r="SSD41" s="44"/>
      <c r="SSE41" s="44"/>
      <c r="SSF41" s="44"/>
      <c r="SSG41" s="44"/>
      <c r="SSH41" s="44"/>
      <c r="SSI41" s="44"/>
      <c r="SSJ41" s="44"/>
      <c r="SSK41" s="44"/>
      <c r="SSL41" s="44"/>
      <c r="SSM41" s="44"/>
      <c r="SSN41" s="44"/>
      <c r="SSO41" s="44"/>
      <c r="SSP41" s="44"/>
      <c r="SSQ41" s="44"/>
      <c r="SSR41" s="44"/>
      <c r="SSS41" s="44"/>
      <c r="SST41" s="44"/>
      <c r="SSU41" s="44"/>
      <c r="SSV41" s="44"/>
      <c r="SSW41" s="44"/>
      <c r="SSX41" s="44"/>
      <c r="SSY41" s="44"/>
      <c r="SSZ41" s="44"/>
      <c r="STA41" s="44"/>
      <c r="STB41" s="44"/>
      <c r="STC41" s="44"/>
      <c r="STD41" s="44"/>
      <c r="STE41" s="44"/>
      <c r="STF41" s="44"/>
      <c r="STG41" s="44"/>
      <c r="STH41" s="44"/>
      <c r="STI41" s="44"/>
      <c r="STJ41" s="44"/>
      <c r="STK41" s="44"/>
      <c r="STL41" s="44"/>
      <c r="STM41" s="44"/>
      <c r="STN41" s="44"/>
      <c r="STO41" s="44"/>
      <c r="STP41" s="44"/>
      <c r="STQ41" s="44"/>
      <c r="STR41" s="44"/>
      <c r="STS41" s="44"/>
      <c r="STT41" s="44"/>
      <c r="STU41" s="44"/>
      <c r="STV41" s="44"/>
      <c r="STW41" s="44"/>
      <c r="STX41" s="44"/>
      <c r="STY41" s="44"/>
      <c r="STZ41" s="44"/>
      <c r="SUA41" s="44"/>
      <c r="SUB41" s="44"/>
      <c r="SUC41" s="44"/>
      <c r="SUD41" s="44"/>
      <c r="SUE41" s="44"/>
      <c r="SUF41" s="44"/>
      <c r="SUG41" s="44"/>
      <c r="SUH41" s="44"/>
      <c r="SUI41" s="44"/>
      <c r="SUJ41" s="44"/>
      <c r="SUK41" s="44"/>
      <c r="SUL41" s="44"/>
      <c r="SUM41" s="44"/>
      <c r="SUN41" s="44"/>
      <c r="SUO41" s="44"/>
      <c r="SUP41" s="44"/>
      <c r="SUQ41" s="44"/>
      <c r="SUR41" s="44"/>
      <c r="SUS41" s="44"/>
      <c r="SUT41" s="44"/>
      <c r="SUU41" s="44"/>
      <c r="SUV41" s="44"/>
      <c r="SUW41" s="44"/>
      <c r="SUX41" s="44"/>
      <c r="SUY41" s="44"/>
      <c r="SUZ41" s="44"/>
      <c r="SVA41" s="44"/>
      <c r="SVB41" s="44"/>
      <c r="SVC41" s="44"/>
      <c r="SVD41" s="44"/>
      <c r="SVE41" s="44"/>
      <c r="SVF41" s="44"/>
      <c r="SVG41" s="44"/>
      <c r="SVH41" s="44"/>
      <c r="SVI41" s="44"/>
      <c r="SVJ41" s="44"/>
      <c r="SVK41" s="44"/>
      <c r="SVL41" s="44"/>
      <c r="SVM41" s="44"/>
      <c r="SVN41" s="44"/>
      <c r="SVO41" s="44"/>
      <c r="SVP41" s="44"/>
      <c r="SVQ41" s="44"/>
      <c r="SVR41" s="44"/>
      <c r="SVS41" s="44"/>
      <c r="SVT41" s="44"/>
      <c r="SVU41" s="44"/>
      <c r="SVV41" s="44"/>
      <c r="SVW41" s="44"/>
      <c r="SVX41" s="44"/>
      <c r="SVY41" s="44"/>
      <c r="SVZ41" s="44"/>
      <c r="SWA41" s="44"/>
      <c r="SWB41" s="44"/>
      <c r="SWC41" s="44"/>
      <c r="SWD41" s="44"/>
      <c r="SWE41" s="44"/>
      <c r="SWF41" s="44"/>
      <c r="SWG41" s="44"/>
      <c r="SWH41" s="44"/>
      <c r="SWI41" s="44"/>
      <c r="SWJ41" s="44"/>
      <c r="SWK41" s="44"/>
      <c r="SWL41" s="44"/>
      <c r="SWM41" s="44"/>
      <c r="SWN41" s="44"/>
      <c r="SWO41" s="44"/>
      <c r="SWP41" s="44"/>
      <c r="SWQ41" s="44"/>
      <c r="SWR41" s="44"/>
      <c r="SWS41" s="44"/>
      <c r="SWT41" s="44"/>
      <c r="SWU41" s="44"/>
      <c r="SWV41" s="44"/>
      <c r="SWW41" s="44"/>
      <c r="SWX41" s="44"/>
      <c r="SWY41" s="44"/>
      <c r="SWZ41" s="44"/>
      <c r="SXA41" s="44"/>
      <c r="SXB41" s="44"/>
      <c r="SXC41" s="44"/>
      <c r="SXD41" s="44"/>
      <c r="SXE41" s="44"/>
      <c r="SXF41" s="44"/>
      <c r="SXG41" s="44"/>
      <c r="SXH41" s="44"/>
      <c r="SXI41" s="44"/>
      <c r="SXJ41" s="44"/>
      <c r="SXK41" s="44"/>
      <c r="SXL41" s="44"/>
      <c r="SXM41" s="44"/>
      <c r="SXN41" s="44"/>
      <c r="SXO41" s="44"/>
      <c r="SXP41" s="44"/>
      <c r="SXQ41" s="44"/>
      <c r="SXR41" s="44"/>
      <c r="SXS41" s="44"/>
      <c r="SXT41" s="44"/>
      <c r="SXU41" s="44"/>
      <c r="SXV41" s="44"/>
      <c r="SXW41" s="44"/>
      <c r="SXX41" s="44"/>
      <c r="SXY41" s="44"/>
      <c r="SXZ41" s="44"/>
      <c r="SYA41" s="44"/>
      <c r="SYB41" s="44"/>
      <c r="SYC41" s="44"/>
      <c r="SYD41" s="44"/>
      <c r="SYE41" s="44"/>
      <c r="SYF41" s="44"/>
      <c r="SYG41" s="44"/>
      <c r="SYH41" s="44"/>
      <c r="SYI41" s="44"/>
      <c r="SYJ41" s="44"/>
      <c r="SYK41" s="44"/>
      <c r="SYL41" s="44"/>
      <c r="SYM41" s="44"/>
      <c r="SYN41" s="44"/>
      <c r="SYO41" s="44"/>
      <c r="SYP41" s="44"/>
      <c r="SYQ41" s="44"/>
      <c r="SYR41" s="44"/>
      <c r="SYS41" s="44"/>
      <c r="SYT41" s="44"/>
      <c r="SYU41" s="44"/>
      <c r="SYV41" s="44"/>
      <c r="SYW41" s="44"/>
      <c r="SYX41" s="44"/>
      <c r="SYY41" s="44"/>
      <c r="SYZ41" s="44"/>
      <c r="SZA41" s="44"/>
      <c r="SZB41" s="44"/>
      <c r="SZC41" s="44"/>
      <c r="SZD41" s="44"/>
      <c r="SZE41" s="44"/>
      <c r="SZF41" s="44"/>
      <c r="SZG41" s="44"/>
      <c r="SZH41" s="44"/>
      <c r="SZI41" s="44"/>
      <c r="SZJ41" s="44"/>
      <c r="SZK41" s="44"/>
      <c r="SZL41" s="44"/>
      <c r="SZM41" s="44"/>
      <c r="SZN41" s="44"/>
      <c r="SZO41" s="44"/>
      <c r="SZP41" s="44"/>
      <c r="SZQ41" s="44"/>
      <c r="SZR41" s="44"/>
      <c r="SZS41" s="44"/>
      <c r="SZT41" s="44"/>
      <c r="SZU41" s="44"/>
      <c r="SZV41" s="44"/>
      <c r="SZW41" s="44"/>
      <c r="SZX41" s="44"/>
      <c r="SZY41" s="44"/>
      <c r="SZZ41" s="44"/>
      <c r="TAA41" s="44"/>
      <c r="TAB41" s="44"/>
      <c r="TAC41" s="44"/>
      <c r="TAD41" s="44"/>
      <c r="TAE41" s="44"/>
      <c r="TAF41" s="44"/>
      <c r="TAG41" s="44"/>
      <c r="TAH41" s="44"/>
      <c r="TAI41" s="44"/>
      <c r="TAJ41" s="44"/>
      <c r="TAK41" s="44"/>
      <c r="TAL41" s="44"/>
      <c r="TAM41" s="44"/>
      <c r="TAN41" s="44"/>
      <c r="TAO41" s="44"/>
      <c r="TAP41" s="44"/>
      <c r="TAQ41" s="44"/>
      <c r="TAR41" s="44"/>
      <c r="TAS41" s="44"/>
      <c r="TAT41" s="44"/>
      <c r="TAU41" s="44"/>
      <c r="TAV41" s="44"/>
      <c r="TAW41" s="44"/>
      <c r="TAX41" s="44"/>
      <c r="TAY41" s="44"/>
      <c r="TAZ41" s="44"/>
      <c r="TBA41" s="44"/>
      <c r="TBB41" s="44"/>
      <c r="TBC41" s="44"/>
      <c r="TBD41" s="44"/>
      <c r="TBE41" s="44"/>
      <c r="TBF41" s="44"/>
      <c r="TBG41" s="44"/>
      <c r="TBH41" s="44"/>
      <c r="TBI41" s="44"/>
      <c r="TBJ41" s="44"/>
      <c r="TBK41" s="44"/>
      <c r="TBL41" s="44"/>
      <c r="TBM41" s="44"/>
      <c r="TBN41" s="44"/>
      <c r="TBO41" s="44"/>
      <c r="TBP41" s="44"/>
      <c r="TBQ41" s="44"/>
      <c r="TBR41" s="44"/>
      <c r="TBS41" s="44"/>
      <c r="TBT41" s="44"/>
      <c r="TBU41" s="44"/>
      <c r="TBV41" s="44"/>
      <c r="TBW41" s="44"/>
      <c r="TBX41" s="44"/>
      <c r="TBY41" s="44"/>
      <c r="TBZ41" s="44"/>
      <c r="TCA41" s="44"/>
      <c r="TCB41" s="44"/>
      <c r="TCC41" s="44"/>
      <c r="TCD41" s="44"/>
      <c r="TCE41" s="44"/>
      <c r="TCF41" s="44"/>
      <c r="TCG41" s="44"/>
      <c r="TCH41" s="44"/>
      <c r="TCI41" s="44"/>
      <c r="TCJ41" s="44"/>
      <c r="TCK41" s="44"/>
      <c r="TCL41" s="44"/>
      <c r="TCM41" s="44"/>
      <c r="TCN41" s="44"/>
      <c r="TCO41" s="44"/>
      <c r="TCP41" s="44"/>
      <c r="TCQ41" s="44"/>
      <c r="TCR41" s="44"/>
      <c r="TCS41" s="44"/>
      <c r="TCT41" s="44"/>
      <c r="TCU41" s="44"/>
      <c r="TCV41" s="44"/>
      <c r="TCW41" s="44"/>
      <c r="TCX41" s="44"/>
      <c r="TCY41" s="44"/>
      <c r="TCZ41" s="44"/>
      <c r="TDA41" s="44"/>
      <c r="TDB41" s="44"/>
      <c r="TDC41" s="44"/>
      <c r="TDD41" s="44"/>
      <c r="TDE41" s="44"/>
      <c r="TDF41" s="44"/>
      <c r="TDG41" s="44"/>
      <c r="TDH41" s="44"/>
      <c r="TDI41" s="44"/>
      <c r="TDJ41" s="44"/>
      <c r="TDK41" s="44"/>
      <c r="TDL41" s="44"/>
      <c r="TDM41" s="44"/>
      <c r="TDN41" s="44"/>
      <c r="TDO41" s="44"/>
      <c r="TDP41" s="44"/>
      <c r="TDQ41" s="44"/>
      <c r="TDR41" s="44"/>
      <c r="TDS41" s="44"/>
      <c r="TDT41" s="44"/>
      <c r="TDU41" s="44"/>
      <c r="TDV41" s="44"/>
      <c r="TDW41" s="44"/>
      <c r="TDX41" s="44"/>
      <c r="TDY41" s="44"/>
      <c r="TDZ41" s="44"/>
      <c r="TEA41" s="44"/>
      <c r="TEB41" s="44"/>
      <c r="TEC41" s="44"/>
      <c r="TED41" s="44"/>
      <c r="TEE41" s="44"/>
      <c r="TEF41" s="44"/>
      <c r="TEG41" s="44"/>
      <c r="TEH41" s="44"/>
      <c r="TEI41" s="44"/>
      <c r="TEJ41" s="44"/>
      <c r="TEK41" s="44"/>
      <c r="TEL41" s="44"/>
      <c r="TEM41" s="44"/>
      <c r="TEN41" s="44"/>
      <c r="TEO41" s="44"/>
      <c r="TEP41" s="44"/>
      <c r="TEQ41" s="44"/>
      <c r="TER41" s="44"/>
      <c r="TES41" s="44"/>
      <c r="TET41" s="44"/>
      <c r="TEU41" s="44"/>
      <c r="TEV41" s="44"/>
      <c r="TEW41" s="44"/>
      <c r="TEX41" s="44"/>
      <c r="TEY41" s="44"/>
      <c r="TEZ41" s="44"/>
      <c r="TFA41" s="44"/>
      <c r="TFB41" s="44"/>
      <c r="TFC41" s="44"/>
      <c r="TFD41" s="44"/>
      <c r="TFE41" s="44"/>
      <c r="TFF41" s="44"/>
      <c r="TFG41" s="44"/>
      <c r="TFH41" s="44"/>
      <c r="TFI41" s="44"/>
      <c r="TFJ41" s="44"/>
      <c r="TFK41" s="44"/>
      <c r="TFL41" s="44"/>
      <c r="TFM41" s="44"/>
      <c r="TFN41" s="44"/>
      <c r="TFO41" s="44"/>
      <c r="TFP41" s="44"/>
      <c r="TFQ41" s="44"/>
      <c r="TFR41" s="44"/>
      <c r="TFS41" s="44"/>
      <c r="TFT41" s="44"/>
      <c r="TFU41" s="44"/>
      <c r="TFV41" s="44"/>
      <c r="TFW41" s="44"/>
      <c r="TFX41" s="44"/>
      <c r="TFY41" s="44"/>
      <c r="TFZ41" s="44"/>
      <c r="TGA41" s="44"/>
      <c r="TGB41" s="44"/>
      <c r="TGC41" s="44"/>
      <c r="TGD41" s="44"/>
      <c r="TGE41" s="44"/>
      <c r="TGF41" s="44"/>
      <c r="TGG41" s="44"/>
      <c r="TGH41" s="44"/>
      <c r="TGI41" s="44"/>
      <c r="TGJ41" s="44"/>
      <c r="TGK41" s="44"/>
      <c r="TGL41" s="44"/>
      <c r="TGM41" s="44"/>
      <c r="TGN41" s="44"/>
      <c r="TGO41" s="44"/>
      <c r="TGP41" s="44"/>
      <c r="TGQ41" s="44"/>
      <c r="TGR41" s="44"/>
      <c r="TGS41" s="44"/>
      <c r="TGT41" s="44"/>
      <c r="TGU41" s="44"/>
      <c r="TGV41" s="44"/>
      <c r="TGW41" s="44"/>
      <c r="TGX41" s="44"/>
      <c r="TGY41" s="44"/>
      <c r="TGZ41" s="44"/>
      <c r="THA41" s="44"/>
      <c r="THB41" s="44"/>
      <c r="THC41" s="44"/>
      <c r="THD41" s="44"/>
      <c r="THE41" s="44"/>
      <c r="THF41" s="44"/>
      <c r="THG41" s="44"/>
      <c r="THH41" s="44"/>
      <c r="THI41" s="44"/>
      <c r="THJ41" s="44"/>
      <c r="THK41" s="44"/>
      <c r="THL41" s="44"/>
      <c r="THM41" s="44"/>
      <c r="THN41" s="44"/>
      <c r="THO41" s="44"/>
      <c r="THP41" s="44"/>
      <c r="THQ41" s="44"/>
      <c r="THR41" s="44"/>
      <c r="THS41" s="44"/>
      <c r="THT41" s="44"/>
      <c r="THU41" s="44"/>
      <c r="THV41" s="44"/>
      <c r="THW41" s="44"/>
      <c r="THX41" s="44"/>
      <c r="THY41" s="44"/>
      <c r="THZ41" s="44"/>
      <c r="TIA41" s="44"/>
      <c r="TIB41" s="44"/>
      <c r="TIC41" s="44"/>
      <c r="TID41" s="44"/>
      <c r="TIE41" s="44"/>
      <c r="TIF41" s="44"/>
      <c r="TIG41" s="44"/>
      <c r="TIH41" s="44"/>
      <c r="TII41" s="44"/>
      <c r="TIJ41" s="44"/>
      <c r="TIK41" s="44"/>
      <c r="TIL41" s="44"/>
      <c r="TIM41" s="44"/>
      <c r="TIN41" s="44"/>
      <c r="TIO41" s="44"/>
      <c r="TIP41" s="44"/>
      <c r="TIQ41" s="44"/>
      <c r="TIR41" s="44"/>
      <c r="TIS41" s="44"/>
      <c r="TIT41" s="44"/>
      <c r="TIU41" s="44"/>
      <c r="TIV41" s="44"/>
      <c r="TIW41" s="44"/>
      <c r="TIX41" s="44"/>
      <c r="TIY41" s="44"/>
      <c r="TIZ41" s="44"/>
      <c r="TJA41" s="44"/>
      <c r="TJB41" s="44"/>
      <c r="TJC41" s="44"/>
      <c r="TJD41" s="44"/>
      <c r="TJE41" s="44"/>
      <c r="TJF41" s="44"/>
      <c r="TJG41" s="44"/>
      <c r="TJH41" s="44"/>
      <c r="TJI41" s="44"/>
      <c r="TJJ41" s="44"/>
      <c r="TJK41" s="44"/>
      <c r="TJL41" s="44"/>
      <c r="TJM41" s="44"/>
      <c r="TJN41" s="44"/>
      <c r="TJO41" s="44"/>
      <c r="TJP41" s="44"/>
      <c r="TJQ41" s="44"/>
      <c r="TJR41" s="44"/>
      <c r="TJS41" s="44"/>
      <c r="TJT41" s="44"/>
      <c r="TJU41" s="44"/>
      <c r="TJV41" s="44"/>
      <c r="TJW41" s="44"/>
      <c r="TJX41" s="44"/>
      <c r="TJY41" s="44"/>
      <c r="TJZ41" s="44"/>
      <c r="TKA41" s="44"/>
      <c r="TKB41" s="44"/>
      <c r="TKC41" s="44"/>
      <c r="TKD41" s="44"/>
      <c r="TKE41" s="44"/>
      <c r="TKF41" s="44"/>
      <c r="TKG41" s="44"/>
      <c r="TKH41" s="44"/>
      <c r="TKI41" s="44"/>
      <c r="TKJ41" s="44"/>
      <c r="TKK41" s="44"/>
      <c r="TKL41" s="44"/>
      <c r="TKM41" s="44"/>
      <c r="TKN41" s="44"/>
      <c r="TKO41" s="44"/>
      <c r="TKP41" s="44"/>
      <c r="TKQ41" s="44"/>
      <c r="TKR41" s="44"/>
      <c r="TKS41" s="44"/>
      <c r="TKT41" s="44"/>
      <c r="TKU41" s="44"/>
      <c r="TKV41" s="44"/>
      <c r="TKW41" s="44"/>
      <c r="TKX41" s="44"/>
      <c r="TKY41" s="44"/>
      <c r="TKZ41" s="44"/>
      <c r="TLA41" s="44"/>
      <c r="TLB41" s="44"/>
      <c r="TLC41" s="44"/>
      <c r="TLD41" s="44"/>
      <c r="TLE41" s="44"/>
      <c r="TLF41" s="44"/>
      <c r="TLG41" s="44"/>
      <c r="TLH41" s="44"/>
      <c r="TLI41" s="44"/>
      <c r="TLJ41" s="44"/>
      <c r="TLK41" s="44"/>
      <c r="TLL41" s="44"/>
      <c r="TLM41" s="44"/>
      <c r="TLN41" s="44"/>
      <c r="TLO41" s="44"/>
      <c r="TLP41" s="44"/>
      <c r="TLQ41" s="44"/>
      <c r="TLR41" s="44"/>
      <c r="TLS41" s="44"/>
      <c r="TLT41" s="44"/>
      <c r="TLU41" s="44"/>
      <c r="TLV41" s="44"/>
      <c r="TLW41" s="44"/>
      <c r="TLX41" s="44"/>
      <c r="TLY41" s="44"/>
      <c r="TLZ41" s="44"/>
      <c r="TMA41" s="44"/>
      <c r="TMB41" s="44"/>
      <c r="TMC41" s="44"/>
      <c r="TMD41" s="44"/>
      <c r="TME41" s="44"/>
      <c r="TMF41" s="44"/>
      <c r="TMG41" s="44"/>
      <c r="TMH41" s="44"/>
      <c r="TMI41" s="44"/>
      <c r="TMJ41" s="44"/>
      <c r="TMK41" s="44"/>
      <c r="TML41" s="44"/>
      <c r="TMM41" s="44"/>
      <c r="TMN41" s="44"/>
      <c r="TMO41" s="44"/>
      <c r="TMP41" s="44"/>
      <c r="TMQ41" s="44"/>
      <c r="TMR41" s="44"/>
      <c r="TMS41" s="44"/>
      <c r="TMT41" s="44"/>
      <c r="TMU41" s="44"/>
      <c r="TMV41" s="44"/>
      <c r="TMW41" s="44"/>
      <c r="TMX41" s="44"/>
      <c r="TMY41" s="44"/>
      <c r="TMZ41" s="44"/>
      <c r="TNA41" s="44"/>
      <c r="TNB41" s="44"/>
      <c r="TNC41" s="44"/>
      <c r="TND41" s="44"/>
      <c r="TNE41" s="44"/>
      <c r="TNF41" s="44"/>
      <c r="TNG41" s="44"/>
      <c r="TNH41" s="44"/>
      <c r="TNI41" s="44"/>
      <c r="TNJ41" s="44"/>
      <c r="TNK41" s="44"/>
      <c r="TNL41" s="44"/>
      <c r="TNM41" s="44"/>
      <c r="TNN41" s="44"/>
      <c r="TNO41" s="44"/>
      <c r="TNP41" s="44"/>
      <c r="TNQ41" s="44"/>
      <c r="TNR41" s="44"/>
      <c r="TNS41" s="44"/>
      <c r="TNT41" s="44"/>
      <c r="TNU41" s="44"/>
      <c r="TNV41" s="44"/>
      <c r="TNW41" s="44"/>
      <c r="TNX41" s="44"/>
      <c r="TNY41" s="44"/>
      <c r="TNZ41" s="44"/>
      <c r="TOA41" s="44"/>
      <c r="TOB41" s="44"/>
      <c r="TOC41" s="44"/>
      <c r="TOD41" s="44"/>
      <c r="TOE41" s="44"/>
      <c r="TOF41" s="44"/>
      <c r="TOG41" s="44"/>
      <c r="TOH41" s="44"/>
      <c r="TOI41" s="44"/>
      <c r="TOJ41" s="44"/>
      <c r="TOK41" s="44"/>
      <c r="TOL41" s="44"/>
      <c r="TOM41" s="44"/>
      <c r="TON41" s="44"/>
      <c r="TOO41" s="44"/>
      <c r="TOP41" s="44"/>
      <c r="TOQ41" s="44"/>
      <c r="TOR41" s="44"/>
      <c r="TOS41" s="44"/>
      <c r="TOT41" s="44"/>
      <c r="TOU41" s="44"/>
      <c r="TOV41" s="44"/>
      <c r="TOW41" s="44"/>
      <c r="TOX41" s="44"/>
      <c r="TOY41" s="44"/>
      <c r="TOZ41" s="44"/>
      <c r="TPA41" s="44"/>
      <c r="TPB41" s="44"/>
      <c r="TPC41" s="44"/>
      <c r="TPD41" s="44"/>
      <c r="TPE41" s="44"/>
      <c r="TPF41" s="44"/>
      <c r="TPG41" s="44"/>
      <c r="TPH41" s="44"/>
      <c r="TPI41" s="44"/>
      <c r="TPJ41" s="44"/>
      <c r="TPK41" s="44"/>
      <c r="TPL41" s="44"/>
      <c r="TPM41" s="44"/>
      <c r="TPN41" s="44"/>
      <c r="TPO41" s="44"/>
      <c r="TPP41" s="44"/>
      <c r="TPQ41" s="44"/>
      <c r="TPR41" s="44"/>
      <c r="TPS41" s="44"/>
      <c r="TPT41" s="44"/>
      <c r="TPU41" s="44"/>
      <c r="TPV41" s="44"/>
      <c r="TPW41" s="44"/>
      <c r="TPX41" s="44"/>
      <c r="TPY41" s="44"/>
      <c r="TPZ41" s="44"/>
      <c r="TQA41" s="44"/>
      <c r="TQB41" s="44"/>
      <c r="TQC41" s="44"/>
      <c r="TQD41" s="44"/>
      <c r="TQE41" s="44"/>
      <c r="TQF41" s="44"/>
      <c r="TQG41" s="44"/>
      <c r="TQH41" s="44"/>
      <c r="TQI41" s="44"/>
      <c r="TQJ41" s="44"/>
      <c r="TQK41" s="44"/>
      <c r="TQL41" s="44"/>
      <c r="TQM41" s="44"/>
      <c r="TQN41" s="44"/>
      <c r="TQO41" s="44"/>
      <c r="TQP41" s="44"/>
      <c r="TQQ41" s="44"/>
      <c r="TQR41" s="44"/>
      <c r="TQS41" s="44"/>
      <c r="TQT41" s="44"/>
      <c r="TQU41" s="44"/>
      <c r="TQV41" s="44"/>
      <c r="TQW41" s="44"/>
      <c r="TQX41" s="44"/>
      <c r="TQY41" s="44"/>
      <c r="TQZ41" s="44"/>
      <c r="TRA41" s="44"/>
      <c r="TRB41" s="44"/>
      <c r="TRC41" s="44"/>
      <c r="TRD41" s="44"/>
      <c r="TRE41" s="44"/>
      <c r="TRF41" s="44"/>
      <c r="TRG41" s="44"/>
      <c r="TRH41" s="44"/>
      <c r="TRI41" s="44"/>
      <c r="TRJ41" s="44"/>
      <c r="TRK41" s="44"/>
      <c r="TRL41" s="44"/>
      <c r="TRM41" s="44"/>
      <c r="TRN41" s="44"/>
      <c r="TRO41" s="44"/>
      <c r="TRP41" s="44"/>
      <c r="TRQ41" s="44"/>
      <c r="TRR41" s="44"/>
      <c r="TRS41" s="44"/>
      <c r="TRT41" s="44"/>
      <c r="TRU41" s="44"/>
      <c r="TRV41" s="44"/>
      <c r="TRW41" s="44"/>
      <c r="TRX41" s="44"/>
      <c r="TRY41" s="44"/>
      <c r="TRZ41" s="44"/>
      <c r="TSA41" s="44"/>
      <c r="TSB41" s="44"/>
      <c r="TSC41" s="44"/>
      <c r="TSD41" s="44"/>
      <c r="TSE41" s="44"/>
      <c r="TSF41" s="44"/>
      <c r="TSG41" s="44"/>
      <c r="TSH41" s="44"/>
      <c r="TSI41" s="44"/>
      <c r="TSJ41" s="44"/>
      <c r="TSK41" s="44"/>
      <c r="TSL41" s="44"/>
      <c r="TSM41" s="44"/>
      <c r="TSN41" s="44"/>
      <c r="TSO41" s="44"/>
      <c r="TSP41" s="44"/>
      <c r="TSQ41" s="44"/>
      <c r="TSR41" s="44"/>
      <c r="TSS41" s="44"/>
      <c r="TST41" s="44"/>
      <c r="TSU41" s="44"/>
      <c r="TSV41" s="44"/>
      <c r="TSW41" s="44"/>
      <c r="TSX41" s="44"/>
      <c r="TSY41" s="44"/>
      <c r="TSZ41" s="44"/>
      <c r="TTA41" s="44"/>
      <c r="TTB41" s="44"/>
      <c r="TTC41" s="44"/>
      <c r="TTD41" s="44"/>
      <c r="TTE41" s="44"/>
      <c r="TTF41" s="44"/>
      <c r="TTG41" s="44"/>
      <c r="TTH41" s="44"/>
      <c r="TTI41" s="44"/>
      <c r="TTJ41" s="44"/>
      <c r="TTK41" s="44"/>
      <c r="TTL41" s="44"/>
      <c r="TTM41" s="44"/>
      <c r="TTN41" s="44"/>
      <c r="TTO41" s="44"/>
      <c r="TTP41" s="44"/>
      <c r="TTQ41" s="44"/>
      <c r="TTR41" s="44"/>
      <c r="TTS41" s="44"/>
      <c r="TTT41" s="44"/>
      <c r="TTU41" s="44"/>
      <c r="TTV41" s="44"/>
      <c r="TTW41" s="44"/>
      <c r="TTX41" s="44"/>
      <c r="TTY41" s="44"/>
      <c r="TTZ41" s="44"/>
      <c r="TUA41" s="44"/>
      <c r="TUB41" s="44"/>
      <c r="TUC41" s="44"/>
      <c r="TUD41" s="44"/>
      <c r="TUE41" s="44"/>
      <c r="TUF41" s="44"/>
      <c r="TUG41" s="44"/>
      <c r="TUH41" s="44"/>
      <c r="TUI41" s="44"/>
      <c r="TUJ41" s="44"/>
      <c r="TUK41" s="44"/>
      <c r="TUL41" s="44"/>
      <c r="TUM41" s="44"/>
      <c r="TUN41" s="44"/>
      <c r="TUO41" s="44"/>
      <c r="TUP41" s="44"/>
      <c r="TUQ41" s="44"/>
      <c r="TUR41" s="44"/>
      <c r="TUS41" s="44"/>
      <c r="TUT41" s="44"/>
      <c r="TUU41" s="44"/>
      <c r="TUV41" s="44"/>
      <c r="TUW41" s="44"/>
      <c r="TUX41" s="44"/>
      <c r="TUY41" s="44"/>
      <c r="TUZ41" s="44"/>
      <c r="TVA41" s="44"/>
      <c r="TVB41" s="44"/>
      <c r="TVC41" s="44"/>
      <c r="TVD41" s="44"/>
      <c r="TVE41" s="44"/>
      <c r="TVF41" s="44"/>
      <c r="TVG41" s="44"/>
      <c r="TVH41" s="44"/>
      <c r="TVI41" s="44"/>
      <c r="TVJ41" s="44"/>
      <c r="TVK41" s="44"/>
      <c r="TVL41" s="44"/>
      <c r="TVM41" s="44"/>
      <c r="TVN41" s="44"/>
      <c r="TVO41" s="44"/>
      <c r="TVP41" s="44"/>
      <c r="TVQ41" s="44"/>
      <c r="TVR41" s="44"/>
      <c r="TVS41" s="44"/>
      <c r="TVT41" s="44"/>
      <c r="TVU41" s="44"/>
      <c r="TVV41" s="44"/>
      <c r="TVW41" s="44"/>
      <c r="TVX41" s="44"/>
      <c r="TVY41" s="44"/>
      <c r="TVZ41" s="44"/>
      <c r="TWA41" s="44"/>
      <c r="TWB41" s="44"/>
      <c r="TWC41" s="44"/>
      <c r="TWD41" s="44"/>
      <c r="TWE41" s="44"/>
      <c r="TWF41" s="44"/>
      <c r="TWG41" s="44"/>
      <c r="TWH41" s="44"/>
      <c r="TWI41" s="44"/>
      <c r="TWJ41" s="44"/>
      <c r="TWK41" s="44"/>
      <c r="TWL41" s="44"/>
      <c r="TWM41" s="44"/>
      <c r="TWN41" s="44"/>
      <c r="TWO41" s="44"/>
      <c r="TWP41" s="44"/>
      <c r="TWQ41" s="44"/>
      <c r="TWR41" s="44"/>
      <c r="TWS41" s="44"/>
      <c r="TWT41" s="44"/>
      <c r="TWU41" s="44"/>
      <c r="TWV41" s="44"/>
      <c r="TWW41" s="44"/>
      <c r="TWX41" s="44"/>
      <c r="TWY41" s="44"/>
      <c r="TWZ41" s="44"/>
      <c r="TXA41" s="44"/>
      <c r="TXB41" s="44"/>
      <c r="TXC41" s="44"/>
      <c r="TXD41" s="44"/>
      <c r="TXE41" s="44"/>
      <c r="TXF41" s="44"/>
      <c r="TXG41" s="44"/>
      <c r="TXH41" s="44"/>
      <c r="TXI41" s="44"/>
      <c r="TXJ41" s="44"/>
      <c r="TXK41" s="44"/>
      <c r="TXL41" s="44"/>
      <c r="TXM41" s="44"/>
      <c r="TXN41" s="44"/>
      <c r="TXO41" s="44"/>
      <c r="TXP41" s="44"/>
      <c r="TXQ41" s="44"/>
      <c r="TXR41" s="44"/>
      <c r="TXS41" s="44"/>
      <c r="TXT41" s="44"/>
      <c r="TXU41" s="44"/>
      <c r="TXV41" s="44"/>
      <c r="TXW41" s="44"/>
      <c r="TXX41" s="44"/>
      <c r="TXY41" s="44"/>
      <c r="TXZ41" s="44"/>
      <c r="TYA41" s="44"/>
      <c r="TYB41" s="44"/>
      <c r="TYC41" s="44"/>
      <c r="TYD41" s="44"/>
      <c r="TYE41" s="44"/>
      <c r="TYF41" s="44"/>
      <c r="TYG41" s="44"/>
      <c r="TYH41" s="44"/>
      <c r="TYI41" s="44"/>
      <c r="TYJ41" s="44"/>
      <c r="TYK41" s="44"/>
      <c r="TYL41" s="44"/>
      <c r="TYM41" s="44"/>
      <c r="TYN41" s="44"/>
      <c r="TYO41" s="44"/>
      <c r="TYP41" s="44"/>
      <c r="TYQ41" s="44"/>
      <c r="TYR41" s="44"/>
      <c r="TYS41" s="44"/>
      <c r="TYT41" s="44"/>
      <c r="TYU41" s="44"/>
      <c r="TYV41" s="44"/>
      <c r="TYW41" s="44"/>
      <c r="TYX41" s="44"/>
      <c r="TYY41" s="44"/>
      <c r="TYZ41" s="44"/>
      <c r="TZA41" s="44"/>
      <c r="TZB41" s="44"/>
      <c r="TZC41" s="44"/>
      <c r="TZD41" s="44"/>
      <c r="TZE41" s="44"/>
      <c r="TZF41" s="44"/>
      <c r="TZG41" s="44"/>
      <c r="TZH41" s="44"/>
      <c r="TZI41" s="44"/>
      <c r="TZJ41" s="44"/>
      <c r="TZK41" s="44"/>
      <c r="TZL41" s="44"/>
      <c r="TZM41" s="44"/>
      <c r="TZN41" s="44"/>
      <c r="TZO41" s="44"/>
      <c r="TZP41" s="44"/>
      <c r="TZQ41" s="44"/>
      <c r="TZR41" s="44"/>
      <c r="TZS41" s="44"/>
      <c r="TZT41" s="44"/>
      <c r="TZU41" s="44"/>
      <c r="TZV41" s="44"/>
      <c r="TZW41" s="44"/>
      <c r="TZX41" s="44"/>
      <c r="TZY41" s="44"/>
      <c r="TZZ41" s="44"/>
      <c r="UAA41" s="44"/>
      <c r="UAB41" s="44"/>
      <c r="UAC41" s="44"/>
      <c r="UAD41" s="44"/>
      <c r="UAE41" s="44"/>
      <c r="UAF41" s="44"/>
      <c r="UAG41" s="44"/>
      <c r="UAH41" s="44"/>
      <c r="UAI41" s="44"/>
      <c r="UAJ41" s="44"/>
      <c r="UAK41" s="44"/>
      <c r="UAL41" s="44"/>
      <c r="UAM41" s="44"/>
      <c r="UAN41" s="44"/>
      <c r="UAO41" s="44"/>
      <c r="UAP41" s="44"/>
      <c r="UAQ41" s="44"/>
      <c r="UAR41" s="44"/>
      <c r="UAS41" s="44"/>
      <c r="UAT41" s="44"/>
      <c r="UAU41" s="44"/>
      <c r="UAV41" s="44"/>
      <c r="UAW41" s="44"/>
      <c r="UAX41" s="44"/>
      <c r="UAY41" s="44"/>
      <c r="UAZ41" s="44"/>
      <c r="UBA41" s="44"/>
      <c r="UBB41" s="44"/>
      <c r="UBC41" s="44"/>
      <c r="UBD41" s="44"/>
      <c r="UBE41" s="44"/>
      <c r="UBF41" s="44"/>
      <c r="UBG41" s="44"/>
      <c r="UBH41" s="44"/>
      <c r="UBI41" s="44"/>
      <c r="UBJ41" s="44"/>
      <c r="UBK41" s="44"/>
      <c r="UBL41" s="44"/>
      <c r="UBM41" s="44"/>
      <c r="UBN41" s="44"/>
      <c r="UBO41" s="44"/>
      <c r="UBP41" s="44"/>
      <c r="UBQ41" s="44"/>
      <c r="UBR41" s="44"/>
      <c r="UBS41" s="44"/>
      <c r="UBT41" s="44"/>
      <c r="UBU41" s="44"/>
      <c r="UBV41" s="44"/>
      <c r="UBW41" s="44"/>
      <c r="UBX41" s="44"/>
      <c r="UBY41" s="44"/>
      <c r="UBZ41" s="44"/>
      <c r="UCA41" s="44"/>
      <c r="UCB41" s="44"/>
      <c r="UCC41" s="44"/>
      <c r="UCD41" s="44"/>
      <c r="UCE41" s="44"/>
      <c r="UCF41" s="44"/>
      <c r="UCG41" s="44"/>
      <c r="UCH41" s="44"/>
      <c r="UCI41" s="44"/>
      <c r="UCJ41" s="44"/>
      <c r="UCK41" s="44"/>
      <c r="UCL41" s="44"/>
      <c r="UCM41" s="44"/>
      <c r="UCN41" s="44"/>
      <c r="UCO41" s="44"/>
      <c r="UCP41" s="44"/>
      <c r="UCQ41" s="44"/>
      <c r="UCR41" s="44"/>
      <c r="UCS41" s="44"/>
      <c r="UCT41" s="44"/>
      <c r="UCU41" s="44"/>
      <c r="UCV41" s="44"/>
      <c r="UCW41" s="44"/>
      <c r="UCX41" s="44"/>
      <c r="UCY41" s="44"/>
      <c r="UCZ41" s="44"/>
      <c r="UDA41" s="44"/>
      <c r="UDB41" s="44"/>
      <c r="UDC41" s="44"/>
      <c r="UDD41" s="44"/>
      <c r="UDE41" s="44"/>
      <c r="UDF41" s="44"/>
      <c r="UDG41" s="44"/>
      <c r="UDH41" s="44"/>
      <c r="UDI41" s="44"/>
      <c r="UDJ41" s="44"/>
      <c r="UDK41" s="44"/>
      <c r="UDL41" s="44"/>
      <c r="UDM41" s="44"/>
      <c r="UDN41" s="44"/>
      <c r="UDO41" s="44"/>
      <c r="UDP41" s="44"/>
      <c r="UDQ41" s="44"/>
      <c r="UDR41" s="44"/>
      <c r="UDS41" s="44"/>
      <c r="UDT41" s="44"/>
      <c r="UDU41" s="44"/>
      <c r="UDV41" s="44"/>
      <c r="UDW41" s="44"/>
      <c r="UDX41" s="44"/>
      <c r="UDY41" s="44"/>
      <c r="UDZ41" s="44"/>
      <c r="UEA41" s="44"/>
      <c r="UEB41" s="44"/>
      <c r="UEC41" s="44"/>
      <c r="UED41" s="44"/>
      <c r="UEE41" s="44"/>
      <c r="UEF41" s="44"/>
      <c r="UEG41" s="44"/>
      <c r="UEH41" s="44"/>
      <c r="UEI41" s="44"/>
      <c r="UEJ41" s="44"/>
      <c r="UEK41" s="44"/>
      <c r="UEL41" s="44"/>
      <c r="UEM41" s="44"/>
      <c r="UEN41" s="44"/>
      <c r="UEO41" s="44"/>
      <c r="UEP41" s="44"/>
      <c r="UEQ41" s="44"/>
      <c r="UER41" s="44"/>
      <c r="UES41" s="44"/>
      <c r="UET41" s="44"/>
      <c r="UEU41" s="44"/>
      <c r="UEV41" s="44"/>
      <c r="UEW41" s="44"/>
      <c r="UEX41" s="44"/>
      <c r="UEY41" s="44"/>
      <c r="UEZ41" s="44"/>
      <c r="UFA41" s="44"/>
      <c r="UFB41" s="44"/>
      <c r="UFC41" s="44"/>
      <c r="UFD41" s="44"/>
      <c r="UFE41" s="44"/>
      <c r="UFF41" s="44"/>
      <c r="UFG41" s="44"/>
      <c r="UFH41" s="44"/>
      <c r="UFI41" s="44"/>
      <c r="UFJ41" s="44"/>
      <c r="UFK41" s="44"/>
      <c r="UFL41" s="44"/>
      <c r="UFM41" s="44"/>
      <c r="UFN41" s="44"/>
      <c r="UFO41" s="44"/>
      <c r="UFP41" s="44"/>
      <c r="UFQ41" s="44"/>
      <c r="UFR41" s="44"/>
      <c r="UFS41" s="44"/>
      <c r="UFT41" s="44"/>
      <c r="UFU41" s="44"/>
      <c r="UFV41" s="44"/>
      <c r="UFW41" s="44"/>
      <c r="UFX41" s="44"/>
      <c r="UFY41" s="44"/>
      <c r="UFZ41" s="44"/>
      <c r="UGA41" s="44"/>
      <c r="UGB41" s="44"/>
      <c r="UGC41" s="44"/>
      <c r="UGD41" s="44"/>
      <c r="UGE41" s="44"/>
      <c r="UGF41" s="44"/>
      <c r="UGG41" s="44"/>
      <c r="UGH41" s="44"/>
      <c r="UGI41" s="44"/>
      <c r="UGJ41" s="44"/>
      <c r="UGK41" s="44"/>
      <c r="UGL41" s="44"/>
      <c r="UGM41" s="44"/>
      <c r="UGN41" s="44"/>
      <c r="UGO41" s="44"/>
      <c r="UGP41" s="44"/>
      <c r="UGQ41" s="44"/>
      <c r="UGR41" s="44"/>
      <c r="UGS41" s="44"/>
      <c r="UGT41" s="44"/>
      <c r="UGU41" s="44"/>
      <c r="UGV41" s="44"/>
      <c r="UGW41" s="44"/>
      <c r="UGX41" s="44"/>
      <c r="UGY41" s="44"/>
      <c r="UGZ41" s="44"/>
      <c r="UHA41" s="44"/>
      <c r="UHB41" s="44"/>
      <c r="UHC41" s="44"/>
      <c r="UHD41" s="44"/>
      <c r="UHE41" s="44"/>
      <c r="UHF41" s="44"/>
      <c r="UHG41" s="44"/>
      <c r="UHH41" s="44"/>
      <c r="UHI41" s="44"/>
      <c r="UHJ41" s="44"/>
      <c r="UHK41" s="44"/>
      <c r="UHL41" s="44"/>
      <c r="UHM41" s="44"/>
      <c r="UHN41" s="44"/>
      <c r="UHO41" s="44"/>
      <c r="UHP41" s="44"/>
      <c r="UHQ41" s="44"/>
      <c r="UHR41" s="44"/>
      <c r="UHS41" s="44"/>
      <c r="UHT41" s="44"/>
      <c r="UHU41" s="44"/>
      <c r="UHV41" s="44"/>
      <c r="UHW41" s="44"/>
      <c r="UHX41" s="44"/>
      <c r="UHY41" s="44"/>
      <c r="UHZ41" s="44"/>
      <c r="UIA41" s="44"/>
      <c r="UIB41" s="44"/>
      <c r="UIC41" s="44"/>
      <c r="UID41" s="44"/>
      <c r="UIE41" s="44"/>
      <c r="UIF41" s="44"/>
      <c r="UIG41" s="44"/>
      <c r="UIH41" s="44"/>
      <c r="UII41" s="44"/>
      <c r="UIJ41" s="44"/>
      <c r="UIK41" s="44"/>
      <c r="UIL41" s="44"/>
      <c r="UIM41" s="44"/>
      <c r="UIN41" s="44"/>
      <c r="UIO41" s="44"/>
      <c r="UIP41" s="44"/>
      <c r="UIQ41" s="44"/>
      <c r="UIR41" s="44"/>
      <c r="UIS41" s="44"/>
      <c r="UIT41" s="44"/>
      <c r="UIU41" s="44"/>
      <c r="UIV41" s="44"/>
      <c r="UIW41" s="44"/>
      <c r="UIX41" s="44"/>
      <c r="UIY41" s="44"/>
      <c r="UIZ41" s="44"/>
      <c r="UJA41" s="44"/>
      <c r="UJB41" s="44"/>
      <c r="UJC41" s="44"/>
      <c r="UJD41" s="44"/>
      <c r="UJE41" s="44"/>
      <c r="UJF41" s="44"/>
      <c r="UJG41" s="44"/>
      <c r="UJH41" s="44"/>
      <c r="UJI41" s="44"/>
      <c r="UJJ41" s="44"/>
      <c r="UJK41" s="44"/>
      <c r="UJL41" s="44"/>
      <c r="UJM41" s="44"/>
      <c r="UJN41" s="44"/>
      <c r="UJO41" s="44"/>
      <c r="UJP41" s="44"/>
      <c r="UJQ41" s="44"/>
      <c r="UJR41" s="44"/>
      <c r="UJS41" s="44"/>
      <c r="UJT41" s="44"/>
      <c r="UJU41" s="44"/>
      <c r="UJV41" s="44"/>
      <c r="UJW41" s="44"/>
      <c r="UJX41" s="44"/>
      <c r="UJY41" s="44"/>
      <c r="UJZ41" s="44"/>
      <c r="UKA41" s="44"/>
      <c r="UKB41" s="44"/>
      <c r="UKC41" s="44"/>
      <c r="UKD41" s="44"/>
      <c r="UKE41" s="44"/>
      <c r="UKF41" s="44"/>
      <c r="UKG41" s="44"/>
      <c r="UKH41" s="44"/>
      <c r="UKI41" s="44"/>
      <c r="UKJ41" s="44"/>
      <c r="UKK41" s="44"/>
      <c r="UKL41" s="44"/>
      <c r="UKM41" s="44"/>
      <c r="UKN41" s="44"/>
      <c r="UKO41" s="44"/>
      <c r="UKP41" s="44"/>
      <c r="UKQ41" s="44"/>
      <c r="UKR41" s="44"/>
      <c r="UKS41" s="44"/>
      <c r="UKT41" s="44"/>
      <c r="UKU41" s="44"/>
      <c r="UKV41" s="44"/>
      <c r="UKW41" s="44"/>
      <c r="UKX41" s="44"/>
      <c r="UKY41" s="44"/>
      <c r="UKZ41" s="44"/>
      <c r="ULA41" s="44"/>
      <c r="ULB41" s="44"/>
      <c r="ULC41" s="44"/>
      <c r="ULD41" s="44"/>
      <c r="ULE41" s="44"/>
      <c r="ULF41" s="44"/>
      <c r="ULG41" s="44"/>
      <c r="ULH41" s="44"/>
      <c r="ULI41" s="44"/>
      <c r="ULJ41" s="44"/>
      <c r="ULK41" s="44"/>
      <c r="ULL41" s="44"/>
      <c r="ULM41" s="44"/>
      <c r="ULN41" s="44"/>
      <c r="ULO41" s="44"/>
      <c r="ULP41" s="44"/>
      <c r="ULQ41" s="44"/>
      <c r="ULR41" s="44"/>
      <c r="ULS41" s="44"/>
      <c r="ULT41" s="44"/>
      <c r="ULU41" s="44"/>
      <c r="ULV41" s="44"/>
      <c r="ULW41" s="44"/>
      <c r="ULX41" s="44"/>
      <c r="ULY41" s="44"/>
      <c r="ULZ41" s="44"/>
      <c r="UMA41" s="44"/>
      <c r="UMB41" s="44"/>
      <c r="UMC41" s="44"/>
      <c r="UMD41" s="44"/>
      <c r="UME41" s="44"/>
      <c r="UMF41" s="44"/>
      <c r="UMG41" s="44"/>
      <c r="UMH41" s="44"/>
      <c r="UMI41" s="44"/>
      <c r="UMJ41" s="44"/>
      <c r="UMK41" s="44"/>
      <c r="UML41" s="44"/>
      <c r="UMM41" s="44"/>
      <c r="UMN41" s="44"/>
      <c r="UMO41" s="44"/>
      <c r="UMP41" s="44"/>
      <c r="UMQ41" s="44"/>
      <c r="UMR41" s="44"/>
      <c r="UMS41" s="44"/>
      <c r="UMT41" s="44"/>
      <c r="UMU41" s="44"/>
      <c r="UMV41" s="44"/>
      <c r="UMW41" s="44"/>
      <c r="UMX41" s="44"/>
      <c r="UMY41" s="44"/>
      <c r="UMZ41" s="44"/>
      <c r="UNA41" s="44"/>
      <c r="UNB41" s="44"/>
      <c r="UNC41" s="44"/>
      <c r="UND41" s="44"/>
      <c r="UNE41" s="44"/>
      <c r="UNF41" s="44"/>
      <c r="UNG41" s="44"/>
      <c r="UNH41" s="44"/>
      <c r="UNI41" s="44"/>
      <c r="UNJ41" s="44"/>
      <c r="UNK41" s="44"/>
      <c r="UNL41" s="44"/>
      <c r="UNM41" s="44"/>
      <c r="UNN41" s="44"/>
      <c r="UNO41" s="44"/>
      <c r="UNP41" s="44"/>
      <c r="UNQ41" s="44"/>
      <c r="UNR41" s="44"/>
      <c r="UNS41" s="44"/>
      <c r="UNT41" s="44"/>
      <c r="UNU41" s="44"/>
      <c r="UNV41" s="44"/>
      <c r="UNW41" s="44"/>
      <c r="UNX41" s="44"/>
      <c r="UNY41" s="44"/>
      <c r="UNZ41" s="44"/>
      <c r="UOA41" s="44"/>
      <c r="UOB41" s="44"/>
      <c r="UOC41" s="44"/>
      <c r="UOD41" s="44"/>
      <c r="UOE41" s="44"/>
      <c r="UOF41" s="44"/>
      <c r="UOG41" s="44"/>
      <c r="UOH41" s="44"/>
      <c r="UOI41" s="44"/>
      <c r="UOJ41" s="44"/>
      <c r="UOK41" s="44"/>
      <c r="UOL41" s="44"/>
      <c r="UOM41" s="44"/>
      <c r="UON41" s="44"/>
      <c r="UOO41" s="44"/>
      <c r="UOP41" s="44"/>
      <c r="UOQ41" s="44"/>
      <c r="UOR41" s="44"/>
      <c r="UOS41" s="44"/>
      <c r="UOT41" s="44"/>
      <c r="UOU41" s="44"/>
      <c r="UOV41" s="44"/>
      <c r="UOW41" s="44"/>
      <c r="UOX41" s="44"/>
      <c r="UOY41" s="44"/>
      <c r="UOZ41" s="44"/>
      <c r="UPA41" s="44"/>
      <c r="UPB41" s="44"/>
      <c r="UPC41" s="44"/>
      <c r="UPD41" s="44"/>
      <c r="UPE41" s="44"/>
      <c r="UPF41" s="44"/>
      <c r="UPG41" s="44"/>
      <c r="UPH41" s="44"/>
      <c r="UPI41" s="44"/>
      <c r="UPJ41" s="44"/>
      <c r="UPK41" s="44"/>
      <c r="UPL41" s="44"/>
      <c r="UPM41" s="44"/>
      <c r="UPN41" s="44"/>
      <c r="UPO41" s="44"/>
      <c r="UPP41" s="44"/>
      <c r="UPQ41" s="44"/>
      <c r="UPR41" s="44"/>
      <c r="UPS41" s="44"/>
      <c r="UPT41" s="44"/>
      <c r="UPU41" s="44"/>
      <c r="UPV41" s="44"/>
      <c r="UPW41" s="44"/>
      <c r="UPX41" s="44"/>
      <c r="UPY41" s="44"/>
      <c r="UPZ41" s="44"/>
      <c r="UQA41" s="44"/>
      <c r="UQB41" s="44"/>
      <c r="UQC41" s="44"/>
      <c r="UQD41" s="44"/>
      <c r="UQE41" s="44"/>
      <c r="UQF41" s="44"/>
      <c r="UQG41" s="44"/>
      <c r="UQH41" s="44"/>
      <c r="UQI41" s="44"/>
      <c r="UQJ41" s="44"/>
      <c r="UQK41" s="44"/>
      <c r="UQL41" s="44"/>
      <c r="UQM41" s="44"/>
      <c r="UQN41" s="44"/>
      <c r="UQO41" s="44"/>
      <c r="UQP41" s="44"/>
      <c r="UQQ41" s="44"/>
      <c r="UQR41" s="44"/>
      <c r="UQS41" s="44"/>
      <c r="UQT41" s="44"/>
      <c r="UQU41" s="44"/>
      <c r="UQV41" s="44"/>
      <c r="UQW41" s="44"/>
      <c r="UQX41" s="44"/>
      <c r="UQY41" s="44"/>
      <c r="UQZ41" s="44"/>
      <c r="URA41" s="44"/>
      <c r="URB41" s="44"/>
      <c r="URC41" s="44"/>
      <c r="URD41" s="44"/>
      <c r="URE41" s="44"/>
      <c r="URF41" s="44"/>
      <c r="URG41" s="44"/>
      <c r="URH41" s="44"/>
      <c r="URI41" s="44"/>
      <c r="URJ41" s="44"/>
      <c r="URK41" s="44"/>
      <c r="URL41" s="44"/>
      <c r="URM41" s="44"/>
      <c r="URN41" s="44"/>
      <c r="URO41" s="44"/>
      <c r="URP41" s="44"/>
      <c r="URQ41" s="44"/>
      <c r="URR41" s="44"/>
      <c r="URS41" s="44"/>
      <c r="URT41" s="44"/>
      <c r="URU41" s="44"/>
      <c r="URV41" s="44"/>
      <c r="URW41" s="44"/>
      <c r="URX41" s="44"/>
      <c r="URY41" s="44"/>
      <c r="URZ41" s="44"/>
      <c r="USA41" s="44"/>
      <c r="USB41" s="44"/>
      <c r="USC41" s="44"/>
      <c r="USD41" s="44"/>
      <c r="USE41" s="44"/>
      <c r="USF41" s="44"/>
      <c r="USG41" s="44"/>
      <c r="USH41" s="44"/>
      <c r="USI41" s="44"/>
      <c r="USJ41" s="44"/>
      <c r="USK41" s="44"/>
      <c r="USL41" s="44"/>
      <c r="USM41" s="44"/>
      <c r="USN41" s="44"/>
      <c r="USO41" s="44"/>
      <c r="USP41" s="44"/>
      <c r="USQ41" s="44"/>
      <c r="USR41" s="44"/>
      <c r="USS41" s="44"/>
      <c r="UST41" s="44"/>
      <c r="USU41" s="44"/>
      <c r="USV41" s="44"/>
      <c r="USW41" s="44"/>
      <c r="USX41" s="44"/>
      <c r="USY41" s="44"/>
      <c r="USZ41" s="44"/>
      <c r="UTA41" s="44"/>
      <c r="UTB41" s="44"/>
      <c r="UTC41" s="44"/>
      <c r="UTD41" s="44"/>
      <c r="UTE41" s="44"/>
      <c r="UTF41" s="44"/>
      <c r="UTG41" s="44"/>
      <c r="UTH41" s="44"/>
      <c r="UTI41" s="44"/>
      <c r="UTJ41" s="44"/>
      <c r="UTK41" s="44"/>
      <c r="UTL41" s="44"/>
      <c r="UTM41" s="44"/>
      <c r="UTN41" s="44"/>
      <c r="UTO41" s="44"/>
      <c r="UTP41" s="44"/>
      <c r="UTQ41" s="44"/>
      <c r="UTR41" s="44"/>
      <c r="UTS41" s="44"/>
      <c r="UTT41" s="44"/>
      <c r="UTU41" s="44"/>
      <c r="UTV41" s="44"/>
      <c r="UTW41" s="44"/>
      <c r="UTX41" s="44"/>
      <c r="UTY41" s="44"/>
      <c r="UTZ41" s="44"/>
      <c r="UUA41" s="44"/>
      <c r="UUB41" s="44"/>
      <c r="UUC41" s="44"/>
      <c r="UUD41" s="44"/>
      <c r="UUE41" s="44"/>
      <c r="UUF41" s="44"/>
      <c r="UUG41" s="44"/>
      <c r="UUH41" s="44"/>
      <c r="UUI41" s="44"/>
      <c r="UUJ41" s="44"/>
      <c r="UUK41" s="44"/>
      <c r="UUL41" s="44"/>
      <c r="UUM41" s="44"/>
      <c r="UUN41" s="44"/>
      <c r="UUO41" s="44"/>
      <c r="UUP41" s="44"/>
      <c r="UUQ41" s="44"/>
      <c r="UUR41" s="44"/>
      <c r="UUS41" s="44"/>
      <c r="UUT41" s="44"/>
      <c r="UUU41" s="44"/>
      <c r="UUV41" s="44"/>
      <c r="UUW41" s="44"/>
      <c r="UUX41" s="44"/>
      <c r="UUY41" s="44"/>
      <c r="UUZ41" s="44"/>
      <c r="UVA41" s="44"/>
      <c r="UVB41" s="44"/>
      <c r="UVC41" s="44"/>
      <c r="UVD41" s="44"/>
      <c r="UVE41" s="44"/>
      <c r="UVF41" s="44"/>
      <c r="UVG41" s="44"/>
      <c r="UVH41" s="44"/>
      <c r="UVI41" s="44"/>
      <c r="UVJ41" s="44"/>
      <c r="UVK41" s="44"/>
      <c r="UVL41" s="44"/>
      <c r="UVM41" s="44"/>
      <c r="UVN41" s="44"/>
      <c r="UVO41" s="44"/>
      <c r="UVP41" s="44"/>
      <c r="UVQ41" s="44"/>
      <c r="UVR41" s="44"/>
      <c r="UVS41" s="44"/>
      <c r="UVT41" s="44"/>
      <c r="UVU41" s="44"/>
      <c r="UVV41" s="44"/>
      <c r="UVW41" s="44"/>
      <c r="UVX41" s="44"/>
      <c r="UVY41" s="44"/>
      <c r="UVZ41" s="44"/>
      <c r="UWA41" s="44"/>
      <c r="UWB41" s="44"/>
      <c r="UWC41" s="44"/>
      <c r="UWD41" s="44"/>
      <c r="UWE41" s="44"/>
      <c r="UWF41" s="44"/>
      <c r="UWG41" s="44"/>
      <c r="UWH41" s="44"/>
      <c r="UWI41" s="44"/>
      <c r="UWJ41" s="44"/>
      <c r="UWK41" s="44"/>
      <c r="UWL41" s="44"/>
      <c r="UWM41" s="44"/>
      <c r="UWN41" s="44"/>
      <c r="UWO41" s="44"/>
      <c r="UWP41" s="44"/>
      <c r="UWQ41" s="44"/>
      <c r="UWR41" s="44"/>
      <c r="UWS41" s="44"/>
      <c r="UWT41" s="44"/>
      <c r="UWU41" s="44"/>
      <c r="UWV41" s="44"/>
      <c r="UWW41" s="44"/>
      <c r="UWX41" s="44"/>
      <c r="UWY41" s="44"/>
      <c r="UWZ41" s="44"/>
      <c r="UXA41" s="44"/>
      <c r="UXB41" s="44"/>
      <c r="UXC41" s="44"/>
      <c r="UXD41" s="44"/>
      <c r="UXE41" s="44"/>
      <c r="UXF41" s="44"/>
      <c r="UXG41" s="44"/>
      <c r="UXH41" s="44"/>
      <c r="UXI41" s="44"/>
      <c r="UXJ41" s="44"/>
      <c r="UXK41" s="44"/>
      <c r="UXL41" s="44"/>
      <c r="UXM41" s="44"/>
      <c r="UXN41" s="44"/>
      <c r="UXO41" s="44"/>
      <c r="UXP41" s="44"/>
      <c r="UXQ41" s="44"/>
      <c r="UXR41" s="44"/>
      <c r="UXS41" s="44"/>
      <c r="UXT41" s="44"/>
      <c r="UXU41" s="44"/>
      <c r="UXV41" s="44"/>
      <c r="UXW41" s="44"/>
      <c r="UXX41" s="44"/>
      <c r="UXY41" s="44"/>
      <c r="UXZ41" s="44"/>
      <c r="UYA41" s="44"/>
      <c r="UYB41" s="44"/>
      <c r="UYC41" s="44"/>
      <c r="UYD41" s="44"/>
      <c r="UYE41" s="44"/>
      <c r="UYF41" s="44"/>
      <c r="UYG41" s="44"/>
      <c r="UYH41" s="44"/>
      <c r="UYI41" s="44"/>
      <c r="UYJ41" s="44"/>
      <c r="UYK41" s="44"/>
      <c r="UYL41" s="44"/>
      <c r="UYM41" s="44"/>
      <c r="UYN41" s="44"/>
      <c r="UYO41" s="44"/>
      <c r="UYP41" s="44"/>
      <c r="UYQ41" s="44"/>
      <c r="UYR41" s="44"/>
      <c r="UYS41" s="44"/>
      <c r="UYT41" s="44"/>
      <c r="UYU41" s="44"/>
      <c r="UYV41" s="44"/>
      <c r="UYW41" s="44"/>
      <c r="UYX41" s="44"/>
      <c r="UYY41" s="44"/>
      <c r="UYZ41" s="44"/>
      <c r="UZA41" s="44"/>
      <c r="UZB41" s="44"/>
      <c r="UZC41" s="44"/>
      <c r="UZD41" s="44"/>
      <c r="UZE41" s="44"/>
      <c r="UZF41" s="44"/>
      <c r="UZG41" s="44"/>
      <c r="UZH41" s="44"/>
      <c r="UZI41" s="44"/>
      <c r="UZJ41" s="44"/>
      <c r="UZK41" s="44"/>
      <c r="UZL41" s="44"/>
      <c r="UZM41" s="44"/>
      <c r="UZN41" s="44"/>
      <c r="UZO41" s="44"/>
      <c r="UZP41" s="44"/>
      <c r="UZQ41" s="44"/>
      <c r="UZR41" s="44"/>
      <c r="UZS41" s="44"/>
      <c r="UZT41" s="44"/>
      <c r="UZU41" s="44"/>
      <c r="UZV41" s="44"/>
      <c r="UZW41" s="44"/>
      <c r="UZX41" s="44"/>
      <c r="UZY41" s="44"/>
      <c r="UZZ41" s="44"/>
      <c r="VAA41" s="44"/>
      <c r="VAB41" s="44"/>
      <c r="VAC41" s="44"/>
      <c r="VAD41" s="44"/>
      <c r="VAE41" s="44"/>
      <c r="VAF41" s="44"/>
      <c r="VAG41" s="44"/>
      <c r="VAH41" s="44"/>
      <c r="VAI41" s="44"/>
      <c r="VAJ41" s="44"/>
      <c r="VAK41" s="44"/>
      <c r="VAL41" s="44"/>
      <c r="VAM41" s="44"/>
      <c r="VAN41" s="44"/>
      <c r="VAO41" s="44"/>
      <c r="VAP41" s="44"/>
      <c r="VAQ41" s="44"/>
      <c r="VAR41" s="44"/>
      <c r="VAS41" s="44"/>
      <c r="VAT41" s="44"/>
      <c r="VAU41" s="44"/>
      <c r="VAV41" s="44"/>
      <c r="VAW41" s="44"/>
      <c r="VAX41" s="44"/>
      <c r="VAY41" s="44"/>
      <c r="VAZ41" s="44"/>
      <c r="VBA41" s="44"/>
      <c r="VBB41" s="44"/>
      <c r="VBC41" s="44"/>
      <c r="VBD41" s="44"/>
      <c r="VBE41" s="44"/>
      <c r="VBF41" s="44"/>
      <c r="VBG41" s="44"/>
      <c r="VBH41" s="44"/>
      <c r="VBI41" s="44"/>
      <c r="VBJ41" s="44"/>
      <c r="VBK41" s="44"/>
      <c r="VBL41" s="44"/>
      <c r="VBM41" s="44"/>
      <c r="VBN41" s="44"/>
      <c r="VBO41" s="44"/>
      <c r="VBP41" s="44"/>
      <c r="VBQ41" s="44"/>
      <c r="VBR41" s="44"/>
      <c r="VBS41" s="44"/>
      <c r="VBT41" s="44"/>
      <c r="VBU41" s="44"/>
      <c r="VBV41" s="44"/>
      <c r="VBW41" s="44"/>
      <c r="VBX41" s="44"/>
      <c r="VBY41" s="44"/>
      <c r="VBZ41" s="44"/>
      <c r="VCA41" s="44"/>
      <c r="VCB41" s="44"/>
      <c r="VCC41" s="44"/>
      <c r="VCD41" s="44"/>
      <c r="VCE41" s="44"/>
      <c r="VCF41" s="44"/>
      <c r="VCG41" s="44"/>
      <c r="VCH41" s="44"/>
      <c r="VCI41" s="44"/>
      <c r="VCJ41" s="44"/>
      <c r="VCK41" s="44"/>
      <c r="VCL41" s="44"/>
      <c r="VCM41" s="44"/>
      <c r="VCN41" s="44"/>
      <c r="VCO41" s="44"/>
      <c r="VCP41" s="44"/>
      <c r="VCQ41" s="44"/>
      <c r="VCR41" s="44"/>
      <c r="VCS41" s="44"/>
      <c r="VCT41" s="44"/>
      <c r="VCU41" s="44"/>
      <c r="VCV41" s="44"/>
      <c r="VCW41" s="44"/>
      <c r="VCX41" s="44"/>
      <c r="VCY41" s="44"/>
      <c r="VCZ41" s="44"/>
      <c r="VDA41" s="44"/>
      <c r="VDB41" s="44"/>
      <c r="VDC41" s="44"/>
      <c r="VDD41" s="44"/>
      <c r="VDE41" s="44"/>
      <c r="VDF41" s="44"/>
      <c r="VDG41" s="44"/>
      <c r="VDH41" s="44"/>
      <c r="VDI41" s="44"/>
      <c r="VDJ41" s="44"/>
      <c r="VDK41" s="44"/>
      <c r="VDL41" s="44"/>
      <c r="VDM41" s="44"/>
      <c r="VDN41" s="44"/>
      <c r="VDO41" s="44"/>
      <c r="VDP41" s="44"/>
      <c r="VDQ41" s="44"/>
      <c r="VDR41" s="44"/>
      <c r="VDS41" s="44"/>
      <c r="VDT41" s="44"/>
      <c r="VDU41" s="44"/>
      <c r="VDV41" s="44"/>
      <c r="VDW41" s="44"/>
      <c r="VDX41" s="44"/>
      <c r="VDY41" s="44"/>
      <c r="VDZ41" s="44"/>
      <c r="VEA41" s="44"/>
      <c r="VEB41" s="44"/>
      <c r="VEC41" s="44"/>
      <c r="VED41" s="44"/>
      <c r="VEE41" s="44"/>
      <c r="VEF41" s="44"/>
      <c r="VEG41" s="44"/>
      <c r="VEH41" s="44"/>
      <c r="VEI41" s="44"/>
      <c r="VEJ41" s="44"/>
      <c r="VEK41" s="44"/>
      <c r="VEL41" s="44"/>
      <c r="VEM41" s="44"/>
      <c r="VEN41" s="44"/>
      <c r="VEO41" s="44"/>
      <c r="VEP41" s="44"/>
      <c r="VEQ41" s="44"/>
      <c r="VER41" s="44"/>
      <c r="VES41" s="44"/>
      <c r="VET41" s="44"/>
      <c r="VEU41" s="44"/>
      <c r="VEV41" s="44"/>
      <c r="VEW41" s="44"/>
      <c r="VEX41" s="44"/>
      <c r="VEY41" s="44"/>
      <c r="VEZ41" s="44"/>
      <c r="VFA41" s="44"/>
      <c r="VFB41" s="44"/>
      <c r="VFC41" s="44"/>
      <c r="VFD41" s="44"/>
      <c r="VFE41" s="44"/>
      <c r="VFF41" s="44"/>
      <c r="VFG41" s="44"/>
      <c r="VFH41" s="44"/>
      <c r="VFI41" s="44"/>
      <c r="VFJ41" s="44"/>
      <c r="VFK41" s="44"/>
      <c r="VFL41" s="44"/>
      <c r="VFM41" s="44"/>
      <c r="VFN41" s="44"/>
      <c r="VFO41" s="44"/>
      <c r="VFP41" s="44"/>
      <c r="VFQ41" s="44"/>
      <c r="VFR41" s="44"/>
      <c r="VFS41" s="44"/>
      <c r="VFT41" s="44"/>
      <c r="VFU41" s="44"/>
      <c r="VFV41" s="44"/>
      <c r="VFW41" s="44"/>
      <c r="VFX41" s="44"/>
      <c r="VFY41" s="44"/>
      <c r="VFZ41" s="44"/>
      <c r="VGA41" s="44"/>
      <c r="VGB41" s="44"/>
      <c r="VGC41" s="44"/>
      <c r="VGD41" s="44"/>
      <c r="VGE41" s="44"/>
      <c r="VGF41" s="44"/>
      <c r="VGG41" s="44"/>
      <c r="VGH41" s="44"/>
      <c r="VGI41" s="44"/>
      <c r="VGJ41" s="44"/>
      <c r="VGK41" s="44"/>
      <c r="VGL41" s="44"/>
      <c r="VGM41" s="44"/>
      <c r="VGN41" s="44"/>
      <c r="VGO41" s="44"/>
      <c r="VGP41" s="44"/>
      <c r="VGQ41" s="44"/>
      <c r="VGR41" s="44"/>
      <c r="VGS41" s="44"/>
      <c r="VGT41" s="44"/>
      <c r="VGU41" s="44"/>
      <c r="VGV41" s="44"/>
      <c r="VGW41" s="44"/>
      <c r="VGX41" s="44"/>
      <c r="VGY41" s="44"/>
      <c r="VGZ41" s="44"/>
      <c r="VHA41" s="44"/>
      <c r="VHB41" s="44"/>
      <c r="VHC41" s="44"/>
      <c r="VHD41" s="44"/>
      <c r="VHE41" s="44"/>
      <c r="VHF41" s="44"/>
      <c r="VHG41" s="44"/>
      <c r="VHH41" s="44"/>
      <c r="VHI41" s="44"/>
      <c r="VHJ41" s="44"/>
      <c r="VHK41" s="44"/>
      <c r="VHL41" s="44"/>
      <c r="VHM41" s="44"/>
      <c r="VHN41" s="44"/>
      <c r="VHO41" s="44"/>
      <c r="VHP41" s="44"/>
      <c r="VHQ41" s="44"/>
      <c r="VHR41" s="44"/>
      <c r="VHS41" s="44"/>
      <c r="VHT41" s="44"/>
      <c r="VHU41" s="44"/>
      <c r="VHV41" s="44"/>
      <c r="VHW41" s="44"/>
      <c r="VHX41" s="44"/>
      <c r="VHY41" s="44"/>
      <c r="VHZ41" s="44"/>
      <c r="VIA41" s="44"/>
      <c r="VIB41" s="44"/>
      <c r="VIC41" s="44"/>
      <c r="VID41" s="44"/>
      <c r="VIE41" s="44"/>
      <c r="VIF41" s="44"/>
      <c r="VIG41" s="44"/>
      <c r="VIH41" s="44"/>
      <c r="VII41" s="44"/>
      <c r="VIJ41" s="44"/>
      <c r="VIK41" s="44"/>
      <c r="VIL41" s="44"/>
      <c r="VIM41" s="44"/>
      <c r="VIN41" s="44"/>
      <c r="VIO41" s="44"/>
      <c r="VIP41" s="44"/>
      <c r="VIQ41" s="44"/>
      <c r="VIR41" s="44"/>
      <c r="VIS41" s="44"/>
      <c r="VIT41" s="44"/>
      <c r="VIU41" s="44"/>
      <c r="VIV41" s="44"/>
      <c r="VIW41" s="44"/>
      <c r="VIX41" s="44"/>
      <c r="VIY41" s="44"/>
      <c r="VIZ41" s="44"/>
      <c r="VJA41" s="44"/>
      <c r="VJB41" s="44"/>
      <c r="VJC41" s="44"/>
      <c r="VJD41" s="44"/>
      <c r="VJE41" s="44"/>
      <c r="VJF41" s="44"/>
      <c r="VJG41" s="44"/>
      <c r="VJH41" s="44"/>
      <c r="VJI41" s="44"/>
      <c r="VJJ41" s="44"/>
      <c r="VJK41" s="44"/>
      <c r="VJL41" s="44"/>
      <c r="VJM41" s="44"/>
      <c r="VJN41" s="44"/>
      <c r="VJO41" s="44"/>
      <c r="VJP41" s="44"/>
      <c r="VJQ41" s="44"/>
      <c r="VJR41" s="44"/>
      <c r="VJS41" s="44"/>
      <c r="VJT41" s="44"/>
      <c r="VJU41" s="44"/>
      <c r="VJV41" s="44"/>
      <c r="VJW41" s="44"/>
      <c r="VJX41" s="44"/>
      <c r="VJY41" s="44"/>
      <c r="VJZ41" s="44"/>
      <c r="VKA41" s="44"/>
      <c r="VKB41" s="44"/>
      <c r="VKC41" s="44"/>
      <c r="VKD41" s="44"/>
      <c r="VKE41" s="44"/>
      <c r="VKF41" s="44"/>
      <c r="VKG41" s="44"/>
      <c r="VKH41" s="44"/>
      <c r="VKI41" s="44"/>
      <c r="VKJ41" s="44"/>
      <c r="VKK41" s="44"/>
      <c r="VKL41" s="44"/>
      <c r="VKM41" s="44"/>
      <c r="VKN41" s="44"/>
      <c r="VKO41" s="44"/>
      <c r="VKP41" s="44"/>
      <c r="VKQ41" s="44"/>
      <c r="VKR41" s="44"/>
      <c r="VKS41" s="44"/>
      <c r="VKT41" s="44"/>
      <c r="VKU41" s="44"/>
      <c r="VKV41" s="44"/>
      <c r="VKW41" s="44"/>
      <c r="VKX41" s="44"/>
      <c r="VKY41" s="44"/>
      <c r="VKZ41" s="44"/>
      <c r="VLA41" s="44"/>
      <c r="VLB41" s="44"/>
      <c r="VLC41" s="44"/>
      <c r="VLD41" s="44"/>
      <c r="VLE41" s="44"/>
      <c r="VLF41" s="44"/>
      <c r="VLG41" s="44"/>
      <c r="VLH41" s="44"/>
      <c r="VLI41" s="44"/>
      <c r="VLJ41" s="44"/>
      <c r="VLK41" s="44"/>
      <c r="VLL41" s="44"/>
      <c r="VLM41" s="44"/>
      <c r="VLN41" s="44"/>
      <c r="VLO41" s="44"/>
      <c r="VLP41" s="44"/>
      <c r="VLQ41" s="44"/>
      <c r="VLR41" s="44"/>
      <c r="VLS41" s="44"/>
      <c r="VLT41" s="44"/>
      <c r="VLU41" s="44"/>
      <c r="VLV41" s="44"/>
      <c r="VLW41" s="44"/>
      <c r="VLX41" s="44"/>
      <c r="VLY41" s="44"/>
      <c r="VLZ41" s="44"/>
      <c r="VMA41" s="44"/>
      <c r="VMB41" s="44"/>
      <c r="VMC41" s="44"/>
      <c r="VMD41" s="44"/>
      <c r="VME41" s="44"/>
      <c r="VMF41" s="44"/>
      <c r="VMG41" s="44"/>
      <c r="VMH41" s="44"/>
      <c r="VMI41" s="44"/>
      <c r="VMJ41" s="44"/>
      <c r="VMK41" s="44"/>
      <c r="VML41" s="44"/>
      <c r="VMM41" s="44"/>
      <c r="VMN41" s="44"/>
      <c r="VMO41" s="44"/>
      <c r="VMP41" s="44"/>
      <c r="VMQ41" s="44"/>
      <c r="VMR41" s="44"/>
      <c r="VMS41" s="44"/>
      <c r="VMT41" s="44"/>
      <c r="VMU41" s="44"/>
      <c r="VMV41" s="44"/>
      <c r="VMW41" s="44"/>
      <c r="VMX41" s="44"/>
      <c r="VMY41" s="44"/>
      <c r="VMZ41" s="44"/>
      <c r="VNA41" s="44"/>
      <c r="VNB41" s="44"/>
      <c r="VNC41" s="44"/>
      <c r="VND41" s="44"/>
      <c r="VNE41" s="44"/>
      <c r="VNF41" s="44"/>
      <c r="VNG41" s="44"/>
      <c r="VNH41" s="44"/>
      <c r="VNI41" s="44"/>
      <c r="VNJ41" s="44"/>
      <c r="VNK41" s="44"/>
      <c r="VNL41" s="44"/>
      <c r="VNM41" s="44"/>
      <c r="VNN41" s="44"/>
      <c r="VNO41" s="44"/>
      <c r="VNP41" s="44"/>
      <c r="VNQ41" s="44"/>
      <c r="VNR41" s="44"/>
      <c r="VNS41" s="44"/>
      <c r="VNT41" s="44"/>
      <c r="VNU41" s="44"/>
      <c r="VNV41" s="44"/>
      <c r="VNW41" s="44"/>
      <c r="VNX41" s="44"/>
      <c r="VNY41" s="44"/>
      <c r="VNZ41" s="44"/>
      <c r="VOA41" s="44"/>
      <c r="VOB41" s="44"/>
      <c r="VOC41" s="44"/>
      <c r="VOD41" s="44"/>
      <c r="VOE41" s="44"/>
      <c r="VOF41" s="44"/>
      <c r="VOG41" s="44"/>
      <c r="VOH41" s="44"/>
      <c r="VOI41" s="44"/>
      <c r="VOJ41" s="44"/>
      <c r="VOK41" s="44"/>
      <c r="VOL41" s="44"/>
      <c r="VOM41" s="44"/>
      <c r="VON41" s="44"/>
      <c r="VOO41" s="44"/>
      <c r="VOP41" s="44"/>
      <c r="VOQ41" s="44"/>
      <c r="VOR41" s="44"/>
      <c r="VOS41" s="44"/>
      <c r="VOT41" s="44"/>
      <c r="VOU41" s="44"/>
      <c r="VOV41" s="44"/>
      <c r="VOW41" s="44"/>
      <c r="VOX41" s="44"/>
      <c r="VOY41" s="44"/>
      <c r="VOZ41" s="44"/>
      <c r="VPA41" s="44"/>
      <c r="VPB41" s="44"/>
      <c r="VPC41" s="44"/>
      <c r="VPD41" s="44"/>
      <c r="VPE41" s="44"/>
      <c r="VPF41" s="44"/>
      <c r="VPG41" s="44"/>
      <c r="VPH41" s="44"/>
      <c r="VPI41" s="44"/>
      <c r="VPJ41" s="44"/>
      <c r="VPK41" s="44"/>
      <c r="VPL41" s="44"/>
      <c r="VPM41" s="44"/>
      <c r="VPN41" s="44"/>
      <c r="VPO41" s="44"/>
      <c r="VPP41" s="44"/>
      <c r="VPQ41" s="44"/>
      <c r="VPR41" s="44"/>
      <c r="VPS41" s="44"/>
      <c r="VPT41" s="44"/>
      <c r="VPU41" s="44"/>
      <c r="VPV41" s="44"/>
      <c r="VPW41" s="44"/>
      <c r="VPX41" s="44"/>
      <c r="VPY41" s="44"/>
      <c r="VPZ41" s="44"/>
      <c r="VQA41" s="44"/>
      <c r="VQB41" s="44"/>
      <c r="VQC41" s="44"/>
      <c r="VQD41" s="44"/>
      <c r="VQE41" s="44"/>
      <c r="VQF41" s="44"/>
      <c r="VQG41" s="44"/>
      <c r="VQH41" s="44"/>
      <c r="VQI41" s="44"/>
      <c r="VQJ41" s="44"/>
      <c r="VQK41" s="44"/>
      <c r="VQL41" s="44"/>
      <c r="VQM41" s="44"/>
      <c r="VQN41" s="44"/>
      <c r="VQO41" s="44"/>
      <c r="VQP41" s="44"/>
      <c r="VQQ41" s="44"/>
      <c r="VQR41" s="44"/>
      <c r="VQS41" s="44"/>
      <c r="VQT41" s="44"/>
      <c r="VQU41" s="44"/>
      <c r="VQV41" s="44"/>
      <c r="VQW41" s="44"/>
      <c r="VQX41" s="44"/>
      <c r="VQY41" s="44"/>
      <c r="VQZ41" s="44"/>
      <c r="VRA41" s="44"/>
      <c r="VRB41" s="44"/>
      <c r="VRC41" s="44"/>
      <c r="VRD41" s="44"/>
      <c r="VRE41" s="44"/>
      <c r="VRF41" s="44"/>
      <c r="VRG41" s="44"/>
      <c r="VRH41" s="44"/>
      <c r="VRI41" s="44"/>
      <c r="VRJ41" s="44"/>
      <c r="VRK41" s="44"/>
      <c r="VRL41" s="44"/>
      <c r="VRM41" s="44"/>
      <c r="VRN41" s="44"/>
      <c r="VRO41" s="44"/>
      <c r="VRP41" s="44"/>
      <c r="VRQ41" s="44"/>
      <c r="VRR41" s="44"/>
      <c r="VRS41" s="44"/>
      <c r="VRT41" s="44"/>
      <c r="VRU41" s="44"/>
      <c r="VRV41" s="44"/>
      <c r="VRW41" s="44"/>
      <c r="VRX41" s="44"/>
      <c r="VRY41" s="44"/>
      <c r="VRZ41" s="44"/>
      <c r="VSA41" s="44"/>
      <c r="VSB41" s="44"/>
      <c r="VSC41" s="44"/>
      <c r="VSD41" s="44"/>
      <c r="VSE41" s="44"/>
      <c r="VSF41" s="44"/>
      <c r="VSG41" s="44"/>
      <c r="VSH41" s="44"/>
      <c r="VSI41" s="44"/>
      <c r="VSJ41" s="44"/>
      <c r="VSK41" s="44"/>
      <c r="VSL41" s="44"/>
      <c r="VSM41" s="44"/>
      <c r="VSN41" s="44"/>
      <c r="VSO41" s="44"/>
      <c r="VSP41" s="44"/>
      <c r="VSQ41" s="44"/>
      <c r="VSR41" s="44"/>
      <c r="VSS41" s="44"/>
      <c r="VST41" s="44"/>
      <c r="VSU41" s="44"/>
      <c r="VSV41" s="44"/>
      <c r="VSW41" s="44"/>
      <c r="VSX41" s="44"/>
      <c r="VSY41" s="44"/>
      <c r="VSZ41" s="44"/>
      <c r="VTA41" s="44"/>
      <c r="VTB41" s="44"/>
      <c r="VTC41" s="44"/>
      <c r="VTD41" s="44"/>
      <c r="VTE41" s="44"/>
      <c r="VTF41" s="44"/>
      <c r="VTG41" s="44"/>
      <c r="VTH41" s="44"/>
      <c r="VTI41" s="44"/>
      <c r="VTJ41" s="44"/>
      <c r="VTK41" s="44"/>
      <c r="VTL41" s="44"/>
      <c r="VTM41" s="44"/>
      <c r="VTN41" s="44"/>
      <c r="VTO41" s="44"/>
      <c r="VTP41" s="44"/>
      <c r="VTQ41" s="44"/>
      <c r="VTR41" s="44"/>
      <c r="VTS41" s="44"/>
      <c r="VTT41" s="44"/>
      <c r="VTU41" s="44"/>
      <c r="VTV41" s="44"/>
      <c r="VTW41" s="44"/>
      <c r="VTX41" s="44"/>
      <c r="VTY41" s="44"/>
      <c r="VTZ41" s="44"/>
      <c r="VUA41" s="44"/>
      <c r="VUB41" s="44"/>
      <c r="VUC41" s="44"/>
      <c r="VUD41" s="44"/>
      <c r="VUE41" s="44"/>
      <c r="VUF41" s="44"/>
      <c r="VUG41" s="44"/>
      <c r="VUH41" s="44"/>
      <c r="VUI41" s="44"/>
      <c r="VUJ41" s="44"/>
      <c r="VUK41" s="44"/>
      <c r="VUL41" s="44"/>
      <c r="VUM41" s="44"/>
      <c r="VUN41" s="44"/>
      <c r="VUO41" s="44"/>
      <c r="VUP41" s="44"/>
      <c r="VUQ41" s="44"/>
      <c r="VUR41" s="44"/>
      <c r="VUS41" s="44"/>
      <c r="VUT41" s="44"/>
      <c r="VUU41" s="44"/>
      <c r="VUV41" s="44"/>
      <c r="VUW41" s="44"/>
      <c r="VUX41" s="44"/>
      <c r="VUY41" s="44"/>
      <c r="VUZ41" s="44"/>
      <c r="VVA41" s="44"/>
      <c r="VVB41" s="44"/>
      <c r="VVC41" s="44"/>
      <c r="VVD41" s="44"/>
      <c r="VVE41" s="44"/>
      <c r="VVF41" s="44"/>
      <c r="VVG41" s="44"/>
      <c r="VVH41" s="44"/>
      <c r="VVI41" s="44"/>
      <c r="VVJ41" s="44"/>
      <c r="VVK41" s="44"/>
      <c r="VVL41" s="44"/>
      <c r="VVM41" s="44"/>
      <c r="VVN41" s="44"/>
      <c r="VVO41" s="44"/>
      <c r="VVP41" s="44"/>
      <c r="VVQ41" s="44"/>
      <c r="VVR41" s="44"/>
      <c r="VVS41" s="44"/>
      <c r="VVT41" s="44"/>
      <c r="VVU41" s="44"/>
      <c r="VVV41" s="44"/>
      <c r="VVW41" s="44"/>
      <c r="VVX41" s="44"/>
      <c r="VVY41" s="44"/>
      <c r="VVZ41" s="44"/>
      <c r="VWA41" s="44"/>
      <c r="VWB41" s="44"/>
      <c r="VWC41" s="44"/>
      <c r="VWD41" s="44"/>
      <c r="VWE41" s="44"/>
      <c r="VWF41" s="44"/>
      <c r="VWG41" s="44"/>
      <c r="VWH41" s="44"/>
      <c r="VWI41" s="44"/>
      <c r="VWJ41" s="44"/>
      <c r="VWK41" s="44"/>
      <c r="VWL41" s="44"/>
      <c r="VWM41" s="44"/>
      <c r="VWN41" s="44"/>
      <c r="VWO41" s="44"/>
      <c r="VWP41" s="44"/>
      <c r="VWQ41" s="44"/>
      <c r="VWR41" s="44"/>
      <c r="VWS41" s="44"/>
      <c r="VWT41" s="44"/>
      <c r="VWU41" s="44"/>
      <c r="VWV41" s="44"/>
      <c r="VWW41" s="44"/>
      <c r="VWX41" s="44"/>
      <c r="VWY41" s="44"/>
      <c r="VWZ41" s="44"/>
      <c r="VXA41" s="44"/>
      <c r="VXB41" s="44"/>
      <c r="VXC41" s="44"/>
      <c r="VXD41" s="44"/>
      <c r="VXE41" s="44"/>
      <c r="VXF41" s="44"/>
      <c r="VXG41" s="44"/>
      <c r="VXH41" s="44"/>
      <c r="VXI41" s="44"/>
      <c r="VXJ41" s="44"/>
      <c r="VXK41" s="44"/>
      <c r="VXL41" s="44"/>
      <c r="VXM41" s="44"/>
      <c r="VXN41" s="44"/>
      <c r="VXO41" s="44"/>
      <c r="VXP41" s="44"/>
      <c r="VXQ41" s="44"/>
      <c r="VXR41" s="44"/>
      <c r="VXS41" s="44"/>
      <c r="VXT41" s="44"/>
      <c r="VXU41" s="44"/>
      <c r="VXV41" s="44"/>
      <c r="VXW41" s="44"/>
      <c r="VXX41" s="44"/>
      <c r="VXY41" s="44"/>
      <c r="VXZ41" s="44"/>
      <c r="VYA41" s="44"/>
      <c r="VYB41" s="44"/>
      <c r="VYC41" s="44"/>
      <c r="VYD41" s="44"/>
      <c r="VYE41" s="44"/>
      <c r="VYF41" s="44"/>
      <c r="VYG41" s="44"/>
      <c r="VYH41" s="44"/>
      <c r="VYI41" s="44"/>
      <c r="VYJ41" s="44"/>
      <c r="VYK41" s="44"/>
      <c r="VYL41" s="44"/>
      <c r="VYM41" s="44"/>
      <c r="VYN41" s="44"/>
      <c r="VYO41" s="44"/>
      <c r="VYP41" s="44"/>
      <c r="VYQ41" s="44"/>
      <c r="VYR41" s="44"/>
      <c r="VYS41" s="44"/>
      <c r="VYT41" s="44"/>
      <c r="VYU41" s="44"/>
      <c r="VYV41" s="44"/>
      <c r="VYW41" s="44"/>
      <c r="VYX41" s="44"/>
      <c r="VYY41" s="44"/>
      <c r="VYZ41" s="44"/>
      <c r="VZA41" s="44"/>
      <c r="VZB41" s="44"/>
      <c r="VZC41" s="44"/>
      <c r="VZD41" s="44"/>
      <c r="VZE41" s="44"/>
      <c r="VZF41" s="44"/>
      <c r="VZG41" s="44"/>
      <c r="VZH41" s="44"/>
      <c r="VZI41" s="44"/>
      <c r="VZJ41" s="44"/>
      <c r="VZK41" s="44"/>
      <c r="VZL41" s="44"/>
      <c r="VZM41" s="44"/>
      <c r="VZN41" s="44"/>
      <c r="VZO41" s="44"/>
      <c r="VZP41" s="44"/>
      <c r="VZQ41" s="44"/>
      <c r="VZR41" s="44"/>
      <c r="VZS41" s="44"/>
      <c r="VZT41" s="44"/>
      <c r="VZU41" s="44"/>
      <c r="VZV41" s="44"/>
      <c r="VZW41" s="44"/>
      <c r="VZX41" s="44"/>
      <c r="VZY41" s="44"/>
      <c r="VZZ41" s="44"/>
      <c r="WAA41" s="44"/>
      <c r="WAB41" s="44"/>
      <c r="WAC41" s="44"/>
      <c r="WAD41" s="44"/>
      <c r="WAE41" s="44"/>
      <c r="WAF41" s="44"/>
      <c r="WAG41" s="44"/>
      <c r="WAH41" s="44"/>
      <c r="WAI41" s="44"/>
      <c r="WAJ41" s="44"/>
      <c r="WAK41" s="44"/>
      <c r="WAL41" s="44"/>
      <c r="WAM41" s="44"/>
      <c r="WAN41" s="44"/>
      <c r="WAO41" s="44"/>
      <c r="WAP41" s="44"/>
      <c r="WAQ41" s="44"/>
      <c r="WAR41" s="44"/>
      <c r="WAS41" s="44"/>
      <c r="WAT41" s="44"/>
      <c r="WAU41" s="44"/>
      <c r="WAV41" s="44"/>
      <c r="WAW41" s="44"/>
      <c r="WAX41" s="44"/>
      <c r="WAY41" s="44"/>
      <c r="WAZ41" s="44"/>
      <c r="WBA41" s="44"/>
      <c r="WBB41" s="44"/>
      <c r="WBC41" s="44"/>
      <c r="WBD41" s="44"/>
      <c r="WBE41" s="44"/>
      <c r="WBF41" s="44"/>
      <c r="WBG41" s="44"/>
      <c r="WBH41" s="44"/>
      <c r="WBI41" s="44"/>
      <c r="WBJ41" s="44"/>
      <c r="WBK41" s="44"/>
      <c r="WBL41" s="44"/>
      <c r="WBM41" s="44"/>
      <c r="WBN41" s="44"/>
      <c r="WBO41" s="44"/>
      <c r="WBP41" s="44"/>
      <c r="WBQ41" s="44"/>
      <c r="WBR41" s="44"/>
      <c r="WBS41" s="44"/>
      <c r="WBT41" s="44"/>
      <c r="WBU41" s="44"/>
      <c r="WBV41" s="44"/>
      <c r="WBW41" s="44"/>
      <c r="WBX41" s="44"/>
      <c r="WBY41" s="44"/>
      <c r="WBZ41" s="44"/>
      <c r="WCA41" s="44"/>
      <c r="WCB41" s="44"/>
      <c r="WCC41" s="44"/>
      <c r="WCD41" s="44"/>
      <c r="WCE41" s="44"/>
      <c r="WCF41" s="44"/>
      <c r="WCG41" s="44"/>
      <c r="WCH41" s="44"/>
      <c r="WCI41" s="44"/>
      <c r="WCJ41" s="44"/>
      <c r="WCK41" s="44"/>
      <c r="WCL41" s="44"/>
      <c r="WCM41" s="44"/>
      <c r="WCN41" s="44"/>
      <c r="WCO41" s="44"/>
      <c r="WCP41" s="44"/>
      <c r="WCQ41" s="44"/>
      <c r="WCR41" s="44"/>
      <c r="WCS41" s="44"/>
      <c r="WCT41" s="44"/>
      <c r="WCU41" s="44"/>
      <c r="WCV41" s="44"/>
      <c r="WCW41" s="44"/>
      <c r="WCX41" s="44"/>
      <c r="WCY41" s="44"/>
      <c r="WCZ41" s="44"/>
      <c r="WDA41" s="44"/>
      <c r="WDB41" s="44"/>
      <c r="WDC41" s="44"/>
      <c r="WDD41" s="44"/>
      <c r="WDE41" s="44"/>
      <c r="WDF41" s="44"/>
      <c r="WDG41" s="44"/>
      <c r="WDH41" s="44"/>
      <c r="WDI41" s="44"/>
      <c r="WDJ41" s="44"/>
      <c r="WDK41" s="44"/>
      <c r="WDL41" s="44"/>
      <c r="WDM41" s="44"/>
      <c r="WDN41" s="44"/>
      <c r="WDO41" s="44"/>
      <c r="WDP41" s="44"/>
      <c r="WDQ41" s="44"/>
      <c r="WDR41" s="44"/>
      <c r="WDS41" s="44"/>
      <c r="WDT41" s="44"/>
      <c r="WDU41" s="44"/>
      <c r="WDV41" s="44"/>
      <c r="WDW41" s="44"/>
      <c r="WDX41" s="44"/>
      <c r="WDY41" s="44"/>
      <c r="WDZ41" s="44"/>
      <c r="WEA41" s="44"/>
      <c r="WEB41" s="44"/>
      <c r="WEC41" s="44"/>
      <c r="WED41" s="44"/>
      <c r="WEE41" s="44"/>
      <c r="WEF41" s="44"/>
      <c r="WEG41" s="44"/>
      <c r="WEH41" s="44"/>
      <c r="WEI41" s="44"/>
      <c r="WEJ41" s="44"/>
      <c r="WEK41" s="44"/>
      <c r="WEL41" s="44"/>
      <c r="WEM41" s="44"/>
      <c r="WEN41" s="44"/>
      <c r="WEO41" s="44"/>
      <c r="WEP41" s="44"/>
      <c r="WEQ41" s="44"/>
      <c r="WER41" s="44"/>
      <c r="WES41" s="44"/>
      <c r="WET41" s="44"/>
      <c r="WEU41" s="44"/>
      <c r="WEV41" s="44"/>
      <c r="WEW41" s="44"/>
      <c r="WEX41" s="44"/>
      <c r="WEY41" s="44"/>
      <c r="WEZ41" s="44"/>
      <c r="WFA41" s="44"/>
      <c r="WFB41" s="44"/>
      <c r="WFC41" s="44"/>
      <c r="WFD41" s="44"/>
      <c r="WFE41" s="44"/>
      <c r="WFF41" s="44"/>
      <c r="WFG41" s="44"/>
      <c r="WFH41" s="44"/>
      <c r="WFI41" s="44"/>
      <c r="WFJ41" s="44"/>
      <c r="WFK41" s="44"/>
      <c r="WFL41" s="44"/>
      <c r="WFM41" s="44"/>
      <c r="WFN41" s="44"/>
      <c r="WFO41" s="44"/>
      <c r="WFP41" s="44"/>
      <c r="WFQ41" s="44"/>
      <c r="WFR41" s="44"/>
      <c r="WFS41" s="44"/>
      <c r="WFT41" s="44"/>
      <c r="WFU41" s="44"/>
      <c r="WFV41" s="44"/>
      <c r="WFW41" s="44"/>
      <c r="WFX41" s="44"/>
      <c r="WFY41" s="44"/>
      <c r="WFZ41" s="44"/>
      <c r="WGA41" s="44"/>
      <c r="WGB41" s="44"/>
      <c r="WGC41" s="44"/>
      <c r="WGD41" s="44"/>
      <c r="WGE41" s="44"/>
      <c r="WGF41" s="44"/>
      <c r="WGG41" s="44"/>
      <c r="WGH41" s="44"/>
      <c r="WGI41" s="44"/>
      <c r="WGJ41" s="44"/>
      <c r="WGK41" s="44"/>
      <c r="WGL41" s="44"/>
      <c r="WGM41" s="44"/>
      <c r="WGN41" s="44"/>
      <c r="WGO41" s="44"/>
      <c r="WGP41" s="44"/>
      <c r="WGQ41" s="44"/>
      <c r="WGR41" s="44"/>
      <c r="WGS41" s="44"/>
      <c r="WGT41" s="44"/>
      <c r="WGU41" s="44"/>
      <c r="WGV41" s="44"/>
      <c r="WGW41" s="44"/>
      <c r="WGX41" s="44"/>
      <c r="WGY41" s="44"/>
      <c r="WGZ41" s="44"/>
      <c r="WHA41" s="44"/>
      <c r="WHB41" s="44"/>
      <c r="WHC41" s="44"/>
      <c r="WHD41" s="44"/>
      <c r="WHE41" s="44"/>
      <c r="WHF41" s="44"/>
      <c r="WHG41" s="44"/>
      <c r="WHH41" s="44"/>
      <c r="WHI41" s="44"/>
      <c r="WHJ41" s="44"/>
      <c r="WHK41" s="44"/>
      <c r="WHL41" s="44"/>
      <c r="WHM41" s="44"/>
      <c r="WHN41" s="44"/>
      <c r="WHO41" s="44"/>
      <c r="WHP41" s="44"/>
      <c r="WHQ41" s="44"/>
      <c r="WHR41" s="44"/>
      <c r="WHS41" s="44"/>
      <c r="WHT41" s="44"/>
      <c r="WHU41" s="44"/>
      <c r="WHV41" s="44"/>
      <c r="WHW41" s="44"/>
      <c r="WHX41" s="44"/>
      <c r="WHY41" s="44"/>
      <c r="WHZ41" s="44"/>
      <c r="WIA41" s="44"/>
      <c r="WIB41" s="44"/>
      <c r="WIC41" s="44"/>
      <c r="WID41" s="44"/>
      <c r="WIE41" s="44"/>
      <c r="WIF41" s="44"/>
      <c r="WIG41" s="44"/>
      <c r="WIH41" s="44"/>
      <c r="WII41" s="44"/>
      <c r="WIJ41" s="44"/>
      <c r="WIK41" s="44"/>
      <c r="WIL41" s="44"/>
      <c r="WIM41" s="44"/>
      <c r="WIN41" s="44"/>
      <c r="WIO41" s="44"/>
      <c r="WIP41" s="44"/>
      <c r="WIQ41" s="44"/>
      <c r="WIR41" s="44"/>
      <c r="WIS41" s="44"/>
      <c r="WIT41" s="44"/>
      <c r="WIU41" s="44"/>
      <c r="WIV41" s="44"/>
      <c r="WIW41" s="44"/>
      <c r="WIX41" s="44"/>
      <c r="WIY41" s="44"/>
      <c r="WIZ41" s="44"/>
      <c r="WJA41" s="44"/>
      <c r="WJB41" s="44"/>
      <c r="WJC41" s="44"/>
      <c r="WJD41" s="44"/>
      <c r="WJE41" s="44"/>
      <c r="WJF41" s="44"/>
      <c r="WJG41" s="44"/>
      <c r="WJH41" s="44"/>
      <c r="WJI41" s="44"/>
      <c r="WJJ41" s="44"/>
      <c r="WJK41" s="44"/>
      <c r="WJL41" s="44"/>
      <c r="WJM41" s="44"/>
      <c r="WJN41" s="44"/>
      <c r="WJO41" s="44"/>
      <c r="WJP41" s="44"/>
      <c r="WJQ41" s="44"/>
      <c r="WJR41" s="44"/>
      <c r="WJS41" s="44"/>
      <c r="WJT41" s="44"/>
      <c r="WJU41" s="44"/>
      <c r="WJV41" s="44"/>
      <c r="WJW41" s="44"/>
      <c r="WJX41" s="44"/>
      <c r="WJY41" s="44"/>
      <c r="WJZ41" s="44"/>
      <c r="WKA41" s="44"/>
      <c r="WKB41" s="44"/>
      <c r="WKC41" s="44"/>
      <c r="WKD41" s="44"/>
      <c r="WKE41" s="44"/>
      <c r="WKF41" s="44"/>
      <c r="WKG41" s="44"/>
      <c r="WKH41" s="44"/>
      <c r="WKI41" s="44"/>
      <c r="WKJ41" s="44"/>
      <c r="WKK41" s="44"/>
      <c r="WKL41" s="44"/>
      <c r="WKM41" s="44"/>
      <c r="WKN41" s="44"/>
      <c r="WKO41" s="44"/>
      <c r="WKP41" s="44"/>
      <c r="WKQ41" s="44"/>
      <c r="WKR41" s="44"/>
      <c r="WKS41" s="44"/>
      <c r="WKT41" s="44"/>
      <c r="WKU41" s="44"/>
      <c r="WKV41" s="44"/>
      <c r="WKW41" s="44"/>
      <c r="WKX41" s="44"/>
      <c r="WKY41" s="44"/>
      <c r="WKZ41" s="44"/>
      <c r="WLA41" s="44"/>
      <c r="WLB41" s="44"/>
      <c r="WLC41" s="44"/>
      <c r="WLD41" s="44"/>
      <c r="WLE41" s="44"/>
      <c r="WLF41" s="44"/>
      <c r="WLG41" s="44"/>
      <c r="WLH41" s="44"/>
      <c r="WLI41" s="44"/>
      <c r="WLJ41" s="44"/>
      <c r="WLK41" s="44"/>
      <c r="WLL41" s="44"/>
      <c r="WLM41" s="44"/>
      <c r="WLN41" s="44"/>
      <c r="WLO41" s="44"/>
      <c r="WLP41" s="44"/>
      <c r="WLQ41" s="44"/>
      <c r="WLR41" s="44"/>
      <c r="WLS41" s="44"/>
      <c r="WLT41" s="44"/>
      <c r="WLU41" s="44"/>
      <c r="WLV41" s="44"/>
      <c r="WLW41" s="44"/>
      <c r="WLX41" s="44"/>
      <c r="WLY41" s="44"/>
      <c r="WLZ41" s="44"/>
      <c r="WMA41" s="44"/>
      <c r="WMB41" s="44"/>
      <c r="WMC41" s="44"/>
      <c r="WMD41" s="44"/>
      <c r="WME41" s="44"/>
      <c r="WMF41" s="44"/>
      <c r="WMG41" s="44"/>
      <c r="WMH41" s="44"/>
      <c r="WMI41" s="44"/>
      <c r="WMJ41" s="44"/>
      <c r="WMK41" s="44"/>
      <c r="WML41" s="44"/>
      <c r="WMM41" s="44"/>
      <c r="WMN41" s="44"/>
      <c r="WMO41" s="44"/>
      <c r="WMP41" s="44"/>
      <c r="WMQ41" s="44"/>
      <c r="WMR41" s="44"/>
      <c r="WMS41" s="44"/>
      <c r="WMT41" s="44"/>
      <c r="WMU41" s="44"/>
      <c r="WMV41" s="44"/>
      <c r="WMW41" s="44"/>
      <c r="WMX41" s="44"/>
      <c r="WMY41" s="44"/>
      <c r="WMZ41" s="44"/>
      <c r="WNA41" s="44"/>
      <c r="WNB41" s="44"/>
      <c r="WNC41" s="44"/>
      <c r="WND41" s="44"/>
      <c r="WNE41" s="44"/>
      <c r="WNF41" s="44"/>
      <c r="WNG41" s="44"/>
      <c r="WNH41" s="44"/>
      <c r="WNI41" s="44"/>
      <c r="WNJ41" s="44"/>
      <c r="WNK41" s="44"/>
      <c r="WNL41" s="44"/>
      <c r="WNM41" s="44"/>
      <c r="WNN41" s="44"/>
      <c r="WNO41" s="44"/>
      <c r="WNP41" s="44"/>
      <c r="WNQ41" s="44"/>
      <c r="WNR41" s="44"/>
      <c r="WNS41" s="44"/>
      <c r="WNT41" s="44"/>
      <c r="WNU41" s="44"/>
      <c r="WNV41" s="44"/>
      <c r="WNW41" s="44"/>
      <c r="WNX41" s="44"/>
      <c r="WNY41" s="44"/>
      <c r="WNZ41" s="44"/>
      <c r="WOA41" s="44"/>
      <c r="WOB41" s="44"/>
      <c r="WOC41" s="44"/>
      <c r="WOD41" s="44"/>
      <c r="WOE41" s="44"/>
      <c r="WOF41" s="44"/>
      <c r="WOG41" s="44"/>
      <c r="WOH41" s="44"/>
      <c r="WOI41" s="44"/>
      <c r="WOJ41" s="44"/>
      <c r="WOK41" s="44"/>
      <c r="WOL41" s="44"/>
      <c r="WOM41" s="44"/>
      <c r="WON41" s="44"/>
      <c r="WOO41" s="44"/>
      <c r="WOP41" s="44"/>
      <c r="WOQ41" s="44"/>
      <c r="WOR41" s="44"/>
      <c r="WOS41" s="44"/>
      <c r="WOT41" s="44"/>
      <c r="WOU41" s="44"/>
      <c r="WOV41" s="44"/>
      <c r="WOW41" s="44"/>
      <c r="WOX41" s="44"/>
      <c r="WOY41" s="44"/>
      <c r="WOZ41" s="44"/>
      <c r="WPA41" s="44"/>
      <c r="WPB41" s="44"/>
      <c r="WPC41" s="44"/>
      <c r="WPD41" s="44"/>
      <c r="WPE41" s="44"/>
      <c r="WPF41" s="44"/>
      <c r="WPG41" s="44"/>
      <c r="WPH41" s="44"/>
      <c r="WPI41" s="44"/>
      <c r="WPJ41" s="44"/>
      <c r="WPK41" s="44"/>
      <c r="WPL41" s="44"/>
      <c r="WPM41" s="44"/>
      <c r="WPN41" s="44"/>
      <c r="WPO41" s="44"/>
      <c r="WPP41" s="44"/>
      <c r="WPQ41" s="44"/>
      <c r="WPR41" s="44"/>
      <c r="WPS41" s="44"/>
      <c r="WPT41" s="44"/>
      <c r="WPU41" s="44"/>
      <c r="WPV41" s="44"/>
      <c r="WPW41" s="44"/>
      <c r="WPX41" s="44"/>
      <c r="WPY41" s="44"/>
      <c r="WPZ41" s="44"/>
      <c r="WQA41" s="44"/>
      <c r="WQB41" s="44"/>
      <c r="WQC41" s="44"/>
      <c r="WQD41" s="44"/>
      <c r="WQE41" s="44"/>
      <c r="WQF41" s="44"/>
      <c r="WQG41" s="44"/>
      <c r="WQH41" s="44"/>
      <c r="WQI41" s="44"/>
      <c r="WQJ41" s="44"/>
      <c r="WQK41" s="44"/>
      <c r="WQL41" s="44"/>
      <c r="WQM41" s="44"/>
      <c r="WQN41" s="44"/>
      <c r="WQO41" s="44"/>
      <c r="WQP41" s="44"/>
      <c r="WQQ41" s="44"/>
      <c r="WQR41" s="44"/>
      <c r="WQS41" s="44"/>
      <c r="WQT41" s="44"/>
      <c r="WQU41" s="44"/>
      <c r="WQV41" s="44"/>
      <c r="WQW41" s="44"/>
      <c r="WQX41" s="44"/>
      <c r="WQY41" s="44"/>
      <c r="WQZ41" s="44"/>
      <c r="WRA41" s="44"/>
      <c r="WRB41" s="44"/>
      <c r="WRC41" s="44"/>
      <c r="WRD41" s="44"/>
      <c r="WRE41" s="44"/>
      <c r="WRF41" s="44"/>
      <c r="WRG41" s="44"/>
      <c r="WRH41" s="44"/>
      <c r="WRI41" s="44"/>
      <c r="WRJ41" s="44"/>
      <c r="WRK41" s="44"/>
      <c r="WRL41" s="44"/>
      <c r="WRM41" s="44"/>
      <c r="WRN41" s="44"/>
      <c r="WRO41" s="44"/>
      <c r="WRP41" s="44"/>
      <c r="WRQ41" s="44"/>
      <c r="WRR41" s="44"/>
      <c r="WRS41" s="44"/>
      <c r="WRT41" s="44"/>
      <c r="WRU41" s="44"/>
      <c r="WRV41" s="44"/>
      <c r="WRW41" s="44"/>
      <c r="WRX41" s="44"/>
      <c r="WRY41" s="44"/>
      <c r="WRZ41" s="44"/>
      <c r="WSA41" s="44"/>
      <c r="WSB41" s="44"/>
      <c r="WSC41" s="44"/>
      <c r="WSD41" s="44"/>
      <c r="WSE41" s="44"/>
      <c r="WSF41" s="44"/>
      <c r="WSG41" s="44"/>
      <c r="WSH41" s="44"/>
      <c r="WSI41" s="44"/>
      <c r="WSJ41" s="44"/>
      <c r="WSK41" s="44"/>
      <c r="WSL41" s="44"/>
      <c r="WSM41" s="44"/>
      <c r="WSN41" s="44"/>
      <c r="WSO41" s="44"/>
      <c r="WSP41" s="44"/>
      <c r="WSQ41" s="44"/>
      <c r="WSR41" s="44"/>
      <c r="WSS41" s="44"/>
      <c r="WST41" s="44"/>
      <c r="WSU41" s="44"/>
      <c r="WSV41" s="44"/>
      <c r="WSW41" s="44"/>
      <c r="WSX41" s="44"/>
      <c r="WSY41" s="44"/>
      <c r="WSZ41" s="44"/>
      <c r="WTA41" s="44"/>
      <c r="WTB41" s="44"/>
      <c r="WTC41" s="44"/>
      <c r="WTD41" s="44"/>
      <c r="WTE41" s="44"/>
      <c r="WTF41" s="44"/>
      <c r="WTG41" s="44"/>
      <c r="WTH41" s="44"/>
      <c r="WTI41" s="44"/>
      <c r="WTJ41" s="44"/>
      <c r="WTK41" s="44"/>
      <c r="WTL41" s="44"/>
      <c r="WTM41" s="44"/>
      <c r="WTN41" s="44"/>
      <c r="WTO41" s="44"/>
      <c r="WTP41" s="44"/>
      <c r="WTQ41" s="44"/>
      <c r="WTR41" s="44"/>
      <c r="WTS41" s="44"/>
      <c r="WTT41" s="44"/>
      <c r="WTU41" s="44"/>
      <c r="WTV41" s="44"/>
      <c r="WTW41" s="44"/>
      <c r="WTX41" s="44"/>
      <c r="WTY41" s="44"/>
      <c r="WTZ41" s="44"/>
      <c r="WUA41" s="44"/>
      <c r="WUB41" s="44"/>
      <c r="WUC41" s="44"/>
      <c r="WUD41" s="44"/>
      <c r="WUE41" s="44"/>
      <c r="WUF41" s="44"/>
      <c r="WUG41" s="44"/>
      <c r="WUH41" s="44"/>
      <c r="WUI41" s="44"/>
      <c r="WUJ41" s="44"/>
      <c r="WUK41" s="44"/>
      <c r="WUL41" s="44"/>
      <c r="WUM41" s="44"/>
      <c r="WUN41" s="44"/>
      <c r="WUO41" s="44"/>
      <c r="WUP41" s="44"/>
      <c r="WUQ41" s="44"/>
      <c r="WUR41" s="44"/>
      <c r="WUS41" s="44"/>
      <c r="WUT41" s="44"/>
      <c r="WUU41" s="44"/>
      <c r="WUV41" s="44"/>
      <c r="WUW41" s="44"/>
      <c r="WUX41" s="44"/>
      <c r="WUY41" s="44"/>
      <c r="WUZ41" s="44"/>
      <c r="WVA41" s="44"/>
      <c r="WVB41" s="44"/>
      <c r="WVC41" s="44"/>
      <c r="WVD41" s="44"/>
      <c r="WVE41" s="44"/>
      <c r="WVF41" s="44"/>
      <c r="WVG41" s="44"/>
      <c r="WVH41" s="44"/>
      <c r="WVI41" s="44"/>
      <c r="WVJ41" s="44"/>
      <c r="WVK41" s="44"/>
      <c r="WVL41" s="44"/>
      <c r="WVM41" s="44"/>
      <c r="WVN41" s="44"/>
      <c r="WVO41" s="44"/>
      <c r="WVP41" s="44"/>
      <c r="WVQ41" s="44"/>
      <c r="WVR41" s="44"/>
      <c r="WVS41" s="44"/>
      <c r="WVT41" s="44"/>
      <c r="WVU41" s="44"/>
      <c r="WVV41" s="44"/>
      <c r="WVW41" s="44"/>
      <c r="WVX41" s="44"/>
      <c r="WVY41" s="44"/>
      <c r="WVZ41" s="44"/>
      <c r="WWA41" s="44"/>
      <c r="WWB41" s="44"/>
      <c r="WWC41" s="44"/>
      <c r="WWD41" s="44"/>
      <c r="WWE41" s="44"/>
      <c r="WWF41" s="44"/>
      <c r="WWG41" s="44"/>
      <c r="WWH41" s="44"/>
      <c r="WWI41" s="44"/>
      <c r="WWJ41" s="44"/>
      <c r="WWK41" s="44"/>
      <c r="WWL41" s="44"/>
      <c r="WWM41" s="44"/>
      <c r="WWN41" s="44"/>
      <c r="WWO41" s="44"/>
      <c r="WWP41" s="44"/>
      <c r="WWQ41" s="44"/>
      <c r="WWR41" s="44"/>
      <c r="WWS41" s="44"/>
      <c r="WWT41" s="44"/>
      <c r="WWU41" s="44"/>
      <c r="WWV41" s="44"/>
      <c r="WWW41" s="44"/>
      <c r="WWX41" s="44"/>
      <c r="WWY41" s="44"/>
      <c r="WWZ41" s="44"/>
      <c r="WXA41" s="44"/>
      <c r="WXB41" s="44"/>
      <c r="WXC41" s="44"/>
      <c r="WXD41" s="44"/>
      <c r="WXE41" s="44"/>
      <c r="WXF41" s="44"/>
      <c r="WXG41" s="44"/>
      <c r="WXH41" s="44"/>
      <c r="WXI41" s="44"/>
      <c r="WXJ41" s="44"/>
      <c r="WXK41" s="44"/>
      <c r="WXL41" s="44"/>
      <c r="WXM41" s="44"/>
      <c r="WXN41" s="44"/>
      <c r="WXO41" s="44"/>
      <c r="WXP41" s="44"/>
      <c r="WXQ41" s="44"/>
      <c r="WXR41" s="44"/>
      <c r="WXS41" s="44"/>
      <c r="WXT41" s="44"/>
      <c r="WXU41" s="44"/>
      <c r="WXV41" s="44"/>
      <c r="WXW41" s="44"/>
      <c r="WXX41" s="44"/>
      <c r="WXY41" s="44"/>
      <c r="WXZ41" s="44"/>
      <c r="WYA41" s="44"/>
      <c r="WYB41" s="44"/>
      <c r="WYC41" s="44"/>
      <c r="WYD41" s="44"/>
      <c r="WYE41" s="44"/>
      <c r="WYF41" s="44"/>
      <c r="WYG41" s="44"/>
      <c r="WYH41" s="44"/>
      <c r="WYI41" s="44"/>
      <c r="WYJ41" s="44"/>
      <c r="WYK41" s="44"/>
      <c r="WYL41" s="44"/>
      <c r="WYM41" s="44"/>
      <c r="WYN41" s="44"/>
      <c r="WYO41" s="44"/>
      <c r="WYP41" s="44"/>
      <c r="WYQ41" s="44"/>
      <c r="WYR41" s="44"/>
      <c r="WYS41" s="44"/>
      <c r="WYT41" s="44"/>
      <c r="WYU41" s="44"/>
      <c r="WYV41" s="44"/>
      <c r="WYW41" s="44"/>
      <c r="WYX41" s="44"/>
      <c r="WYY41" s="44"/>
      <c r="WYZ41" s="44"/>
      <c r="WZA41" s="44"/>
      <c r="WZB41" s="44"/>
      <c r="WZC41" s="44"/>
      <c r="WZD41" s="44"/>
      <c r="WZE41" s="44"/>
      <c r="WZF41" s="44"/>
      <c r="WZG41" s="44"/>
      <c r="WZH41" s="44"/>
      <c r="WZI41" s="44"/>
      <c r="WZJ41" s="44"/>
      <c r="WZK41" s="44"/>
      <c r="WZL41" s="44"/>
      <c r="WZM41" s="44"/>
      <c r="WZN41" s="44"/>
      <c r="WZO41" s="44"/>
      <c r="WZP41" s="44"/>
      <c r="WZQ41" s="44"/>
      <c r="WZR41" s="44"/>
      <c r="WZS41" s="44"/>
      <c r="WZT41" s="44"/>
      <c r="WZU41" s="44"/>
      <c r="WZV41" s="44"/>
      <c r="WZW41" s="44"/>
      <c r="WZX41" s="44"/>
      <c r="WZY41" s="44"/>
      <c r="WZZ41" s="44"/>
      <c r="XAA41" s="44"/>
      <c r="XAB41" s="44"/>
      <c r="XAC41" s="44"/>
      <c r="XAD41" s="44"/>
      <c r="XAE41" s="44"/>
      <c r="XAF41" s="44"/>
      <c r="XAG41" s="44"/>
      <c r="XAH41" s="44"/>
      <c r="XAI41" s="44"/>
      <c r="XAJ41" s="44"/>
      <c r="XAK41" s="44"/>
      <c r="XAL41" s="44"/>
      <c r="XAM41" s="44"/>
      <c r="XAN41" s="44"/>
      <c r="XAO41" s="44"/>
      <c r="XAP41" s="44"/>
      <c r="XAQ41" s="44"/>
      <c r="XAR41" s="44"/>
      <c r="XAS41" s="44"/>
      <c r="XAT41" s="44"/>
      <c r="XAU41" s="44"/>
      <c r="XAV41" s="44"/>
      <c r="XAW41" s="44"/>
      <c r="XAX41" s="44"/>
      <c r="XAY41" s="44"/>
      <c r="XAZ41" s="44"/>
      <c r="XBA41" s="44"/>
      <c r="XBB41" s="44"/>
      <c r="XBC41" s="44"/>
      <c r="XBD41" s="44"/>
      <c r="XBE41" s="44"/>
      <c r="XBF41" s="44"/>
      <c r="XBG41" s="44"/>
      <c r="XBH41" s="44"/>
      <c r="XBI41" s="44"/>
      <c r="XBJ41" s="44"/>
      <c r="XBK41" s="44"/>
      <c r="XBL41" s="44"/>
      <c r="XBM41" s="44"/>
      <c r="XBN41" s="44"/>
      <c r="XBO41" s="44"/>
      <c r="XBP41" s="44"/>
      <c r="XBQ41" s="44"/>
      <c r="XBR41" s="44"/>
      <c r="XBS41" s="44"/>
      <c r="XBT41" s="44"/>
      <c r="XBU41" s="44"/>
      <c r="XBV41" s="44"/>
      <c r="XBW41" s="44"/>
      <c r="XBX41" s="44"/>
      <c r="XBY41" s="44"/>
      <c r="XBZ41" s="44"/>
      <c r="XCA41" s="44"/>
      <c r="XCB41" s="44"/>
      <c r="XCC41" s="44"/>
      <c r="XCD41" s="44"/>
      <c r="XCE41" s="44"/>
      <c r="XCF41" s="44"/>
      <c r="XCG41" s="44"/>
      <c r="XCH41" s="44"/>
      <c r="XCI41" s="44"/>
      <c r="XCJ41" s="44"/>
      <c r="XCK41" s="44"/>
      <c r="XCL41" s="44"/>
      <c r="XCM41" s="44"/>
      <c r="XCN41" s="44"/>
      <c r="XCO41" s="44"/>
      <c r="XCP41" s="44"/>
      <c r="XCQ41" s="44"/>
      <c r="XCR41" s="44"/>
      <c r="XCS41" s="44"/>
      <c r="XCT41" s="44"/>
      <c r="XCU41" s="44"/>
      <c r="XCV41" s="44"/>
      <c r="XCW41" s="44"/>
      <c r="XCX41" s="44"/>
      <c r="XCY41" s="44"/>
      <c r="XCZ41" s="44"/>
      <c r="XDA41" s="44"/>
      <c r="XDB41" s="44"/>
      <c r="XDC41" s="44"/>
      <c r="XDD41" s="44"/>
      <c r="XDE41" s="44"/>
      <c r="XDF41" s="44"/>
      <c r="XDG41" s="44"/>
      <c r="XDH41" s="44"/>
      <c r="XDI41" s="44"/>
      <c r="XDJ41" s="44"/>
      <c r="XDK41" s="44"/>
      <c r="XDL41" s="44"/>
      <c r="XDM41" s="44"/>
      <c r="XDN41" s="44"/>
      <c r="XDO41" s="44"/>
      <c r="XDP41" s="44"/>
      <c r="XDQ41" s="44"/>
      <c r="XDR41" s="44"/>
      <c r="XDS41" s="44"/>
      <c r="XDT41" s="44"/>
      <c r="XDU41" s="44"/>
      <c r="XDV41" s="44"/>
      <c r="XDW41" s="44"/>
      <c r="XDX41" s="44"/>
      <c r="XDY41" s="44"/>
      <c r="XDZ41" s="44"/>
      <c r="XEA41" s="44"/>
      <c r="XEB41" s="44"/>
      <c r="XEC41" s="44"/>
      <c r="XED41" s="44"/>
      <c r="XEE41" s="44"/>
      <c r="XEF41" s="44"/>
      <c r="XEG41" s="44"/>
      <c r="XEH41" s="44"/>
      <c r="XEI41" s="44"/>
      <c r="XEJ41" s="44"/>
      <c r="XEK41" s="44"/>
      <c r="XEL41" s="44"/>
      <c r="XEM41" s="44"/>
      <c r="XEN41" s="44"/>
      <c r="XEO41" s="44"/>
      <c r="XEP41" s="44"/>
      <c r="XEQ41" s="44"/>
      <c r="XER41" s="44"/>
      <c r="XES41" s="44"/>
      <c r="XET41" s="44"/>
      <c r="XEU41" s="44"/>
      <c r="XEV41" s="44"/>
      <c r="XEW41" s="44"/>
      <c r="XEX41" s="44"/>
      <c r="XEY41" s="44"/>
      <c r="XEZ41" s="44"/>
      <c r="XFA41" s="44"/>
      <c r="XFB41" s="44"/>
      <c r="XFC41" s="44"/>
    </row>
    <row r="42" spans="3:16383">
      <c r="C42" s="19" t="s">
        <v>40</v>
      </c>
      <c r="E42" s="43" t="s">
        <v>187</v>
      </c>
      <c r="G42" s="44">
        <v>22.005404036139492</v>
      </c>
      <c r="H42" s="44"/>
      <c r="I42" s="44"/>
      <c r="J42" s="44"/>
      <c r="K42" s="44">
        <f t="shared" ref="K42" si="27">K102*(K96-EOMONTH(K96,-12))/K62</f>
        <v>135.4897543182062</v>
      </c>
      <c r="L42" s="44">
        <v>130</v>
      </c>
      <c r="M42" s="496">
        <f>L42-5</f>
        <v>125</v>
      </c>
      <c r="N42" s="496">
        <f t="shared" ref="N42:V42" si="28">M42-5</f>
        <v>120</v>
      </c>
      <c r="O42" s="496">
        <f t="shared" si="28"/>
        <v>115</v>
      </c>
      <c r="P42" s="496">
        <f t="shared" si="28"/>
        <v>110</v>
      </c>
      <c r="Q42" s="496">
        <f t="shared" si="28"/>
        <v>105</v>
      </c>
      <c r="R42" s="496">
        <f t="shared" si="28"/>
        <v>100</v>
      </c>
      <c r="S42" s="496">
        <f t="shared" si="28"/>
        <v>95</v>
      </c>
      <c r="T42" s="496">
        <f t="shared" si="28"/>
        <v>90</v>
      </c>
      <c r="U42" s="496">
        <f t="shared" si="28"/>
        <v>85</v>
      </c>
      <c r="V42" s="496">
        <f t="shared" si="28"/>
        <v>80</v>
      </c>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c r="CX42" s="44"/>
      <c r="CY42" s="44"/>
      <c r="CZ42" s="44"/>
      <c r="DA42" s="44"/>
      <c r="DB42" s="44"/>
      <c r="DC42" s="44"/>
      <c r="DD42" s="44"/>
      <c r="DE42" s="44"/>
      <c r="DF42" s="44"/>
      <c r="DG42" s="44"/>
      <c r="DH42" s="44"/>
      <c r="DI42" s="44"/>
      <c r="DJ42" s="44"/>
      <c r="DK42" s="44"/>
      <c r="DL42" s="44"/>
      <c r="DM42" s="44"/>
      <c r="DN42" s="44"/>
      <c r="DO42" s="44"/>
      <c r="DP42" s="44"/>
      <c r="DQ42" s="44"/>
      <c r="DR42" s="44"/>
      <c r="DS42" s="44"/>
      <c r="DT42" s="44"/>
      <c r="DU42" s="44"/>
      <c r="DV42" s="44"/>
      <c r="DW42" s="44"/>
      <c r="DX42" s="44"/>
      <c r="DY42" s="44"/>
      <c r="DZ42" s="44"/>
      <c r="EA42" s="44"/>
      <c r="EB42" s="44"/>
      <c r="EC42" s="44"/>
      <c r="ED42" s="44"/>
      <c r="EE42" s="44"/>
      <c r="EF42" s="44"/>
      <c r="EG42" s="44"/>
      <c r="EH42" s="44"/>
      <c r="EI42" s="44"/>
      <c r="EJ42" s="44"/>
      <c r="EK42" s="44"/>
      <c r="EL42" s="44"/>
      <c r="EM42" s="44"/>
      <c r="EN42" s="44"/>
      <c r="EO42" s="44"/>
      <c r="EP42" s="44"/>
      <c r="EQ42" s="44"/>
      <c r="ER42" s="44"/>
      <c r="ES42" s="44"/>
      <c r="ET42" s="44"/>
      <c r="EU42" s="44"/>
      <c r="EV42" s="44"/>
      <c r="EW42" s="44"/>
      <c r="EX42" s="44"/>
      <c r="EY42" s="44"/>
      <c r="EZ42" s="44"/>
      <c r="FA42" s="44"/>
      <c r="FB42" s="44"/>
      <c r="FC42" s="44"/>
      <c r="FD42" s="44"/>
      <c r="FE42" s="44"/>
      <c r="FF42" s="44"/>
      <c r="FG42" s="44"/>
      <c r="FH42" s="44"/>
      <c r="FI42" s="44"/>
      <c r="FJ42" s="44"/>
      <c r="FK42" s="44"/>
      <c r="FL42" s="44"/>
      <c r="FM42" s="44"/>
      <c r="FN42" s="44"/>
      <c r="FO42" s="44"/>
      <c r="FP42" s="44"/>
      <c r="FQ42" s="44"/>
      <c r="FR42" s="44"/>
      <c r="FS42" s="44"/>
      <c r="FT42" s="44"/>
      <c r="FU42" s="44"/>
      <c r="FV42" s="44"/>
      <c r="FW42" s="44"/>
      <c r="FX42" s="44"/>
      <c r="FY42" s="44"/>
      <c r="FZ42" s="44"/>
      <c r="GA42" s="44"/>
      <c r="GB42" s="44"/>
      <c r="GC42" s="44"/>
      <c r="GD42" s="44"/>
      <c r="GE42" s="44"/>
      <c r="GF42" s="44"/>
      <c r="GG42" s="44"/>
      <c r="GH42" s="44"/>
      <c r="GI42" s="44"/>
      <c r="GJ42" s="44"/>
      <c r="GK42" s="44"/>
      <c r="GL42" s="44"/>
      <c r="GM42" s="44"/>
      <c r="GN42" s="44"/>
      <c r="GO42" s="44"/>
      <c r="GP42" s="44"/>
      <c r="GQ42" s="44"/>
      <c r="GR42" s="44"/>
      <c r="GS42" s="44"/>
      <c r="GT42" s="44"/>
      <c r="GU42" s="44"/>
      <c r="GV42" s="44"/>
      <c r="GW42" s="44"/>
      <c r="GX42" s="44"/>
      <c r="GY42" s="44"/>
      <c r="GZ42" s="44"/>
      <c r="HA42" s="44"/>
      <c r="HB42" s="44"/>
      <c r="HC42" s="44"/>
      <c r="HD42" s="44"/>
      <c r="HE42" s="44"/>
      <c r="HF42" s="44"/>
      <c r="HG42" s="44"/>
      <c r="HH42" s="44"/>
      <c r="HI42" s="44"/>
      <c r="HJ42" s="44"/>
      <c r="HK42" s="44"/>
      <c r="HL42" s="44"/>
      <c r="HM42" s="44"/>
      <c r="HN42" s="44"/>
      <c r="HO42" s="44"/>
      <c r="HP42" s="44"/>
      <c r="HQ42" s="44"/>
      <c r="HR42" s="44"/>
      <c r="HS42" s="44"/>
      <c r="HT42" s="44"/>
      <c r="HU42" s="44"/>
      <c r="HV42" s="44"/>
      <c r="HW42" s="44"/>
      <c r="HX42" s="44"/>
      <c r="HY42" s="44"/>
      <c r="HZ42" s="44"/>
      <c r="IA42" s="44"/>
      <c r="IB42" s="44"/>
      <c r="IC42" s="44"/>
      <c r="ID42" s="44"/>
      <c r="IE42" s="44"/>
      <c r="IF42" s="44"/>
      <c r="IG42" s="44"/>
      <c r="IH42" s="44"/>
      <c r="II42" s="44"/>
      <c r="IJ42" s="44"/>
      <c r="IK42" s="44"/>
      <c r="IL42" s="44"/>
      <c r="IM42" s="44"/>
      <c r="IN42" s="44"/>
      <c r="IO42" s="44"/>
      <c r="IP42" s="44"/>
      <c r="IQ42" s="44"/>
      <c r="IR42" s="44"/>
      <c r="IS42" s="44"/>
      <c r="IT42" s="44"/>
      <c r="IU42" s="44"/>
      <c r="IV42" s="44"/>
      <c r="IW42" s="44"/>
      <c r="IX42" s="44"/>
      <c r="IY42" s="44"/>
      <c r="IZ42" s="44"/>
      <c r="JA42" s="44"/>
      <c r="JB42" s="44"/>
      <c r="JC42" s="44"/>
      <c r="JD42" s="44"/>
      <c r="JE42" s="44"/>
      <c r="JF42" s="44"/>
      <c r="JG42" s="44"/>
      <c r="JH42" s="44"/>
      <c r="JI42" s="44"/>
      <c r="JJ42" s="44"/>
      <c r="JK42" s="44"/>
      <c r="JL42" s="44"/>
      <c r="JM42" s="44"/>
      <c r="JN42" s="44"/>
      <c r="JO42" s="44"/>
      <c r="JP42" s="44"/>
      <c r="JQ42" s="44"/>
      <c r="JR42" s="44"/>
      <c r="JS42" s="44"/>
      <c r="JT42" s="44"/>
      <c r="JU42" s="44"/>
      <c r="JV42" s="44"/>
      <c r="JW42" s="44"/>
      <c r="JX42" s="44"/>
      <c r="JY42" s="44"/>
      <c r="JZ42" s="44"/>
      <c r="KA42" s="44"/>
      <c r="KB42" s="44"/>
      <c r="KC42" s="44"/>
      <c r="KD42" s="44"/>
      <c r="KE42" s="44"/>
      <c r="KF42" s="44"/>
      <c r="KG42" s="44"/>
      <c r="KH42" s="44"/>
      <c r="KI42" s="44"/>
      <c r="KJ42" s="44"/>
      <c r="KK42" s="44"/>
      <c r="KL42" s="44"/>
      <c r="KM42" s="44"/>
      <c r="KN42" s="44"/>
      <c r="KO42" s="44"/>
      <c r="KP42" s="44"/>
      <c r="KQ42" s="44"/>
      <c r="KR42" s="44"/>
      <c r="KS42" s="44"/>
      <c r="KT42" s="44"/>
      <c r="KU42" s="44"/>
      <c r="KV42" s="44"/>
      <c r="KW42" s="44"/>
      <c r="KX42" s="44"/>
      <c r="KY42" s="44"/>
      <c r="KZ42" s="44"/>
      <c r="LA42" s="44"/>
      <c r="LB42" s="44"/>
      <c r="LC42" s="44"/>
      <c r="LD42" s="44"/>
      <c r="LE42" s="44"/>
      <c r="LF42" s="44"/>
      <c r="LG42" s="44"/>
      <c r="LH42" s="44"/>
      <c r="LI42" s="44"/>
      <c r="LJ42" s="44"/>
      <c r="LK42" s="44"/>
      <c r="LL42" s="44"/>
      <c r="LM42" s="44"/>
      <c r="LN42" s="44"/>
      <c r="LO42" s="44"/>
      <c r="LP42" s="44"/>
      <c r="LQ42" s="44"/>
      <c r="LR42" s="44"/>
      <c r="LS42" s="44"/>
      <c r="LT42" s="44"/>
      <c r="LU42" s="44"/>
      <c r="LV42" s="44"/>
      <c r="LW42" s="44"/>
      <c r="LX42" s="44"/>
      <c r="LY42" s="44"/>
      <c r="LZ42" s="44"/>
      <c r="MA42" s="44"/>
      <c r="MB42" s="44"/>
      <c r="MC42" s="44"/>
      <c r="MD42" s="44"/>
      <c r="ME42" s="44"/>
      <c r="MF42" s="44"/>
      <c r="MG42" s="44"/>
      <c r="MH42" s="44"/>
      <c r="MI42" s="44"/>
      <c r="MJ42" s="44"/>
      <c r="MK42" s="44"/>
      <c r="ML42" s="44"/>
      <c r="MM42" s="44"/>
      <c r="MN42" s="44"/>
      <c r="MO42" s="44"/>
      <c r="MP42" s="44"/>
      <c r="MQ42" s="44"/>
      <c r="MR42" s="44"/>
      <c r="MS42" s="44"/>
      <c r="MT42" s="44"/>
      <c r="MU42" s="44"/>
      <c r="MV42" s="44"/>
      <c r="MW42" s="44"/>
      <c r="MX42" s="44"/>
      <c r="MY42" s="44"/>
      <c r="MZ42" s="44"/>
      <c r="NA42" s="44"/>
      <c r="NB42" s="44"/>
      <c r="NC42" s="44"/>
      <c r="ND42" s="44"/>
      <c r="NE42" s="44"/>
      <c r="NF42" s="44"/>
      <c r="NG42" s="44"/>
      <c r="NH42" s="44"/>
      <c r="NI42" s="44"/>
      <c r="NJ42" s="44"/>
      <c r="NK42" s="44"/>
      <c r="NL42" s="44"/>
      <c r="NM42" s="44"/>
      <c r="NN42" s="44"/>
      <c r="NO42" s="44"/>
      <c r="NP42" s="44"/>
      <c r="NQ42" s="44"/>
      <c r="NR42" s="44"/>
      <c r="NS42" s="44"/>
      <c r="NT42" s="44"/>
      <c r="NU42" s="44"/>
      <c r="NV42" s="44"/>
      <c r="NW42" s="44"/>
      <c r="NX42" s="44"/>
      <c r="NY42" s="44"/>
      <c r="NZ42" s="44"/>
      <c r="OA42" s="44"/>
      <c r="OB42" s="44"/>
      <c r="OC42" s="44"/>
      <c r="OD42" s="44"/>
      <c r="OE42" s="44"/>
      <c r="OF42" s="44"/>
      <c r="OG42" s="44"/>
      <c r="OH42" s="44"/>
      <c r="OI42" s="44"/>
      <c r="OJ42" s="44"/>
      <c r="OK42" s="44"/>
      <c r="OL42" s="44"/>
      <c r="OM42" s="44"/>
      <c r="ON42" s="44"/>
      <c r="OO42" s="44"/>
      <c r="OP42" s="44"/>
      <c r="OQ42" s="44"/>
      <c r="OR42" s="44"/>
      <c r="OS42" s="44"/>
      <c r="OT42" s="44"/>
      <c r="OU42" s="44"/>
      <c r="OV42" s="44"/>
      <c r="OW42" s="44"/>
      <c r="OX42" s="44"/>
      <c r="OY42" s="44"/>
      <c r="OZ42" s="44"/>
      <c r="PA42" s="44"/>
      <c r="PB42" s="44"/>
      <c r="PC42" s="44"/>
      <c r="PD42" s="44"/>
      <c r="PE42" s="44"/>
      <c r="PF42" s="44"/>
      <c r="PG42" s="44"/>
      <c r="PH42" s="44"/>
      <c r="PI42" s="44"/>
      <c r="PJ42" s="44"/>
      <c r="PK42" s="44"/>
      <c r="PL42" s="44"/>
      <c r="PM42" s="44"/>
      <c r="PN42" s="44"/>
      <c r="PO42" s="44"/>
      <c r="PP42" s="44"/>
      <c r="PQ42" s="44"/>
      <c r="PR42" s="44"/>
      <c r="PS42" s="44"/>
      <c r="PT42" s="44"/>
      <c r="PU42" s="44"/>
      <c r="PV42" s="44"/>
      <c r="PW42" s="44"/>
      <c r="PX42" s="44"/>
      <c r="PY42" s="44"/>
      <c r="PZ42" s="44"/>
      <c r="QA42" s="44"/>
      <c r="QB42" s="44"/>
      <c r="QC42" s="44"/>
      <c r="QD42" s="44"/>
      <c r="QE42" s="44"/>
      <c r="QF42" s="44"/>
      <c r="QG42" s="44"/>
      <c r="QH42" s="44"/>
      <c r="QI42" s="44"/>
      <c r="QJ42" s="44"/>
      <c r="QK42" s="44"/>
      <c r="QL42" s="44"/>
      <c r="QM42" s="44"/>
      <c r="QN42" s="44"/>
      <c r="QO42" s="44"/>
      <c r="QP42" s="44"/>
      <c r="QQ42" s="44"/>
      <c r="QR42" s="44"/>
      <c r="QS42" s="44"/>
      <c r="QT42" s="44"/>
      <c r="QU42" s="44"/>
      <c r="QV42" s="44"/>
      <c r="QW42" s="44"/>
      <c r="QX42" s="44"/>
      <c r="QY42" s="44"/>
      <c r="QZ42" s="44"/>
      <c r="RA42" s="44"/>
      <c r="RB42" s="44"/>
      <c r="RC42" s="44"/>
      <c r="RD42" s="44"/>
      <c r="RE42" s="44"/>
      <c r="RF42" s="44"/>
      <c r="RG42" s="44"/>
      <c r="RH42" s="44"/>
      <c r="RI42" s="44"/>
      <c r="RJ42" s="44"/>
      <c r="RK42" s="44"/>
      <c r="RL42" s="44"/>
      <c r="RM42" s="44"/>
      <c r="RN42" s="44"/>
      <c r="RO42" s="44"/>
      <c r="RP42" s="44"/>
      <c r="RQ42" s="44"/>
      <c r="RR42" s="44"/>
      <c r="RS42" s="44"/>
      <c r="RT42" s="44"/>
      <c r="RU42" s="44"/>
      <c r="RV42" s="44"/>
      <c r="RW42" s="44"/>
      <c r="RX42" s="44"/>
      <c r="RY42" s="44"/>
      <c r="RZ42" s="44"/>
      <c r="SA42" s="44"/>
      <c r="SB42" s="44"/>
      <c r="SC42" s="44"/>
      <c r="SD42" s="44"/>
      <c r="SE42" s="44"/>
      <c r="SF42" s="44"/>
      <c r="SG42" s="44"/>
      <c r="SH42" s="44"/>
      <c r="SI42" s="44"/>
      <c r="SJ42" s="44"/>
      <c r="SK42" s="44"/>
      <c r="SL42" s="44"/>
      <c r="SM42" s="44"/>
      <c r="SN42" s="44"/>
      <c r="SO42" s="44"/>
      <c r="SP42" s="44"/>
      <c r="SQ42" s="44"/>
      <c r="SR42" s="44"/>
      <c r="SS42" s="44"/>
      <c r="ST42" s="44"/>
      <c r="SU42" s="44"/>
      <c r="SV42" s="44"/>
      <c r="SW42" s="44"/>
      <c r="SX42" s="44"/>
      <c r="SY42" s="44"/>
      <c r="SZ42" s="44"/>
      <c r="TA42" s="44"/>
      <c r="TB42" s="44"/>
      <c r="TC42" s="44"/>
      <c r="TD42" s="44"/>
      <c r="TE42" s="44"/>
      <c r="TF42" s="44"/>
      <c r="TG42" s="44"/>
      <c r="TH42" s="44"/>
      <c r="TI42" s="44"/>
      <c r="TJ42" s="44"/>
      <c r="TK42" s="44"/>
      <c r="TL42" s="44"/>
      <c r="TM42" s="44"/>
      <c r="TN42" s="44"/>
      <c r="TO42" s="44"/>
      <c r="TP42" s="44"/>
      <c r="TQ42" s="44"/>
      <c r="TR42" s="44"/>
      <c r="TS42" s="44"/>
      <c r="TT42" s="44"/>
      <c r="TU42" s="44"/>
      <c r="TV42" s="44"/>
      <c r="TW42" s="44"/>
      <c r="TX42" s="44"/>
      <c r="TY42" s="44"/>
      <c r="TZ42" s="44"/>
      <c r="UA42" s="44"/>
      <c r="UB42" s="44"/>
      <c r="UC42" s="44"/>
      <c r="UD42" s="44"/>
      <c r="UE42" s="44"/>
      <c r="UF42" s="44"/>
      <c r="UG42" s="44"/>
      <c r="UH42" s="44"/>
      <c r="UI42" s="44"/>
      <c r="UJ42" s="44"/>
      <c r="UK42" s="44"/>
      <c r="UL42" s="44"/>
      <c r="UM42" s="44"/>
      <c r="UN42" s="44"/>
      <c r="UO42" s="44"/>
      <c r="UP42" s="44"/>
      <c r="UQ42" s="44"/>
      <c r="UR42" s="44"/>
      <c r="US42" s="44"/>
      <c r="UT42" s="44"/>
      <c r="UU42" s="44"/>
      <c r="UV42" s="44"/>
      <c r="UW42" s="44"/>
      <c r="UX42" s="44"/>
      <c r="UY42" s="44"/>
      <c r="UZ42" s="44"/>
      <c r="VA42" s="44"/>
      <c r="VB42" s="44"/>
      <c r="VC42" s="44"/>
      <c r="VD42" s="44"/>
      <c r="VE42" s="44"/>
      <c r="VF42" s="44"/>
      <c r="VG42" s="44"/>
      <c r="VH42" s="44"/>
      <c r="VI42" s="44"/>
      <c r="VJ42" s="44"/>
      <c r="VK42" s="44"/>
      <c r="VL42" s="44"/>
      <c r="VM42" s="44"/>
      <c r="VN42" s="44"/>
      <c r="VO42" s="44"/>
      <c r="VP42" s="44"/>
      <c r="VQ42" s="44"/>
      <c r="VR42" s="44"/>
      <c r="VS42" s="44"/>
      <c r="VT42" s="44"/>
      <c r="VU42" s="44"/>
      <c r="VV42" s="44"/>
      <c r="VW42" s="44"/>
      <c r="VX42" s="44"/>
      <c r="VY42" s="44"/>
      <c r="VZ42" s="44"/>
      <c r="WA42" s="44"/>
      <c r="WB42" s="44"/>
      <c r="WC42" s="44"/>
      <c r="WD42" s="44"/>
      <c r="WE42" s="44"/>
      <c r="WF42" s="44"/>
      <c r="WG42" s="44"/>
      <c r="WH42" s="44"/>
      <c r="WI42" s="44"/>
      <c r="WJ42" s="44"/>
      <c r="WK42" s="44"/>
      <c r="WL42" s="44"/>
      <c r="WM42" s="44"/>
      <c r="WN42" s="44"/>
      <c r="WO42" s="44"/>
      <c r="WP42" s="44"/>
      <c r="WQ42" s="44"/>
      <c r="WR42" s="44"/>
      <c r="WS42" s="44"/>
      <c r="WT42" s="44"/>
      <c r="WU42" s="44"/>
      <c r="WV42" s="44"/>
      <c r="WW42" s="44"/>
      <c r="WX42" s="44"/>
      <c r="WY42" s="44"/>
      <c r="WZ42" s="44"/>
      <c r="XA42" s="44"/>
      <c r="XB42" s="44"/>
      <c r="XC42" s="44"/>
      <c r="XD42" s="44"/>
      <c r="XE42" s="44"/>
      <c r="XF42" s="44"/>
      <c r="XG42" s="44"/>
      <c r="XH42" s="44"/>
      <c r="XI42" s="44"/>
      <c r="XJ42" s="44"/>
      <c r="XK42" s="44"/>
      <c r="XL42" s="44"/>
      <c r="XM42" s="44"/>
      <c r="XN42" s="44"/>
      <c r="XO42" s="44"/>
      <c r="XP42" s="44"/>
      <c r="XQ42" s="44"/>
      <c r="XR42" s="44"/>
      <c r="XS42" s="44"/>
      <c r="XT42" s="44"/>
      <c r="XU42" s="44"/>
      <c r="XV42" s="44"/>
      <c r="XW42" s="44"/>
      <c r="XX42" s="44"/>
      <c r="XY42" s="44"/>
      <c r="XZ42" s="44"/>
      <c r="YA42" s="44"/>
      <c r="YB42" s="44"/>
      <c r="YC42" s="44"/>
      <c r="YD42" s="44"/>
      <c r="YE42" s="44"/>
      <c r="YF42" s="44"/>
      <c r="YG42" s="44"/>
      <c r="YH42" s="44"/>
      <c r="YI42" s="44"/>
      <c r="YJ42" s="44"/>
      <c r="YK42" s="44"/>
      <c r="YL42" s="44"/>
      <c r="YM42" s="44"/>
      <c r="YN42" s="44"/>
      <c r="YO42" s="44"/>
      <c r="YP42" s="44"/>
      <c r="YQ42" s="44"/>
      <c r="YR42" s="44"/>
      <c r="YS42" s="44"/>
      <c r="YT42" s="44"/>
      <c r="YU42" s="44"/>
      <c r="YV42" s="44"/>
      <c r="YW42" s="44"/>
      <c r="YX42" s="44"/>
      <c r="YY42" s="44"/>
      <c r="YZ42" s="44"/>
      <c r="ZA42" s="44"/>
      <c r="ZB42" s="44"/>
      <c r="ZC42" s="44"/>
      <c r="ZD42" s="44"/>
      <c r="ZE42" s="44"/>
      <c r="ZF42" s="44"/>
      <c r="ZG42" s="44"/>
      <c r="ZH42" s="44"/>
      <c r="ZI42" s="44"/>
      <c r="ZJ42" s="44"/>
      <c r="ZK42" s="44"/>
      <c r="ZL42" s="44"/>
      <c r="ZM42" s="44"/>
      <c r="ZN42" s="44"/>
      <c r="ZO42" s="44"/>
      <c r="ZP42" s="44"/>
      <c r="ZQ42" s="44"/>
      <c r="ZR42" s="44"/>
      <c r="ZS42" s="44"/>
      <c r="ZT42" s="44"/>
      <c r="ZU42" s="44"/>
      <c r="ZV42" s="44"/>
      <c r="ZW42" s="44"/>
      <c r="ZX42" s="44"/>
      <c r="ZY42" s="44"/>
      <c r="ZZ42" s="44"/>
      <c r="AAA42" s="44"/>
      <c r="AAB42" s="44"/>
      <c r="AAC42" s="44"/>
      <c r="AAD42" s="44"/>
      <c r="AAE42" s="44"/>
      <c r="AAF42" s="44"/>
      <c r="AAG42" s="44"/>
      <c r="AAH42" s="44"/>
      <c r="AAI42" s="44"/>
      <c r="AAJ42" s="44"/>
      <c r="AAK42" s="44"/>
      <c r="AAL42" s="44"/>
      <c r="AAM42" s="44"/>
      <c r="AAN42" s="44"/>
      <c r="AAO42" s="44"/>
      <c r="AAP42" s="44"/>
      <c r="AAQ42" s="44"/>
      <c r="AAR42" s="44"/>
      <c r="AAS42" s="44"/>
      <c r="AAT42" s="44"/>
      <c r="AAU42" s="44"/>
      <c r="AAV42" s="44"/>
      <c r="AAW42" s="44"/>
      <c r="AAX42" s="44"/>
      <c r="AAY42" s="44"/>
      <c r="AAZ42" s="44"/>
      <c r="ABA42" s="44"/>
      <c r="ABB42" s="44"/>
      <c r="ABC42" s="44"/>
      <c r="ABD42" s="44"/>
      <c r="ABE42" s="44"/>
      <c r="ABF42" s="44"/>
      <c r="ABG42" s="44"/>
      <c r="ABH42" s="44"/>
      <c r="ABI42" s="44"/>
      <c r="ABJ42" s="44"/>
      <c r="ABK42" s="44"/>
      <c r="ABL42" s="44"/>
      <c r="ABM42" s="44"/>
      <c r="ABN42" s="44"/>
      <c r="ABO42" s="44"/>
      <c r="ABP42" s="44"/>
      <c r="ABQ42" s="44"/>
      <c r="ABR42" s="44"/>
      <c r="ABS42" s="44"/>
      <c r="ABT42" s="44"/>
      <c r="ABU42" s="44"/>
      <c r="ABV42" s="44"/>
      <c r="ABW42" s="44"/>
      <c r="ABX42" s="44"/>
      <c r="ABY42" s="44"/>
      <c r="ABZ42" s="44"/>
      <c r="ACA42" s="44"/>
      <c r="ACB42" s="44"/>
      <c r="ACC42" s="44"/>
      <c r="ACD42" s="44"/>
      <c r="ACE42" s="44"/>
      <c r="ACF42" s="44"/>
      <c r="ACG42" s="44"/>
      <c r="ACH42" s="44"/>
      <c r="ACI42" s="44"/>
      <c r="ACJ42" s="44"/>
      <c r="ACK42" s="44"/>
      <c r="ACL42" s="44"/>
      <c r="ACM42" s="44"/>
      <c r="ACN42" s="44"/>
      <c r="ACO42" s="44"/>
      <c r="ACP42" s="44"/>
      <c r="ACQ42" s="44"/>
      <c r="ACR42" s="44"/>
      <c r="ACS42" s="44"/>
      <c r="ACT42" s="44"/>
      <c r="ACU42" s="44"/>
      <c r="ACV42" s="44"/>
      <c r="ACW42" s="44"/>
      <c r="ACX42" s="44"/>
      <c r="ACY42" s="44"/>
      <c r="ACZ42" s="44"/>
      <c r="ADA42" s="44"/>
      <c r="ADB42" s="44"/>
      <c r="ADC42" s="44"/>
      <c r="ADD42" s="44"/>
      <c r="ADE42" s="44"/>
      <c r="ADF42" s="44"/>
      <c r="ADG42" s="44"/>
      <c r="ADH42" s="44"/>
      <c r="ADI42" s="44"/>
      <c r="ADJ42" s="44"/>
      <c r="ADK42" s="44"/>
      <c r="ADL42" s="44"/>
      <c r="ADM42" s="44"/>
      <c r="ADN42" s="44"/>
      <c r="ADO42" s="44"/>
      <c r="ADP42" s="44"/>
      <c r="ADQ42" s="44"/>
      <c r="ADR42" s="44"/>
      <c r="ADS42" s="44"/>
      <c r="ADT42" s="44"/>
      <c r="ADU42" s="44"/>
      <c r="ADV42" s="44"/>
      <c r="ADW42" s="44"/>
      <c r="ADX42" s="44"/>
      <c r="ADY42" s="44"/>
      <c r="ADZ42" s="44"/>
      <c r="AEA42" s="44"/>
      <c r="AEB42" s="44"/>
      <c r="AEC42" s="44"/>
      <c r="AED42" s="44"/>
      <c r="AEE42" s="44"/>
      <c r="AEF42" s="44"/>
      <c r="AEG42" s="44"/>
      <c r="AEH42" s="44"/>
      <c r="AEI42" s="44"/>
      <c r="AEJ42" s="44"/>
      <c r="AEK42" s="44"/>
      <c r="AEL42" s="44"/>
      <c r="AEM42" s="44"/>
      <c r="AEN42" s="44"/>
      <c r="AEO42" s="44"/>
      <c r="AEP42" s="44"/>
      <c r="AEQ42" s="44"/>
      <c r="AER42" s="44"/>
      <c r="AES42" s="44"/>
      <c r="AET42" s="44"/>
      <c r="AEU42" s="44"/>
      <c r="AEV42" s="44"/>
      <c r="AEW42" s="44"/>
      <c r="AEX42" s="44"/>
      <c r="AEY42" s="44"/>
      <c r="AEZ42" s="44"/>
      <c r="AFA42" s="44"/>
      <c r="AFB42" s="44"/>
      <c r="AFC42" s="44"/>
      <c r="AFD42" s="44"/>
      <c r="AFE42" s="44"/>
      <c r="AFF42" s="44"/>
      <c r="AFG42" s="44"/>
      <c r="AFH42" s="44"/>
      <c r="AFI42" s="44"/>
      <c r="AFJ42" s="44"/>
      <c r="AFK42" s="44"/>
      <c r="AFL42" s="44"/>
      <c r="AFM42" s="44"/>
      <c r="AFN42" s="44"/>
      <c r="AFO42" s="44"/>
      <c r="AFP42" s="44"/>
      <c r="AFQ42" s="44"/>
      <c r="AFR42" s="44"/>
      <c r="AFS42" s="44"/>
      <c r="AFT42" s="44"/>
      <c r="AFU42" s="44"/>
      <c r="AFV42" s="44"/>
      <c r="AFW42" s="44"/>
      <c r="AFX42" s="44"/>
      <c r="AFY42" s="44"/>
      <c r="AFZ42" s="44"/>
      <c r="AGA42" s="44"/>
      <c r="AGB42" s="44"/>
      <c r="AGC42" s="44"/>
      <c r="AGD42" s="44"/>
      <c r="AGE42" s="44"/>
      <c r="AGF42" s="44"/>
      <c r="AGG42" s="44"/>
      <c r="AGH42" s="44"/>
      <c r="AGI42" s="44"/>
      <c r="AGJ42" s="44"/>
      <c r="AGK42" s="44"/>
      <c r="AGL42" s="44"/>
      <c r="AGM42" s="44"/>
      <c r="AGN42" s="44"/>
      <c r="AGO42" s="44"/>
      <c r="AGP42" s="44"/>
      <c r="AGQ42" s="44"/>
      <c r="AGR42" s="44"/>
      <c r="AGS42" s="44"/>
      <c r="AGT42" s="44"/>
      <c r="AGU42" s="44"/>
      <c r="AGV42" s="44"/>
      <c r="AGW42" s="44"/>
      <c r="AGX42" s="44"/>
      <c r="AGY42" s="44"/>
      <c r="AGZ42" s="44"/>
      <c r="AHA42" s="44"/>
      <c r="AHB42" s="44"/>
      <c r="AHC42" s="44"/>
      <c r="AHD42" s="44"/>
      <c r="AHE42" s="44"/>
      <c r="AHF42" s="44"/>
      <c r="AHG42" s="44"/>
      <c r="AHH42" s="44"/>
      <c r="AHI42" s="44"/>
      <c r="AHJ42" s="44"/>
      <c r="AHK42" s="44"/>
      <c r="AHL42" s="44"/>
      <c r="AHM42" s="44"/>
      <c r="AHN42" s="44"/>
      <c r="AHO42" s="44"/>
      <c r="AHP42" s="44"/>
      <c r="AHQ42" s="44"/>
      <c r="AHR42" s="44"/>
      <c r="AHS42" s="44"/>
      <c r="AHT42" s="44"/>
      <c r="AHU42" s="44"/>
      <c r="AHV42" s="44"/>
      <c r="AHW42" s="44"/>
      <c r="AHX42" s="44"/>
      <c r="AHY42" s="44"/>
      <c r="AHZ42" s="44"/>
      <c r="AIA42" s="44"/>
      <c r="AIB42" s="44"/>
      <c r="AIC42" s="44"/>
      <c r="AID42" s="44"/>
      <c r="AIE42" s="44"/>
      <c r="AIF42" s="44"/>
      <c r="AIG42" s="44"/>
      <c r="AIH42" s="44"/>
      <c r="AII42" s="44"/>
      <c r="AIJ42" s="44"/>
      <c r="AIK42" s="44"/>
      <c r="AIL42" s="44"/>
      <c r="AIM42" s="44"/>
      <c r="AIN42" s="44"/>
      <c r="AIO42" s="44"/>
      <c r="AIP42" s="44"/>
      <c r="AIQ42" s="44"/>
      <c r="AIR42" s="44"/>
      <c r="AIS42" s="44"/>
      <c r="AIT42" s="44"/>
      <c r="AIU42" s="44"/>
      <c r="AIV42" s="44"/>
      <c r="AIW42" s="44"/>
      <c r="AIX42" s="44"/>
      <c r="AIY42" s="44"/>
      <c r="AIZ42" s="44"/>
      <c r="AJA42" s="44"/>
      <c r="AJB42" s="44"/>
      <c r="AJC42" s="44"/>
      <c r="AJD42" s="44"/>
      <c r="AJE42" s="44"/>
      <c r="AJF42" s="44"/>
      <c r="AJG42" s="44"/>
      <c r="AJH42" s="44"/>
      <c r="AJI42" s="44"/>
      <c r="AJJ42" s="44"/>
      <c r="AJK42" s="44"/>
      <c r="AJL42" s="44"/>
      <c r="AJM42" s="44"/>
      <c r="AJN42" s="44"/>
      <c r="AJO42" s="44"/>
      <c r="AJP42" s="44"/>
      <c r="AJQ42" s="44"/>
      <c r="AJR42" s="44"/>
      <c r="AJS42" s="44"/>
      <c r="AJT42" s="44"/>
      <c r="AJU42" s="44"/>
      <c r="AJV42" s="44"/>
      <c r="AJW42" s="44"/>
      <c r="AJX42" s="44"/>
      <c r="AJY42" s="44"/>
      <c r="AJZ42" s="44"/>
      <c r="AKA42" s="44"/>
      <c r="AKB42" s="44"/>
      <c r="AKC42" s="44"/>
      <c r="AKD42" s="44"/>
      <c r="AKE42" s="44"/>
      <c r="AKF42" s="44"/>
      <c r="AKG42" s="44"/>
      <c r="AKH42" s="44"/>
      <c r="AKI42" s="44"/>
      <c r="AKJ42" s="44"/>
      <c r="AKK42" s="44"/>
      <c r="AKL42" s="44"/>
      <c r="AKM42" s="44"/>
      <c r="AKN42" s="44"/>
      <c r="AKO42" s="44"/>
      <c r="AKP42" s="44"/>
      <c r="AKQ42" s="44"/>
      <c r="AKR42" s="44"/>
      <c r="AKS42" s="44"/>
      <c r="AKT42" s="44"/>
      <c r="AKU42" s="44"/>
      <c r="AKV42" s="44"/>
      <c r="AKW42" s="44"/>
      <c r="AKX42" s="44"/>
      <c r="AKY42" s="44"/>
      <c r="AKZ42" s="44"/>
      <c r="ALA42" s="44"/>
      <c r="ALB42" s="44"/>
      <c r="ALC42" s="44"/>
      <c r="ALD42" s="44"/>
      <c r="ALE42" s="44"/>
      <c r="ALF42" s="44"/>
      <c r="ALG42" s="44"/>
      <c r="ALH42" s="44"/>
      <c r="ALI42" s="44"/>
      <c r="ALJ42" s="44"/>
      <c r="ALK42" s="44"/>
      <c r="ALL42" s="44"/>
      <c r="ALM42" s="44"/>
      <c r="ALN42" s="44"/>
      <c r="ALO42" s="44"/>
      <c r="ALP42" s="44"/>
      <c r="ALQ42" s="44"/>
      <c r="ALR42" s="44"/>
      <c r="ALS42" s="44"/>
      <c r="ALT42" s="44"/>
      <c r="ALU42" s="44"/>
      <c r="ALV42" s="44"/>
      <c r="ALW42" s="44"/>
      <c r="ALX42" s="44"/>
      <c r="ALY42" s="44"/>
      <c r="ALZ42" s="44"/>
      <c r="AMA42" s="44"/>
      <c r="AMB42" s="44"/>
      <c r="AMC42" s="44"/>
      <c r="AMD42" s="44"/>
      <c r="AME42" s="44"/>
      <c r="AMF42" s="44"/>
      <c r="AMG42" s="44"/>
      <c r="AMH42" s="44"/>
      <c r="AMI42" s="44"/>
      <c r="AMJ42" s="44"/>
      <c r="AMK42" s="44"/>
      <c r="AML42" s="44"/>
      <c r="AMM42" s="44"/>
      <c r="AMN42" s="44"/>
      <c r="AMO42" s="44"/>
      <c r="AMP42" s="44"/>
      <c r="AMQ42" s="44"/>
      <c r="AMR42" s="44"/>
      <c r="AMS42" s="44"/>
      <c r="AMT42" s="44"/>
      <c r="AMU42" s="44"/>
      <c r="AMV42" s="44"/>
      <c r="AMW42" s="44"/>
      <c r="AMX42" s="44"/>
      <c r="AMY42" s="44"/>
      <c r="AMZ42" s="44"/>
      <c r="ANA42" s="44"/>
      <c r="ANB42" s="44"/>
      <c r="ANC42" s="44"/>
      <c r="AND42" s="44"/>
      <c r="ANE42" s="44"/>
      <c r="ANF42" s="44"/>
      <c r="ANG42" s="44"/>
      <c r="ANH42" s="44"/>
      <c r="ANI42" s="44"/>
      <c r="ANJ42" s="44"/>
      <c r="ANK42" s="44"/>
      <c r="ANL42" s="44"/>
      <c r="ANM42" s="44"/>
      <c r="ANN42" s="44"/>
      <c r="ANO42" s="44"/>
      <c r="ANP42" s="44"/>
      <c r="ANQ42" s="44"/>
      <c r="ANR42" s="44"/>
      <c r="ANS42" s="44"/>
      <c r="ANT42" s="44"/>
      <c r="ANU42" s="44"/>
      <c r="ANV42" s="44"/>
      <c r="ANW42" s="44"/>
      <c r="ANX42" s="44"/>
      <c r="ANY42" s="44"/>
      <c r="ANZ42" s="44"/>
      <c r="AOA42" s="44"/>
      <c r="AOB42" s="44"/>
      <c r="AOC42" s="44"/>
      <c r="AOD42" s="44"/>
      <c r="AOE42" s="44"/>
      <c r="AOF42" s="44"/>
      <c r="AOG42" s="44"/>
      <c r="AOH42" s="44"/>
      <c r="AOI42" s="44"/>
      <c r="AOJ42" s="44"/>
      <c r="AOK42" s="44"/>
      <c r="AOL42" s="44"/>
      <c r="AOM42" s="44"/>
      <c r="AON42" s="44"/>
      <c r="AOO42" s="44"/>
      <c r="AOP42" s="44"/>
      <c r="AOQ42" s="44"/>
      <c r="AOR42" s="44"/>
      <c r="AOS42" s="44"/>
      <c r="AOT42" s="44"/>
      <c r="AOU42" s="44"/>
      <c r="AOV42" s="44"/>
      <c r="AOW42" s="44"/>
      <c r="AOX42" s="44"/>
      <c r="AOY42" s="44"/>
      <c r="AOZ42" s="44"/>
      <c r="APA42" s="44"/>
      <c r="APB42" s="44"/>
      <c r="APC42" s="44"/>
      <c r="APD42" s="44"/>
      <c r="APE42" s="44"/>
      <c r="APF42" s="44"/>
      <c r="APG42" s="44"/>
      <c r="APH42" s="44"/>
      <c r="API42" s="44"/>
      <c r="APJ42" s="44"/>
      <c r="APK42" s="44"/>
      <c r="APL42" s="44"/>
      <c r="APM42" s="44"/>
      <c r="APN42" s="44"/>
      <c r="APO42" s="44"/>
      <c r="APP42" s="44"/>
      <c r="APQ42" s="44"/>
      <c r="APR42" s="44"/>
      <c r="APS42" s="44"/>
      <c r="APT42" s="44"/>
      <c r="APU42" s="44"/>
      <c r="APV42" s="44"/>
      <c r="APW42" s="44"/>
      <c r="APX42" s="44"/>
      <c r="APY42" s="44"/>
      <c r="APZ42" s="44"/>
      <c r="AQA42" s="44"/>
      <c r="AQB42" s="44"/>
      <c r="AQC42" s="44"/>
      <c r="AQD42" s="44"/>
      <c r="AQE42" s="44"/>
      <c r="AQF42" s="44"/>
      <c r="AQG42" s="44"/>
      <c r="AQH42" s="44"/>
      <c r="AQI42" s="44"/>
      <c r="AQJ42" s="44"/>
      <c r="AQK42" s="44"/>
      <c r="AQL42" s="44"/>
      <c r="AQM42" s="44"/>
      <c r="AQN42" s="44"/>
      <c r="AQO42" s="44"/>
      <c r="AQP42" s="44"/>
      <c r="AQQ42" s="44"/>
      <c r="AQR42" s="44"/>
      <c r="AQS42" s="44"/>
      <c r="AQT42" s="44"/>
      <c r="AQU42" s="44"/>
      <c r="AQV42" s="44"/>
      <c r="AQW42" s="44"/>
      <c r="AQX42" s="44"/>
      <c r="AQY42" s="44"/>
      <c r="AQZ42" s="44"/>
      <c r="ARA42" s="44"/>
      <c r="ARB42" s="44"/>
      <c r="ARC42" s="44"/>
      <c r="ARD42" s="44"/>
      <c r="ARE42" s="44"/>
      <c r="ARF42" s="44"/>
      <c r="ARG42" s="44"/>
      <c r="ARH42" s="44"/>
      <c r="ARI42" s="44"/>
      <c r="ARJ42" s="44"/>
      <c r="ARK42" s="44"/>
      <c r="ARL42" s="44"/>
      <c r="ARM42" s="44"/>
      <c r="ARN42" s="44"/>
      <c r="ARO42" s="44"/>
      <c r="ARP42" s="44"/>
      <c r="ARQ42" s="44"/>
      <c r="ARR42" s="44"/>
      <c r="ARS42" s="44"/>
      <c r="ART42" s="44"/>
      <c r="ARU42" s="44"/>
      <c r="ARV42" s="44"/>
      <c r="ARW42" s="44"/>
      <c r="ARX42" s="44"/>
      <c r="ARY42" s="44"/>
      <c r="ARZ42" s="44"/>
      <c r="ASA42" s="44"/>
      <c r="ASB42" s="44"/>
      <c r="ASC42" s="44"/>
      <c r="ASD42" s="44"/>
      <c r="ASE42" s="44"/>
      <c r="ASF42" s="44"/>
      <c r="ASG42" s="44"/>
      <c r="ASH42" s="44"/>
      <c r="ASI42" s="44"/>
      <c r="ASJ42" s="44"/>
      <c r="ASK42" s="44"/>
      <c r="ASL42" s="44"/>
      <c r="ASM42" s="44"/>
      <c r="ASN42" s="44"/>
      <c r="ASO42" s="44"/>
      <c r="ASP42" s="44"/>
      <c r="ASQ42" s="44"/>
      <c r="ASR42" s="44"/>
      <c r="ASS42" s="44"/>
      <c r="AST42" s="44"/>
      <c r="ASU42" s="44"/>
      <c r="ASV42" s="44"/>
      <c r="ASW42" s="44"/>
      <c r="ASX42" s="44"/>
      <c r="ASY42" s="44"/>
      <c r="ASZ42" s="44"/>
      <c r="ATA42" s="44"/>
      <c r="ATB42" s="44"/>
      <c r="ATC42" s="44"/>
      <c r="ATD42" s="44"/>
      <c r="ATE42" s="44"/>
      <c r="ATF42" s="44"/>
      <c r="ATG42" s="44"/>
      <c r="ATH42" s="44"/>
      <c r="ATI42" s="44"/>
      <c r="ATJ42" s="44"/>
      <c r="ATK42" s="44"/>
      <c r="ATL42" s="44"/>
      <c r="ATM42" s="44"/>
      <c r="ATN42" s="44"/>
      <c r="ATO42" s="44"/>
      <c r="ATP42" s="44"/>
      <c r="ATQ42" s="44"/>
      <c r="ATR42" s="44"/>
      <c r="ATS42" s="44"/>
      <c r="ATT42" s="44"/>
      <c r="ATU42" s="44"/>
      <c r="ATV42" s="44"/>
      <c r="ATW42" s="44"/>
      <c r="ATX42" s="44"/>
      <c r="ATY42" s="44"/>
      <c r="ATZ42" s="44"/>
      <c r="AUA42" s="44"/>
      <c r="AUB42" s="44"/>
      <c r="AUC42" s="44"/>
      <c r="AUD42" s="44"/>
      <c r="AUE42" s="44"/>
      <c r="AUF42" s="44"/>
      <c r="AUG42" s="44"/>
      <c r="AUH42" s="44"/>
      <c r="AUI42" s="44"/>
      <c r="AUJ42" s="44"/>
      <c r="AUK42" s="44"/>
      <c r="AUL42" s="44"/>
      <c r="AUM42" s="44"/>
      <c r="AUN42" s="44"/>
      <c r="AUO42" s="44"/>
      <c r="AUP42" s="44"/>
      <c r="AUQ42" s="44"/>
      <c r="AUR42" s="44"/>
      <c r="AUS42" s="44"/>
      <c r="AUT42" s="44"/>
      <c r="AUU42" s="44"/>
      <c r="AUV42" s="44"/>
      <c r="AUW42" s="44"/>
      <c r="AUX42" s="44"/>
      <c r="AUY42" s="44"/>
      <c r="AUZ42" s="44"/>
      <c r="AVA42" s="44"/>
      <c r="AVB42" s="44"/>
      <c r="AVC42" s="44"/>
      <c r="AVD42" s="44"/>
      <c r="AVE42" s="44"/>
      <c r="AVF42" s="44"/>
      <c r="AVG42" s="44"/>
      <c r="AVH42" s="44"/>
      <c r="AVI42" s="44"/>
      <c r="AVJ42" s="44"/>
      <c r="AVK42" s="44"/>
      <c r="AVL42" s="44"/>
      <c r="AVM42" s="44"/>
      <c r="AVN42" s="44"/>
      <c r="AVO42" s="44"/>
      <c r="AVP42" s="44"/>
      <c r="AVQ42" s="44"/>
      <c r="AVR42" s="44"/>
      <c r="AVS42" s="44"/>
      <c r="AVT42" s="44"/>
      <c r="AVU42" s="44"/>
      <c r="AVV42" s="44"/>
      <c r="AVW42" s="44"/>
      <c r="AVX42" s="44"/>
      <c r="AVY42" s="44"/>
      <c r="AVZ42" s="44"/>
      <c r="AWA42" s="44"/>
      <c r="AWB42" s="44"/>
      <c r="AWC42" s="44"/>
      <c r="AWD42" s="44"/>
      <c r="AWE42" s="44"/>
      <c r="AWF42" s="44"/>
      <c r="AWG42" s="44"/>
      <c r="AWH42" s="44"/>
      <c r="AWI42" s="44"/>
      <c r="AWJ42" s="44"/>
      <c r="AWK42" s="44"/>
      <c r="AWL42" s="44"/>
      <c r="AWM42" s="44"/>
      <c r="AWN42" s="44"/>
      <c r="AWO42" s="44"/>
      <c r="AWP42" s="44"/>
      <c r="AWQ42" s="44"/>
      <c r="AWR42" s="44"/>
      <c r="AWS42" s="44"/>
      <c r="AWT42" s="44"/>
      <c r="AWU42" s="44"/>
      <c r="AWV42" s="44"/>
      <c r="AWW42" s="44"/>
      <c r="AWX42" s="44"/>
      <c r="AWY42" s="44"/>
      <c r="AWZ42" s="44"/>
      <c r="AXA42" s="44"/>
      <c r="AXB42" s="44"/>
      <c r="AXC42" s="44"/>
      <c r="AXD42" s="44"/>
      <c r="AXE42" s="44"/>
      <c r="AXF42" s="44"/>
      <c r="AXG42" s="44"/>
      <c r="AXH42" s="44"/>
      <c r="AXI42" s="44"/>
      <c r="AXJ42" s="44"/>
      <c r="AXK42" s="44"/>
      <c r="AXL42" s="44"/>
      <c r="AXM42" s="44"/>
      <c r="AXN42" s="44"/>
      <c r="AXO42" s="44"/>
      <c r="AXP42" s="44"/>
      <c r="AXQ42" s="44"/>
      <c r="AXR42" s="44"/>
      <c r="AXS42" s="44"/>
      <c r="AXT42" s="44"/>
      <c r="AXU42" s="44"/>
      <c r="AXV42" s="44"/>
      <c r="AXW42" s="44"/>
      <c r="AXX42" s="44"/>
      <c r="AXY42" s="44"/>
      <c r="AXZ42" s="44"/>
      <c r="AYA42" s="44"/>
      <c r="AYB42" s="44"/>
      <c r="AYC42" s="44"/>
      <c r="AYD42" s="44"/>
      <c r="AYE42" s="44"/>
      <c r="AYF42" s="44"/>
      <c r="AYG42" s="44"/>
      <c r="AYH42" s="44"/>
      <c r="AYI42" s="44"/>
      <c r="AYJ42" s="44"/>
      <c r="AYK42" s="44"/>
      <c r="AYL42" s="44"/>
      <c r="AYM42" s="44"/>
      <c r="AYN42" s="44"/>
      <c r="AYO42" s="44"/>
      <c r="AYP42" s="44"/>
      <c r="AYQ42" s="44"/>
      <c r="AYR42" s="44"/>
      <c r="AYS42" s="44"/>
      <c r="AYT42" s="44"/>
      <c r="AYU42" s="44"/>
      <c r="AYV42" s="44"/>
      <c r="AYW42" s="44"/>
      <c r="AYX42" s="44"/>
      <c r="AYY42" s="44"/>
      <c r="AYZ42" s="44"/>
      <c r="AZA42" s="44"/>
      <c r="AZB42" s="44"/>
      <c r="AZC42" s="44"/>
      <c r="AZD42" s="44"/>
      <c r="AZE42" s="44"/>
      <c r="AZF42" s="44"/>
      <c r="AZG42" s="44"/>
      <c r="AZH42" s="44"/>
      <c r="AZI42" s="44"/>
      <c r="AZJ42" s="44"/>
      <c r="AZK42" s="44"/>
      <c r="AZL42" s="44"/>
      <c r="AZM42" s="44"/>
      <c r="AZN42" s="44"/>
      <c r="AZO42" s="44"/>
      <c r="AZP42" s="44"/>
      <c r="AZQ42" s="44"/>
      <c r="AZR42" s="44"/>
      <c r="AZS42" s="44"/>
      <c r="AZT42" s="44"/>
      <c r="AZU42" s="44"/>
      <c r="AZV42" s="44"/>
      <c r="AZW42" s="44"/>
      <c r="AZX42" s="44"/>
      <c r="AZY42" s="44"/>
      <c r="AZZ42" s="44"/>
      <c r="BAA42" s="44"/>
      <c r="BAB42" s="44"/>
      <c r="BAC42" s="44"/>
      <c r="BAD42" s="44"/>
      <c r="BAE42" s="44"/>
      <c r="BAF42" s="44"/>
      <c r="BAG42" s="44"/>
      <c r="BAH42" s="44"/>
      <c r="BAI42" s="44"/>
      <c r="BAJ42" s="44"/>
      <c r="BAK42" s="44"/>
      <c r="BAL42" s="44"/>
      <c r="BAM42" s="44"/>
      <c r="BAN42" s="44"/>
      <c r="BAO42" s="44"/>
      <c r="BAP42" s="44"/>
      <c r="BAQ42" s="44"/>
      <c r="BAR42" s="44"/>
      <c r="BAS42" s="44"/>
      <c r="BAT42" s="44"/>
      <c r="BAU42" s="44"/>
      <c r="BAV42" s="44"/>
      <c r="BAW42" s="44"/>
      <c r="BAX42" s="44"/>
      <c r="BAY42" s="44"/>
      <c r="BAZ42" s="44"/>
      <c r="BBA42" s="44"/>
      <c r="BBB42" s="44"/>
      <c r="BBC42" s="44"/>
      <c r="BBD42" s="44"/>
      <c r="BBE42" s="44"/>
      <c r="BBF42" s="44"/>
      <c r="BBG42" s="44"/>
      <c r="BBH42" s="44"/>
      <c r="BBI42" s="44"/>
      <c r="BBJ42" s="44"/>
      <c r="BBK42" s="44"/>
      <c r="BBL42" s="44"/>
      <c r="BBM42" s="44"/>
      <c r="BBN42" s="44"/>
      <c r="BBO42" s="44"/>
      <c r="BBP42" s="44"/>
      <c r="BBQ42" s="44"/>
      <c r="BBR42" s="44"/>
      <c r="BBS42" s="44"/>
      <c r="BBT42" s="44"/>
      <c r="BBU42" s="44"/>
      <c r="BBV42" s="44"/>
      <c r="BBW42" s="44"/>
      <c r="BBX42" s="44"/>
      <c r="BBY42" s="44"/>
      <c r="BBZ42" s="44"/>
      <c r="BCA42" s="44"/>
      <c r="BCB42" s="44"/>
      <c r="BCC42" s="44"/>
      <c r="BCD42" s="44"/>
      <c r="BCE42" s="44"/>
      <c r="BCF42" s="44"/>
      <c r="BCG42" s="44"/>
      <c r="BCH42" s="44"/>
      <c r="BCI42" s="44"/>
      <c r="BCJ42" s="44"/>
      <c r="BCK42" s="44"/>
      <c r="BCL42" s="44"/>
      <c r="BCM42" s="44"/>
      <c r="BCN42" s="44"/>
      <c r="BCO42" s="44"/>
      <c r="BCP42" s="44"/>
      <c r="BCQ42" s="44"/>
      <c r="BCR42" s="44"/>
      <c r="BCS42" s="44"/>
      <c r="BCT42" s="44"/>
      <c r="BCU42" s="44"/>
      <c r="BCV42" s="44"/>
      <c r="BCW42" s="44"/>
      <c r="BCX42" s="44"/>
      <c r="BCY42" s="44"/>
      <c r="BCZ42" s="44"/>
      <c r="BDA42" s="44"/>
      <c r="BDB42" s="44"/>
      <c r="BDC42" s="44"/>
      <c r="BDD42" s="44"/>
      <c r="BDE42" s="44"/>
      <c r="BDF42" s="44"/>
      <c r="BDG42" s="44"/>
      <c r="BDH42" s="44"/>
      <c r="BDI42" s="44"/>
      <c r="BDJ42" s="44"/>
      <c r="BDK42" s="44"/>
      <c r="BDL42" s="44"/>
      <c r="BDM42" s="44"/>
      <c r="BDN42" s="44"/>
      <c r="BDO42" s="44"/>
      <c r="BDP42" s="44"/>
      <c r="BDQ42" s="44"/>
      <c r="BDR42" s="44"/>
      <c r="BDS42" s="44"/>
      <c r="BDT42" s="44"/>
      <c r="BDU42" s="44"/>
      <c r="BDV42" s="44"/>
      <c r="BDW42" s="44"/>
      <c r="BDX42" s="44"/>
      <c r="BDY42" s="44"/>
      <c r="BDZ42" s="44"/>
      <c r="BEA42" s="44"/>
      <c r="BEB42" s="44"/>
      <c r="BEC42" s="44"/>
      <c r="BED42" s="44"/>
      <c r="BEE42" s="44"/>
      <c r="BEF42" s="44"/>
      <c r="BEG42" s="44"/>
      <c r="BEH42" s="44"/>
      <c r="BEI42" s="44"/>
      <c r="BEJ42" s="44"/>
      <c r="BEK42" s="44"/>
      <c r="BEL42" s="44"/>
      <c r="BEM42" s="44"/>
      <c r="BEN42" s="44"/>
      <c r="BEO42" s="44"/>
      <c r="BEP42" s="44"/>
      <c r="BEQ42" s="44"/>
      <c r="BER42" s="44"/>
      <c r="BES42" s="44"/>
      <c r="BET42" s="44"/>
      <c r="BEU42" s="44"/>
      <c r="BEV42" s="44"/>
      <c r="BEW42" s="44"/>
      <c r="BEX42" s="44"/>
      <c r="BEY42" s="44"/>
      <c r="BEZ42" s="44"/>
      <c r="BFA42" s="44"/>
      <c r="BFB42" s="44"/>
      <c r="BFC42" s="44"/>
      <c r="BFD42" s="44"/>
      <c r="BFE42" s="44"/>
      <c r="BFF42" s="44"/>
      <c r="BFG42" s="44"/>
      <c r="BFH42" s="44"/>
      <c r="BFI42" s="44"/>
      <c r="BFJ42" s="44"/>
      <c r="BFK42" s="44"/>
      <c r="BFL42" s="44"/>
      <c r="BFM42" s="44"/>
      <c r="BFN42" s="44"/>
      <c r="BFO42" s="44"/>
      <c r="BFP42" s="44"/>
      <c r="BFQ42" s="44"/>
      <c r="BFR42" s="44"/>
      <c r="BFS42" s="44"/>
      <c r="BFT42" s="44"/>
      <c r="BFU42" s="44"/>
      <c r="BFV42" s="44"/>
      <c r="BFW42" s="44"/>
      <c r="BFX42" s="44"/>
      <c r="BFY42" s="44"/>
      <c r="BFZ42" s="44"/>
      <c r="BGA42" s="44"/>
      <c r="BGB42" s="44"/>
      <c r="BGC42" s="44"/>
      <c r="BGD42" s="44"/>
      <c r="BGE42" s="44"/>
      <c r="BGF42" s="44"/>
      <c r="BGG42" s="44"/>
      <c r="BGH42" s="44"/>
      <c r="BGI42" s="44"/>
      <c r="BGJ42" s="44"/>
      <c r="BGK42" s="44"/>
      <c r="BGL42" s="44"/>
      <c r="BGM42" s="44"/>
      <c r="BGN42" s="44"/>
      <c r="BGO42" s="44"/>
      <c r="BGP42" s="44"/>
      <c r="BGQ42" s="44"/>
      <c r="BGR42" s="44"/>
      <c r="BGS42" s="44"/>
      <c r="BGT42" s="44"/>
      <c r="BGU42" s="44"/>
      <c r="BGV42" s="44"/>
      <c r="BGW42" s="44"/>
      <c r="BGX42" s="44"/>
      <c r="BGY42" s="44"/>
      <c r="BGZ42" s="44"/>
      <c r="BHA42" s="44"/>
      <c r="BHB42" s="44"/>
      <c r="BHC42" s="44"/>
      <c r="BHD42" s="44"/>
      <c r="BHE42" s="44"/>
      <c r="BHF42" s="44"/>
      <c r="BHG42" s="44"/>
      <c r="BHH42" s="44"/>
      <c r="BHI42" s="44"/>
      <c r="BHJ42" s="44"/>
      <c r="BHK42" s="44"/>
      <c r="BHL42" s="44"/>
      <c r="BHM42" s="44"/>
      <c r="BHN42" s="44"/>
      <c r="BHO42" s="44"/>
      <c r="BHP42" s="44"/>
      <c r="BHQ42" s="44"/>
      <c r="BHR42" s="44"/>
      <c r="BHS42" s="44"/>
      <c r="BHT42" s="44"/>
      <c r="BHU42" s="44"/>
      <c r="BHV42" s="44"/>
      <c r="BHW42" s="44"/>
      <c r="BHX42" s="44"/>
      <c r="BHY42" s="44"/>
      <c r="BHZ42" s="44"/>
      <c r="BIA42" s="44"/>
      <c r="BIB42" s="44"/>
      <c r="BIC42" s="44"/>
      <c r="BID42" s="44"/>
      <c r="BIE42" s="44"/>
      <c r="BIF42" s="44"/>
      <c r="BIG42" s="44"/>
      <c r="BIH42" s="44"/>
      <c r="BII42" s="44"/>
      <c r="BIJ42" s="44"/>
      <c r="BIK42" s="44"/>
      <c r="BIL42" s="44"/>
      <c r="BIM42" s="44"/>
      <c r="BIN42" s="44"/>
      <c r="BIO42" s="44"/>
      <c r="BIP42" s="44"/>
      <c r="BIQ42" s="44"/>
      <c r="BIR42" s="44"/>
      <c r="BIS42" s="44"/>
      <c r="BIT42" s="44"/>
      <c r="BIU42" s="44"/>
      <c r="BIV42" s="44"/>
      <c r="BIW42" s="44"/>
      <c r="BIX42" s="44"/>
      <c r="BIY42" s="44"/>
      <c r="BIZ42" s="44"/>
      <c r="BJA42" s="44"/>
      <c r="BJB42" s="44"/>
      <c r="BJC42" s="44"/>
      <c r="BJD42" s="44"/>
      <c r="BJE42" s="44"/>
      <c r="BJF42" s="44"/>
      <c r="BJG42" s="44"/>
      <c r="BJH42" s="44"/>
      <c r="BJI42" s="44"/>
      <c r="BJJ42" s="44"/>
      <c r="BJK42" s="44"/>
      <c r="BJL42" s="44"/>
      <c r="BJM42" s="44"/>
      <c r="BJN42" s="44"/>
      <c r="BJO42" s="44"/>
      <c r="BJP42" s="44"/>
      <c r="BJQ42" s="44"/>
      <c r="BJR42" s="44"/>
      <c r="BJS42" s="44"/>
      <c r="BJT42" s="44"/>
      <c r="BJU42" s="44"/>
      <c r="BJV42" s="44"/>
      <c r="BJW42" s="44"/>
      <c r="BJX42" s="44"/>
      <c r="BJY42" s="44"/>
      <c r="BJZ42" s="44"/>
      <c r="BKA42" s="44"/>
      <c r="BKB42" s="44"/>
      <c r="BKC42" s="44"/>
      <c r="BKD42" s="44"/>
      <c r="BKE42" s="44"/>
      <c r="BKF42" s="44"/>
      <c r="BKG42" s="44"/>
      <c r="BKH42" s="44"/>
      <c r="BKI42" s="44"/>
      <c r="BKJ42" s="44"/>
      <c r="BKK42" s="44"/>
      <c r="BKL42" s="44"/>
      <c r="BKM42" s="44"/>
      <c r="BKN42" s="44"/>
      <c r="BKO42" s="44"/>
      <c r="BKP42" s="44"/>
      <c r="BKQ42" s="44"/>
      <c r="BKR42" s="44"/>
      <c r="BKS42" s="44"/>
      <c r="BKT42" s="44"/>
      <c r="BKU42" s="44"/>
      <c r="BKV42" s="44"/>
      <c r="BKW42" s="44"/>
      <c r="BKX42" s="44"/>
      <c r="BKY42" s="44"/>
      <c r="BKZ42" s="44"/>
      <c r="BLA42" s="44"/>
      <c r="BLB42" s="44"/>
      <c r="BLC42" s="44"/>
      <c r="BLD42" s="44"/>
      <c r="BLE42" s="44"/>
      <c r="BLF42" s="44"/>
      <c r="BLG42" s="44"/>
      <c r="BLH42" s="44"/>
      <c r="BLI42" s="44"/>
      <c r="BLJ42" s="44"/>
      <c r="BLK42" s="44"/>
      <c r="BLL42" s="44"/>
      <c r="BLM42" s="44"/>
      <c r="BLN42" s="44"/>
      <c r="BLO42" s="44"/>
      <c r="BLP42" s="44"/>
      <c r="BLQ42" s="44"/>
      <c r="BLR42" s="44"/>
      <c r="BLS42" s="44"/>
      <c r="BLT42" s="44"/>
      <c r="BLU42" s="44"/>
      <c r="BLV42" s="44"/>
      <c r="BLW42" s="44"/>
      <c r="BLX42" s="44"/>
      <c r="BLY42" s="44"/>
      <c r="BLZ42" s="44"/>
      <c r="BMA42" s="44"/>
      <c r="BMB42" s="44"/>
      <c r="BMC42" s="44"/>
      <c r="BMD42" s="44"/>
      <c r="BME42" s="44"/>
      <c r="BMF42" s="44"/>
      <c r="BMG42" s="44"/>
      <c r="BMH42" s="44"/>
      <c r="BMI42" s="44"/>
      <c r="BMJ42" s="44"/>
      <c r="BMK42" s="44"/>
      <c r="BML42" s="44"/>
      <c r="BMM42" s="44"/>
      <c r="BMN42" s="44"/>
      <c r="BMO42" s="44"/>
      <c r="BMP42" s="44"/>
      <c r="BMQ42" s="44"/>
      <c r="BMR42" s="44"/>
      <c r="BMS42" s="44"/>
      <c r="BMT42" s="44"/>
      <c r="BMU42" s="44"/>
      <c r="BMV42" s="44"/>
      <c r="BMW42" s="44"/>
      <c r="BMX42" s="44"/>
      <c r="BMY42" s="44"/>
      <c r="BMZ42" s="44"/>
      <c r="BNA42" s="44"/>
      <c r="BNB42" s="44"/>
      <c r="BNC42" s="44"/>
      <c r="BND42" s="44"/>
      <c r="BNE42" s="44"/>
      <c r="BNF42" s="44"/>
      <c r="BNG42" s="44"/>
      <c r="BNH42" s="44"/>
      <c r="BNI42" s="44"/>
      <c r="BNJ42" s="44"/>
      <c r="BNK42" s="44"/>
      <c r="BNL42" s="44"/>
      <c r="BNM42" s="44"/>
      <c r="BNN42" s="44"/>
      <c r="BNO42" s="44"/>
      <c r="BNP42" s="44"/>
      <c r="BNQ42" s="44"/>
      <c r="BNR42" s="44"/>
      <c r="BNS42" s="44"/>
      <c r="BNT42" s="44"/>
      <c r="BNU42" s="44"/>
      <c r="BNV42" s="44"/>
      <c r="BNW42" s="44"/>
      <c r="BNX42" s="44"/>
      <c r="BNY42" s="44"/>
      <c r="BNZ42" s="44"/>
      <c r="BOA42" s="44"/>
      <c r="BOB42" s="44"/>
      <c r="BOC42" s="44"/>
      <c r="BOD42" s="44"/>
      <c r="BOE42" s="44"/>
      <c r="BOF42" s="44"/>
      <c r="BOG42" s="44"/>
      <c r="BOH42" s="44"/>
      <c r="BOI42" s="44"/>
      <c r="BOJ42" s="44"/>
      <c r="BOK42" s="44"/>
      <c r="BOL42" s="44"/>
      <c r="BOM42" s="44"/>
      <c r="BON42" s="44"/>
      <c r="BOO42" s="44"/>
      <c r="BOP42" s="44"/>
      <c r="BOQ42" s="44"/>
      <c r="BOR42" s="44"/>
      <c r="BOS42" s="44"/>
      <c r="BOT42" s="44"/>
      <c r="BOU42" s="44"/>
      <c r="BOV42" s="44"/>
      <c r="BOW42" s="44"/>
      <c r="BOX42" s="44"/>
      <c r="BOY42" s="44"/>
      <c r="BOZ42" s="44"/>
      <c r="BPA42" s="44"/>
      <c r="BPB42" s="44"/>
      <c r="BPC42" s="44"/>
      <c r="BPD42" s="44"/>
      <c r="BPE42" s="44"/>
      <c r="BPF42" s="44"/>
      <c r="BPG42" s="44"/>
      <c r="BPH42" s="44"/>
      <c r="BPI42" s="44"/>
      <c r="BPJ42" s="44"/>
      <c r="BPK42" s="44"/>
      <c r="BPL42" s="44"/>
      <c r="BPM42" s="44"/>
      <c r="BPN42" s="44"/>
      <c r="BPO42" s="44"/>
      <c r="BPP42" s="44"/>
      <c r="BPQ42" s="44"/>
      <c r="BPR42" s="44"/>
      <c r="BPS42" s="44"/>
      <c r="BPT42" s="44"/>
      <c r="BPU42" s="44"/>
      <c r="BPV42" s="44"/>
      <c r="BPW42" s="44"/>
      <c r="BPX42" s="44"/>
      <c r="BPY42" s="44"/>
      <c r="BPZ42" s="44"/>
      <c r="BQA42" s="44"/>
      <c r="BQB42" s="44"/>
      <c r="BQC42" s="44"/>
      <c r="BQD42" s="44"/>
      <c r="BQE42" s="44"/>
      <c r="BQF42" s="44"/>
      <c r="BQG42" s="44"/>
      <c r="BQH42" s="44"/>
      <c r="BQI42" s="44"/>
      <c r="BQJ42" s="44"/>
      <c r="BQK42" s="44"/>
      <c r="BQL42" s="44"/>
      <c r="BQM42" s="44"/>
      <c r="BQN42" s="44"/>
      <c r="BQO42" s="44"/>
      <c r="BQP42" s="44"/>
      <c r="BQQ42" s="44"/>
      <c r="BQR42" s="44"/>
      <c r="BQS42" s="44"/>
      <c r="BQT42" s="44"/>
      <c r="BQU42" s="44"/>
      <c r="BQV42" s="44"/>
      <c r="BQW42" s="44"/>
      <c r="BQX42" s="44"/>
      <c r="BQY42" s="44"/>
      <c r="BQZ42" s="44"/>
      <c r="BRA42" s="44"/>
      <c r="BRB42" s="44"/>
      <c r="BRC42" s="44"/>
      <c r="BRD42" s="44"/>
      <c r="BRE42" s="44"/>
      <c r="BRF42" s="44"/>
      <c r="BRG42" s="44"/>
      <c r="BRH42" s="44"/>
      <c r="BRI42" s="44"/>
      <c r="BRJ42" s="44"/>
      <c r="BRK42" s="44"/>
      <c r="BRL42" s="44"/>
      <c r="BRM42" s="44"/>
      <c r="BRN42" s="44"/>
      <c r="BRO42" s="44"/>
      <c r="BRP42" s="44"/>
      <c r="BRQ42" s="44"/>
      <c r="BRR42" s="44"/>
      <c r="BRS42" s="44"/>
      <c r="BRT42" s="44"/>
      <c r="BRU42" s="44"/>
      <c r="BRV42" s="44"/>
      <c r="BRW42" s="44"/>
      <c r="BRX42" s="44"/>
      <c r="BRY42" s="44"/>
      <c r="BRZ42" s="44"/>
      <c r="BSA42" s="44"/>
      <c r="BSB42" s="44"/>
      <c r="BSC42" s="44"/>
      <c r="BSD42" s="44"/>
      <c r="BSE42" s="44"/>
      <c r="BSF42" s="44"/>
      <c r="BSG42" s="44"/>
      <c r="BSH42" s="44"/>
      <c r="BSI42" s="44"/>
      <c r="BSJ42" s="44"/>
      <c r="BSK42" s="44"/>
      <c r="BSL42" s="44"/>
      <c r="BSM42" s="44"/>
      <c r="BSN42" s="44"/>
      <c r="BSO42" s="44"/>
      <c r="BSP42" s="44"/>
      <c r="BSQ42" s="44"/>
      <c r="BSR42" s="44"/>
      <c r="BSS42" s="44"/>
      <c r="BST42" s="44"/>
      <c r="BSU42" s="44"/>
      <c r="BSV42" s="44"/>
      <c r="BSW42" s="44"/>
      <c r="BSX42" s="44"/>
      <c r="BSY42" s="44"/>
      <c r="BSZ42" s="44"/>
      <c r="BTA42" s="44"/>
      <c r="BTB42" s="44"/>
      <c r="BTC42" s="44"/>
      <c r="BTD42" s="44"/>
      <c r="BTE42" s="44"/>
      <c r="BTF42" s="44"/>
      <c r="BTG42" s="44"/>
      <c r="BTH42" s="44"/>
      <c r="BTI42" s="44"/>
      <c r="BTJ42" s="44"/>
      <c r="BTK42" s="44"/>
      <c r="BTL42" s="44"/>
      <c r="BTM42" s="44"/>
      <c r="BTN42" s="44"/>
      <c r="BTO42" s="44"/>
      <c r="BTP42" s="44"/>
      <c r="BTQ42" s="44"/>
      <c r="BTR42" s="44"/>
      <c r="BTS42" s="44"/>
      <c r="BTT42" s="44"/>
      <c r="BTU42" s="44"/>
      <c r="BTV42" s="44"/>
      <c r="BTW42" s="44"/>
      <c r="BTX42" s="44"/>
      <c r="BTY42" s="44"/>
      <c r="BTZ42" s="44"/>
      <c r="BUA42" s="44"/>
      <c r="BUB42" s="44"/>
      <c r="BUC42" s="44"/>
      <c r="BUD42" s="44"/>
      <c r="BUE42" s="44"/>
      <c r="BUF42" s="44"/>
      <c r="BUG42" s="44"/>
      <c r="BUH42" s="44"/>
      <c r="BUI42" s="44"/>
      <c r="BUJ42" s="44"/>
      <c r="BUK42" s="44"/>
      <c r="BUL42" s="44"/>
      <c r="BUM42" s="44"/>
      <c r="BUN42" s="44"/>
      <c r="BUO42" s="44"/>
      <c r="BUP42" s="44"/>
      <c r="BUQ42" s="44"/>
      <c r="BUR42" s="44"/>
      <c r="BUS42" s="44"/>
      <c r="BUT42" s="44"/>
      <c r="BUU42" s="44"/>
      <c r="BUV42" s="44"/>
      <c r="BUW42" s="44"/>
      <c r="BUX42" s="44"/>
      <c r="BUY42" s="44"/>
      <c r="BUZ42" s="44"/>
      <c r="BVA42" s="44"/>
      <c r="BVB42" s="44"/>
      <c r="BVC42" s="44"/>
      <c r="BVD42" s="44"/>
      <c r="BVE42" s="44"/>
      <c r="BVF42" s="44"/>
      <c r="BVG42" s="44"/>
      <c r="BVH42" s="44"/>
      <c r="BVI42" s="44"/>
      <c r="BVJ42" s="44"/>
      <c r="BVK42" s="44"/>
      <c r="BVL42" s="44"/>
      <c r="BVM42" s="44"/>
      <c r="BVN42" s="44"/>
      <c r="BVO42" s="44"/>
      <c r="BVP42" s="44"/>
      <c r="BVQ42" s="44"/>
      <c r="BVR42" s="44"/>
      <c r="BVS42" s="44"/>
      <c r="BVT42" s="44"/>
      <c r="BVU42" s="44"/>
      <c r="BVV42" s="44"/>
      <c r="BVW42" s="44"/>
      <c r="BVX42" s="44"/>
      <c r="BVY42" s="44"/>
      <c r="BVZ42" s="44"/>
      <c r="BWA42" s="44"/>
      <c r="BWB42" s="44"/>
      <c r="BWC42" s="44"/>
      <c r="BWD42" s="44"/>
      <c r="BWE42" s="44"/>
      <c r="BWF42" s="44"/>
      <c r="BWG42" s="44"/>
      <c r="BWH42" s="44"/>
      <c r="BWI42" s="44"/>
      <c r="BWJ42" s="44"/>
      <c r="BWK42" s="44"/>
      <c r="BWL42" s="44"/>
      <c r="BWM42" s="44"/>
      <c r="BWN42" s="44"/>
      <c r="BWO42" s="44"/>
      <c r="BWP42" s="44"/>
      <c r="BWQ42" s="44"/>
      <c r="BWR42" s="44"/>
      <c r="BWS42" s="44"/>
      <c r="BWT42" s="44"/>
      <c r="BWU42" s="44"/>
      <c r="BWV42" s="44"/>
      <c r="BWW42" s="44"/>
      <c r="BWX42" s="44"/>
      <c r="BWY42" s="44"/>
      <c r="BWZ42" s="44"/>
      <c r="BXA42" s="44"/>
      <c r="BXB42" s="44"/>
      <c r="BXC42" s="44"/>
      <c r="BXD42" s="44"/>
      <c r="BXE42" s="44"/>
      <c r="BXF42" s="44"/>
      <c r="BXG42" s="44"/>
      <c r="BXH42" s="44"/>
      <c r="BXI42" s="44"/>
      <c r="BXJ42" s="44"/>
      <c r="BXK42" s="44"/>
      <c r="BXL42" s="44"/>
      <c r="BXM42" s="44"/>
      <c r="BXN42" s="44"/>
      <c r="BXO42" s="44"/>
      <c r="BXP42" s="44"/>
      <c r="BXQ42" s="44"/>
      <c r="BXR42" s="44"/>
      <c r="BXS42" s="44"/>
      <c r="BXT42" s="44"/>
      <c r="BXU42" s="44"/>
      <c r="BXV42" s="44"/>
      <c r="BXW42" s="44"/>
      <c r="BXX42" s="44"/>
      <c r="BXY42" s="44"/>
      <c r="BXZ42" s="44"/>
      <c r="BYA42" s="44"/>
      <c r="BYB42" s="44"/>
      <c r="BYC42" s="44"/>
      <c r="BYD42" s="44"/>
      <c r="BYE42" s="44"/>
      <c r="BYF42" s="44"/>
      <c r="BYG42" s="44"/>
      <c r="BYH42" s="44"/>
      <c r="BYI42" s="44"/>
      <c r="BYJ42" s="44"/>
      <c r="BYK42" s="44"/>
      <c r="BYL42" s="44"/>
      <c r="BYM42" s="44"/>
      <c r="BYN42" s="44"/>
      <c r="BYO42" s="44"/>
      <c r="BYP42" s="44"/>
      <c r="BYQ42" s="44"/>
      <c r="BYR42" s="44"/>
      <c r="BYS42" s="44"/>
      <c r="BYT42" s="44"/>
      <c r="BYU42" s="44"/>
      <c r="BYV42" s="44"/>
      <c r="BYW42" s="44"/>
      <c r="BYX42" s="44"/>
      <c r="BYY42" s="44"/>
      <c r="BYZ42" s="44"/>
      <c r="BZA42" s="44"/>
      <c r="BZB42" s="44"/>
      <c r="BZC42" s="44"/>
      <c r="BZD42" s="44"/>
      <c r="BZE42" s="44"/>
      <c r="BZF42" s="44"/>
      <c r="BZG42" s="44"/>
      <c r="BZH42" s="44"/>
      <c r="BZI42" s="44"/>
      <c r="BZJ42" s="44"/>
      <c r="BZK42" s="44"/>
      <c r="BZL42" s="44"/>
      <c r="BZM42" s="44"/>
      <c r="BZN42" s="44"/>
      <c r="BZO42" s="44"/>
      <c r="BZP42" s="44"/>
      <c r="BZQ42" s="44"/>
      <c r="BZR42" s="44"/>
      <c r="BZS42" s="44"/>
      <c r="BZT42" s="44"/>
      <c r="BZU42" s="44"/>
      <c r="BZV42" s="44"/>
      <c r="BZW42" s="44"/>
      <c r="BZX42" s="44"/>
      <c r="BZY42" s="44"/>
      <c r="BZZ42" s="44"/>
      <c r="CAA42" s="44"/>
      <c r="CAB42" s="44"/>
      <c r="CAC42" s="44"/>
      <c r="CAD42" s="44"/>
      <c r="CAE42" s="44"/>
      <c r="CAF42" s="44"/>
      <c r="CAG42" s="44"/>
      <c r="CAH42" s="44"/>
      <c r="CAI42" s="44"/>
      <c r="CAJ42" s="44"/>
      <c r="CAK42" s="44"/>
      <c r="CAL42" s="44"/>
      <c r="CAM42" s="44"/>
      <c r="CAN42" s="44"/>
      <c r="CAO42" s="44"/>
      <c r="CAP42" s="44"/>
      <c r="CAQ42" s="44"/>
      <c r="CAR42" s="44"/>
      <c r="CAS42" s="44"/>
      <c r="CAT42" s="44"/>
      <c r="CAU42" s="44"/>
      <c r="CAV42" s="44"/>
      <c r="CAW42" s="44"/>
      <c r="CAX42" s="44"/>
      <c r="CAY42" s="44"/>
      <c r="CAZ42" s="44"/>
      <c r="CBA42" s="44"/>
      <c r="CBB42" s="44"/>
      <c r="CBC42" s="44"/>
      <c r="CBD42" s="44"/>
      <c r="CBE42" s="44"/>
      <c r="CBF42" s="44"/>
      <c r="CBG42" s="44"/>
      <c r="CBH42" s="44"/>
      <c r="CBI42" s="44"/>
      <c r="CBJ42" s="44"/>
      <c r="CBK42" s="44"/>
      <c r="CBL42" s="44"/>
      <c r="CBM42" s="44"/>
      <c r="CBN42" s="44"/>
      <c r="CBO42" s="44"/>
      <c r="CBP42" s="44"/>
      <c r="CBQ42" s="44"/>
      <c r="CBR42" s="44"/>
      <c r="CBS42" s="44"/>
      <c r="CBT42" s="44"/>
      <c r="CBU42" s="44"/>
      <c r="CBV42" s="44"/>
      <c r="CBW42" s="44"/>
      <c r="CBX42" s="44"/>
      <c r="CBY42" s="44"/>
      <c r="CBZ42" s="44"/>
      <c r="CCA42" s="44"/>
      <c r="CCB42" s="44"/>
      <c r="CCC42" s="44"/>
      <c r="CCD42" s="44"/>
      <c r="CCE42" s="44"/>
      <c r="CCF42" s="44"/>
      <c r="CCG42" s="44"/>
      <c r="CCH42" s="44"/>
      <c r="CCI42" s="44"/>
      <c r="CCJ42" s="44"/>
      <c r="CCK42" s="44"/>
      <c r="CCL42" s="44"/>
      <c r="CCM42" s="44"/>
      <c r="CCN42" s="44"/>
      <c r="CCO42" s="44"/>
      <c r="CCP42" s="44"/>
      <c r="CCQ42" s="44"/>
      <c r="CCR42" s="44"/>
      <c r="CCS42" s="44"/>
      <c r="CCT42" s="44"/>
      <c r="CCU42" s="44"/>
      <c r="CCV42" s="44"/>
      <c r="CCW42" s="44"/>
      <c r="CCX42" s="44"/>
      <c r="CCY42" s="44"/>
      <c r="CCZ42" s="44"/>
      <c r="CDA42" s="44"/>
      <c r="CDB42" s="44"/>
      <c r="CDC42" s="44"/>
      <c r="CDD42" s="44"/>
      <c r="CDE42" s="44"/>
      <c r="CDF42" s="44"/>
      <c r="CDG42" s="44"/>
      <c r="CDH42" s="44"/>
      <c r="CDI42" s="44"/>
      <c r="CDJ42" s="44"/>
      <c r="CDK42" s="44"/>
      <c r="CDL42" s="44"/>
      <c r="CDM42" s="44"/>
      <c r="CDN42" s="44"/>
      <c r="CDO42" s="44"/>
      <c r="CDP42" s="44"/>
      <c r="CDQ42" s="44"/>
      <c r="CDR42" s="44"/>
      <c r="CDS42" s="44"/>
      <c r="CDT42" s="44"/>
      <c r="CDU42" s="44"/>
      <c r="CDV42" s="44"/>
      <c r="CDW42" s="44"/>
      <c r="CDX42" s="44"/>
      <c r="CDY42" s="44"/>
      <c r="CDZ42" s="44"/>
      <c r="CEA42" s="44"/>
      <c r="CEB42" s="44"/>
      <c r="CEC42" s="44"/>
      <c r="CED42" s="44"/>
      <c r="CEE42" s="44"/>
      <c r="CEF42" s="44"/>
      <c r="CEG42" s="44"/>
      <c r="CEH42" s="44"/>
      <c r="CEI42" s="44"/>
      <c r="CEJ42" s="44"/>
      <c r="CEK42" s="44"/>
      <c r="CEL42" s="44"/>
      <c r="CEM42" s="44"/>
      <c r="CEN42" s="44"/>
      <c r="CEO42" s="44"/>
      <c r="CEP42" s="44"/>
      <c r="CEQ42" s="44"/>
      <c r="CER42" s="44"/>
      <c r="CES42" s="44"/>
      <c r="CET42" s="44"/>
      <c r="CEU42" s="44"/>
      <c r="CEV42" s="44"/>
      <c r="CEW42" s="44"/>
      <c r="CEX42" s="44"/>
      <c r="CEY42" s="44"/>
      <c r="CEZ42" s="44"/>
      <c r="CFA42" s="44"/>
      <c r="CFB42" s="44"/>
      <c r="CFC42" s="44"/>
      <c r="CFD42" s="44"/>
      <c r="CFE42" s="44"/>
      <c r="CFF42" s="44"/>
      <c r="CFG42" s="44"/>
      <c r="CFH42" s="44"/>
      <c r="CFI42" s="44"/>
      <c r="CFJ42" s="44"/>
      <c r="CFK42" s="44"/>
      <c r="CFL42" s="44"/>
      <c r="CFM42" s="44"/>
      <c r="CFN42" s="44"/>
      <c r="CFO42" s="44"/>
      <c r="CFP42" s="44"/>
      <c r="CFQ42" s="44"/>
      <c r="CFR42" s="44"/>
      <c r="CFS42" s="44"/>
      <c r="CFT42" s="44"/>
      <c r="CFU42" s="44"/>
      <c r="CFV42" s="44"/>
      <c r="CFW42" s="44"/>
      <c r="CFX42" s="44"/>
      <c r="CFY42" s="44"/>
      <c r="CFZ42" s="44"/>
      <c r="CGA42" s="44"/>
      <c r="CGB42" s="44"/>
      <c r="CGC42" s="44"/>
      <c r="CGD42" s="44"/>
      <c r="CGE42" s="44"/>
      <c r="CGF42" s="44"/>
      <c r="CGG42" s="44"/>
      <c r="CGH42" s="44"/>
      <c r="CGI42" s="44"/>
      <c r="CGJ42" s="44"/>
      <c r="CGK42" s="44"/>
      <c r="CGL42" s="44"/>
      <c r="CGM42" s="44"/>
      <c r="CGN42" s="44"/>
      <c r="CGO42" s="44"/>
      <c r="CGP42" s="44"/>
      <c r="CGQ42" s="44"/>
      <c r="CGR42" s="44"/>
      <c r="CGS42" s="44"/>
      <c r="CGT42" s="44"/>
      <c r="CGU42" s="44"/>
      <c r="CGV42" s="44"/>
      <c r="CGW42" s="44"/>
      <c r="CGX42" s="44"/>
      <c r="CGY42" s="44"/>
      <c r="CGZ42" s="44"/>
      <c r="CHA42" s="44"/>
      <c r="CHB42" s="44"/>
      <c r="CHC42" s="44"/>
      <c r="CHD42" s="44"/>
      <c r="CHE42" s="44"/>
      <c r="CHF42" s="44"/>
      <c r="CHG42" s="44"/>
      <c r="CHH42" s="44"/>
      <c r="CHI42" s="44"/>
      <c r="CHJ42" s="44"/>
      <c r="CHK42" s="44"/>
      <c r="CHL42" s="44"/>
      <c r="CHM42" s="44"/>
      <c r="CHN42" s="44"/>
      <c r="CHO42" s="44"/>
      <c r="CHP42" s="44"/>
      <c r="CHQ42" s="44"/>
      <c r="CHR42" s="44"/>
      <c r="CHS42" s="44"/>
      <c r="CHT42" s="44"/>
      <c r="CHU42" s="44"/>
      <c r="CHV42" s="44"/>
      <c r="CHW42" s="44"/>
      <c r="CHX42" s="44"/>
      <c r="CHY42" s="44"/>
      <c r="CHZ42" s="44"/>
      <c r="CIA42" s="44"/>
      <c r="CIB42" s="44"/>
      <c r="CIC42" s="44"/>
      <c r="CID42" s="44"/>
      <c r="CIE42" s="44"/>
      <c r="CIF42" s="44"/>
      <c r="CIG42" s="44"/>
      <c r="CIH42" s="44"/>
      <c r="CII42" s="44"/>
      <c r="CIJ42" s="44"/>
      <c r="CIK42" s="44"/>
      <c r="CIL42" s="44"/>
      <c r="CIM42" s="44"/>
      <c r="CIN42" s="44"/>
      <c r="CIO42" s="44"/>
      <c r="CIP42" s="44"/>
      <c r="CIQ42" s="44"/>
      <c r="CIR42" s="44"/>
      <c r="CIS42" s="44"/>
      <c r="CIT42" s="44"/>
      <c r="CIU42" s="44"/>
      <c r="CIV42" s="44"/>
      <c r="CIW42" s="44"/>
      <c r="CIX42" s="44"/>
      <c r="CIY42" s="44"/>
      <c r="CIZ42" s="44"/>
      <c r="CJA42" s="44"/>
      <c r="CJB42" s="44"/>
      <c r="CJC42" s="44"/>
      <c r="CJD42" s="44"/>
      <c r="CJE42" s="44"/>
      <c r="CJF42" s="44"/>
      <c r="CJG42" s="44"/>
      <c r="CJH42" s="44"/>
      <c r="CJI42" s="44"/>
      <c r="CJJ42" s="44"/>
      <c r="CJK42" s="44"/>
      <c r="CJL42" s="44"/>
      <c r="CJM42" s="44"/>
      <c r="CJN42" s="44"/>
      <c r="CJO42" s="44"/>
      <c r="CJP42" s="44"/>
      <c r="CJQ42" s="44"/>
      <c r="CJR42" s="44"/>
      <c r="CJS42" s="44"/>
      <c r="CJT42" s="44"/>
      <c r="CJU42" s="44"/>
      <c r="CJV42" s="44"/>
      <c r="CJW42" s="44"/>
      <c r="CJX42" s="44"/>
      <c r="CJY42" s="44"/>
      <c r="CJZ42" s="44"/>
      <c r="CKA42" s="44"/>
      <c r="CKB42" s="44"/>
      <c r="CKC42" s="44"/>
      <c r="CKD42" s="44"/>
      <c r="CKE42" s="44"/>
      <c r="CKF42" s="44"/>
      <c r="CKG42" s="44"/>
      <c r="CKH42" s="44"/>
      <c r="CKI42" s="44"/>
      <c r="CKJ42" s="44"/>
      <c r="CKK42" s="44"/>
      <c r="CKL42" s="44"/>
      <c r="CKM42" s="44"/>
      <c r="CKN42" s="44"/>
      <c r="CKO42" s="44"/>
      <c r="CKP42" s="44"/>
      <c r="CKQ42" s="44"/>
      <c r="CKR42" s="44"/>
      <c r="CKS42" s="44"/>
      <c r="CKT42" s="44"/>
      <c r="CKU42" s="44"/>
      <c r="CKV42" s="44"/>
      <c r="CKW42" s="44"/>
      <c r="CKX42" s="44"/>
      <c r="CKY42" s="44"/>
      <c r="CKZ42" s="44"/>
      <c r="CLA42" s="44"/>
      <c r="CLB42" s="44"/>
      <c r="CLC42" s="44"/>
      <c r="CLD42" s="44"/>
      <c r="CLE42" s="44"/>
      <c r="CLF42" s="44"/>
      <c r="CLG42" s="44"/>
      <c r="CLH42" s="44"/>
      <c r="CLI42" s="44"/>
      <c r="CLJ42" s="44"/>
      <c r="CLK42" s="44"/>
      <c r="CLL42" s="44"/>
      <c r="CLM42" s="44"/>
      <c r="CLN42" s="44"/>
      <c r="CLO42" s="44"/>
      <c r="CLP42" s="44"/>
      <c r="CLQ42" s="44"/>
      <c r="CLR42" s="44"/>
      <c r="CLS42" s="44"/>
      <c r="CLT42" s="44"/>
      <c r="CLU42" s="44"/>
      <c r="CLV42" s="44"/>
      <c r="CLW42" s="44"/>
      <c r="CLX42" s="44"/>
      <c r="CLY42" s="44"/>
      <c r="CLZ42" s="44"/>
      <c r="CMA42" s="44"/>
      <c r="CMB42" s="44"/>
      <c r="CMC42" s="44"/>
      <c r="CMD42" s="44"/>
      <c r="CME42" s="44"/>
      <c r="CMF42" s="44"/>
      <c r="CMG42" s="44"/>
      <c r="CMH42" s="44"/>
      <c r="CMI42" s="44"/>
      <c r="CMJ42" s="44"/>
      <c r="CMK42" s="44"/>
      <c r="CML42" s="44"/>
      <c r="CMM42" s="44"/>
      <c r="CMN42" s="44"/>
      <c r="CMO42" s="44"/>
      <c r="CMP42" s="44"/>
      <c r="CMQ42" s="44"/>
      <c r="CMR42" s="44"/>
      <c r="CMS42" s="44"/>
      <c r="CMT42" s="44"/>
      <c r="CMU42" s="44"/>
      <c r="CMV42" s="44"/>
      <c r="CMW42" s="44"/>
      <c r="CMX42" s="44"/>
      <c r="CMY42" s="44"/>
      <c r="CMZ42" s="44"/>
      <c r="CNA42" s="44"/>
      <c r="CNB42" s="44"/>
      <c r="CNC42" s="44"/>
      <c r="CND42" s="44"/>
      <c r="CNE42" s="44"/>
      <c r="CNF42" s="44"/>
      <c r="CNG42" s="44"/>
      <c r="CNH42" s="44"/>
      <c r="CNI42" s="44"/>
      <c r="CNJ42" s="44"/>
      <c r="CNK42" s="44"/>
      <c r="CNL42" s="44"/>
      <c r="CNM42" s="44"/>
      <c r="CNN42" s="44"/>
      <c r="CNO42" s="44"/>
      <c r="CNP42" s="44"/>
      <c r="CNQ42" s="44"/>
      <c r="CNR42" s="44"/>
      <c r="CNS42" s="44"/>
      <c r="CNT42" s="44"/>
      <c r="CNU42" s="44"/>
      <c r="CNV42" s="44"/>
      <c r="CNW42" s="44"/>
      <c r="CNX42" s="44"/>
      <c r="CNY42" s="44"/>
      <c r="CNZ42" s="44"/>
      <c r="COA42" s="44"/>
      <c r="COB42" s="44"/>
      <c r="COC42" s="44"/>
      <c r="COD42" s="44"/>
      <c r="COE42" s="44"/>
      <c r="COF42" s="44"/>
      <c r="COG42" s="44"/>
      <c r="COH42" s="44"/>
      <c r="COI42" s="44"/>
      <c r="COJ42" s="44"/>
      <c r="COK42" s="44"/>
      <c r="COL42" s="44"/>
      <c r="COM42" s="44"/>
      <c r="CON42" s="44"/>
      <c r="COO42" s="44"/>
      <c r="COP42" s="44"/>
      <c r="COQ42" s="44"/>
      <c r="COR42" s="44"/>
      <c r="COS42" s="44"/>
      <c r="COT42" s="44"/>
      <c r="COU42" s="44"/>
      <c r="COV42" s="44"/>
      <c r="COW42" s="44"/>
      <c r="COX42" s="44"/>
      <c r="COY42" s="44"/>
      <c r="COZ42" s="44"/>
      <c r="CPA42" s="44"/>
      <c r="CPB42" s="44"/>
      <c r="CPC42" s="44"/>
      <c r="CPD42" s="44"/>
      <c r="CPE42" s="44"/>
      <c r="CPF42" s="44"/>
      <c r="CPG42" s="44"/>
      <c r="CPH42" s="44"/>
      <c r="CPI42" s="44"/>
      <c r="CPJ42" s="44"/>
      <c r="CPK42" s="44"/>
      <c r="CPL42" s="44"/>
      <c r="CPM42" s="44"/>
      <c r="CPN42" s="44"/>
      <c r="CPO42" s="44"/>
      <c r="CPP42" s="44"/>
      <c r="CPQ42" s="44"/>
      <c r="CPR42" s="44"/>
      <c r="CPS42" s="44"/>
      <c r="CPT42" s="44"/>
      <c r="CPU42" s="44"/>
      <c r="CPV42" s="44"/>
      <c r="CPW42" s="44"/>
      <c r="CPX42" s="44"/>
      <c r="CPY42" s="44"/>
      <c r="CPZ42" s="44"/>
      <c r="CQA42" s="44"/>
      <c r="CQB42" s="44"/>
      <c r="CQC42" s="44"/>
      <c r="CQD42" s="44"/>
      <c r="CQE42" s="44"/>
      <c r="CQF42" s="44"/>
      <c r="CQG42" s="44"/>
      <c r="CQH42" s="44"/>
      <c r="CQI42" s="44"/>
      <c r="CQJ42" s="44"/>
      <c r="CQK42" s="44"/>
      <c r="CQL42" s="44"/>
      <c r="CQM42" s="44"/>
      <c r="CQN42" s="44"/>
      <c r="CQO42" s="44"/>
      <c r="CQP42" s="44"/>
      <c r="CQQ42" s="44"/>
      <c r="CQR42" s="44"/>
      <c r="CQS42" s="44"/>
      <c r="CQT42" s="44"/>
      <c r="CQU42" s="44"/>
      <c r="CQV42" s="44"/>
      <c r="CQW42" s="44"/>
      <c r="CQX42" s="44"/>
      <c r="CQY42" s="44"/>
      <c r="CQZ42" s="44"/>
      <c r="CRA42" s="44"/>
      <c r="CRB42" s="44"/>
      <c r="CRC42" s="44"/>
      <c r="CRD42" s="44"/>
      <c r="CRE42" s="44"/>
      <c r="CRF42" s="44"/>
      <c r="CRG42" s="44"/>
      <c r="CRH42" s="44"/>
      <c r="CRI42" s="44"/>
      <c r="CRJ42" s="44"/>
      <c r="CRK42" s="44"/>
      <c r="CRL42" s="44"/>
      <c r="CRM42" s="44"/>
      <c r="CRN42" s="44"/>
      <c r="CRO42" s="44"/>
      <c r="CRP42" s="44"/>
      <c r="CRQ42" s="44"/>
      <c r="CRR42" s="44"/>
      <c r="CRS42" s="44"/>
      <c r="CRT42" s="44"/>
      <c r="CRU42" s="44"/>
      <c r="CRV42" s="44"/>
      <c r="CRW42" s="44"/>
      <c r="CRX42" s="44"/>
      <c r="CRY42" s="44"/>
      <c r="CRZ42" s="44"/>
      <c r="CSA42" s="44"/>
      <c r="CSB42" s="44"/>
      <c r="CSC42" s="44"/>
      <c r="CSD42" s="44"/>
      <c r="CSE42" s="44"/>
      <c r="CSF42" s="44"/>
      <c r="CSG42" s="44"/>
      <c r="CSH42" s="44"/>
      <c r="CSI42" s="44"/>
      <c r="CSJ42" s="44"/>
      <c r="CSK42" s="44"/>
      <c r="CSL42" s="44"/>
      <c r="CSM42" s="44"/>
      <c r="CSN42" s="44"/>
      <c r="CSO42" s="44"/>
      <c r="CSP42" s="44"/>
      <c r="CSQ42" s="44"/>
      <c r="CSR42" s="44"/>
      <c r="CSS42" s="44"/>
      <c r="CST42" s="44"/>
      <c r="CSU42" s="44"/>
      <c r="CSV42" s="44"/>
      <c r="CSW42" s="44"/>
      <c r="CSX42" s="44"/>
      <c r="CSY42" s="44"/>
      <c r="CSZ42" s="44"/>
      <c r="CTA42" s="44"/>
      <c r="CTB42" s="44"/>
      <c r="CTC42" s="44"/>
      <c r="CTD42" s="44"/>
      <c r="CTE42" s="44"/>
      <c r="CTF42" s="44"/>
      <c r="CTG42" s="44"/>
      <c r="CTH42" s="44"/>
      <c r="CTI42" s="44"/>
      <c r="CTJ42" s="44"/>
      <c r="CTK42" s="44"/>
      <c r="CTL42" s="44"/>
      <c r="CTM42" s="44"/>
      <c r="CTN42" s="44"/>
      <c r="CTO42" s="44"/>
      <c r="CTP42" s="44"/>
      <c r="CTQ42" s="44"/>
      <c r="CTR42" s="44"/>
      <c r="CTS42" s="44"/>
      <c r="CTT42" s="44"/>
      <c r="CTU42" s="44"/>
      <c r="CTV42" s="44"/>
      <c r="CTW42" s="44"/>
      <c r="CTX42" s="44"/>
      <c r="CTY42" s="44"/>
      <c r="CTZ42" s="44"/>
      <c r="CUA42" s="44"/>
      <c r="CUB42" s="44"/>
      <c r="CUC42" s="44"/>
      <c r="CUD42" s="44"/>
      <c r="CUE42" s="44"/>
      <c r="CUF42" s="44"/>
      <c r="CUG42" s="44"/>
      <c r="CUH42" s="44"/>
      <c r="CUI42" s="44"/>
      <c r="CUJ42" s="44"/>
      <c r="CUK42" s="44"/>
      <c r="CUL42" s="44"/>
      <c r="CUM42" s="44"/>
      <c r="CUN42" s="44"/>
      <c r="CUO42" s="44"/>
      <c r="CUP42" s="44"/>
      <c r="CUQ42" s="44"/>
      <c r="CUR42" s="44"/>
      <c r="CUS42" s="44"/>
      <c r="CUT42" s="44"/>
      <c r="CUU42" s="44"/>
      <c r="CUV42" s="44"/>
      <c r="CUW42" s="44"/>
      <c r="CUX42" s="44"/>
      <c r="CUY42" s="44"/>
      <c r="CUZ42" s="44"/>
      <c r="CVA42" s="44"/>
      <c r="CVB42" s="44"/>
      <c r="CVC42" s="44"/>
      <c r="CVD42" s="44"/>
      <c r="CVE42" s="44"/>
      <c r="CVF42" s="44"/>
      <c r="CVG42" s="44"/>
      <c r="CVH42" s="44"/>
      <c r="CVI42" s="44"/>
      <c r="CVJ42" s="44"/>
      <c r="CVK42" s="44"/>
      <c r="CVL42" s="44"/>
      <c r="CVM42" s="44"/>
      <c r="CVN42" s="44"/>
      <c r="CVO42" s="44"/>
      <c r="CVP42" s="44"/>
      <c r="CVQ42" s="44"/>
      <c r="CVR42" s="44"/>
      <c r="CVS42" s="44"/>
      <c r="CVT42" s="44"/>
      <c r="CVU42" s="44"/>
      <c r="CVV42" s="44"/>
      <c r="CVW42" s="44"/>
      <c r="CVX42" s="44"/>
      <c r="CVY42" s="44"/>
      <c r="CVZ42" s="44"/>
      <c r="CWA42" s="44"/>
      <c r="CWB42" s="44"/>
      <c r="CWC42" s="44"/>
      <c r="CWD42" s="44"/>
      <c r="CWE42" s="44"/>
      <c r="CWF42" s="44"/>
      <c r="CWG42" s="44"/>
      <c r="CWH42" s="44"/>
      <c r="CWI42" s="44"/>
      <c r="CWJ42" s="44"/>
      <c r="CWK42" s="44"/>
      <c r="CWL42" s="44"/>
      <c r="CWM42" s="44"/>
      <c r="CWN42" s="44"/>
      <c r="CWO42" s="44"/>
      <c r="CWP42" s="44"/>
      <c r="CWQ42" s="44"/>
      <c r="CWR42" s="44"/>
      <c r="CWS42" s="44"/>
      <c r="CWT42" s="44"/>
      <c r="CWU42" s="44"/>
      <c r="CWV42" s="44"/>
      <c r="CWW42" s="44"/>
      <c r="CWX42" s="44"/>
      <c r="CWY42" s="44"/>
      <c r="CWZ42" s="44"/>
      <c r="CXA42" s="44"/>
      <c r="CXB42" s="44"/>
      <c r="CXC42" s="44"/>
      <c r="CXD42" s="44"/>
      <c r="CXE42" s="44"/>
      <c r="CXF42" s="44"/>
      <c r="CXG42" s="44"/>
      <c r="CXH42" s="44"/>
      <c r="CXI42" s="44"/>
      <c r="CXJ42" s="44"/>
      <c r="CXK42" s="44"/>
      <c r="CXL42" s="44"/>
      <c r="CXM42" s="44"/>
      <c r="CXN42" s="44"/>
      <c r="CXO42" s="44"/>
      <c r="CXP42" s="44"/>
      <c r="CXQ42" s="44"/>
      <c r="CXR42" s="44"/>
      <c r="CXS42" s="44"/>
      <c r="CXT42" s="44"/>
      <c r="CXU42" s="44"/>
      <c r="CXV42" s="44"/>
      <c r="CXW42" s="44"/>
      <c r="CXX42" s="44"/>
      <c r="CXY42" s="44"/>
      <c r="CXZ42" s="44"/>
      <c r="CYA42" s="44"/>
      <c r="CYB42" s="44"/>
      <c r="CYC42" s="44"/>
      <c r="CYD42" s="44"/>
      <c r="CYE42" s="44"/>
      <c r="CYF42" s="44"/>
      <c r="CYG42" s="44"/>
      <c r="CYH42" s="44"/>
      <c r="CYI42" s="44"/>
      <c r="CYJ42" s="44"/>
      <c r="CYK42" s="44"/>
      <c r="CYL42" s="44"/>
      <c r="CYM42" s="44"/>
      <c r="CYN42" s="44"/>
      <c r="CYO42" s="44"/>
      <c r="CYP42" s="44"/>
      <c r="CYQ42" s="44"/>
      <c r="CYR42" s="44"/>
      <c r="CYS42" s="44"/>
      <c r="CYT42" s="44"/>
      <c r="CYU42" s="44"/>
      <c r="CYV42" s="44"/>
      <c r="CYW42" s="44"/>
      <c r="CYX42" s="44"/>
      <c r="CYY42" s="44"/>
      <c r="CYZ42" s="44"/>
      <c r="CZA42" s="44"/>
      <c r="CZB42" s="44"/>
      <c r="CZC42" s="44"/>
      <c r="CZD42" s="44"/>
      <c r="CZE42" s="44"/>
      <c r="CZF42" s="44"/>
      <c r="CZG42" s="44"/>
      <c r="CZH42" s="44"/>
      <c r="CZI42" s="44"/>
      <c r="CZJ42" s="44"/>
      <c r="CZK42" s="44"/>
      <c r="CZL42" s="44"/>
      <c r="CZM42" s="44"/>
      <c r="CZN42" s="44"/>
      <c r="CZO42" s="44"/>
      <c r="CZP42" s="44"/>
      <c r="CZQ42" s="44"/>
      <c r="CZR42" s="44"/>
      <c r="CZS42" s="44"/>
      <c r="CZT42" s="44"/>
      <c r="CZU42" s="44"/>
      <c r="CZV42" s="44"/>
      <c r="CZW42" s="44"/>
      <c r="CZX42" s="44"/>
      <c r="CZY42" s="44"/>
      <c r="CZZ42" s="44"/>
      <c r="DAA42" s="44"/>
      <c r="DAB42" s="44"/>
      <c r="DAC42" s="44"/>
      <c r="DAD42" s="44"/>
      <c r="DAE42" s="44"/>
      <c r="DAF42" s="44"/>
      <c r="DAG42" s="44"/>
      <c r="DAH42" s="44"/>
      <c r="DAI42" s="44"/>
      <c r="DAJ42" s="44"/>
      <c r="DAK42" s="44"/>
      <c r="DAL42" s="44"/>
      <c r="DAM42" s="44"/>
      <c r="DAN42" s="44"/>
      <c r="DAO42" s="44"/>
      <c r="DAP42" s="44"/>
      <c r="DAQ42" s="44"/>
      <c r="DAR42" s="44"/>
      <c r="DAS42" s="44"/>
      <c r="DAT42" s="44"/>
      <c r="DAU42" s="44"/>
      <c r="DAV42" s="44"/>
      <c r="DAW42" s="44"/>
      <c r="DAX42" s="44"/>
      <c r="DAY42" s="44"/>
      <c r="DAZ42" s="44"/>
      <c r="DBA42" s="44"/>
      <c r="DBB42" s="44"/>
      <c r="DBC42" s="44"/>
      <c r="DBD42" s="44"/>
      <c r="DBE42" s="44"/>
      <c r="DBF42" s="44"/>
      <c r="DBG42" s="44"/>
      <c r="DBH42" s="44"/>
      <c r="DBI42" s="44"/>
      <c r="DBJ42" s="44"/>
      <c r="DBK42" s="44"/>
      <c r="DBL42" s="44"/>
      <c r="DBM42" s="44"/>
      <c r="DBN42" s="44"/>
      <c r="DBO42" s="44"/>
      <c r="DBP42" s="44"/>
      <c r="DBQ42" s="44"/>
      <c r="DBR42" s="44"/>
      <c r="DBS42" s="44"/>
      <c r="DBT42" s="44"/>
      <c r="DBU42" s="44"/>
      <c r="DBV42" s="44"/>
      <c r="DBW42" s="44"/>
      <c r="DBX42" s="44"/>
      <c r="DBY42" s="44"/>
      <c r="DBZ42" s="44"/>
      <c r="DCA42" s="44"/>
      <c r="DCB42" s="44"/>
      <c r="DCC42" s="44"/>
      <c r="DCD42" s="44"/>
      <c r="DCE42" s="44"/>
      <c r="DCF42" s="44"/>
      <c r="DCG42" s="44"/>
      <c r="DCH42" s="44"/>
      <c r="DCI42" s="44"/>
      <c r="DCJ42" s="44"/>
      <c r="DCK42" s="44"/>
      <c r="DCL42" s="44"/>
      <c r="DCM42" s="44"/>
      <c r="DCN42" s="44"/>
      <c r="DCO42" s="44"/>
      <c r="DCP42" s="44"/>
      <c r="DCQ42" s="44"/>
      <c r="DCR42" s="44"/>
      <c r="DCS42" s="44"/>
      <c r="DCT42" s="44"/>
      <c r="DCU42" s="44"/>
      <c r="DCV42" s="44"/>
      <c r="DCW42" s="44"/>
      <c r="DCX42" s="44"/>
      <c r="DCY42" s="44"/>
      <c r="DCZ42" s="44"/>
      <c r="DDA42" s="44"/>
      <c r="DDB42" s="44"/>
      <c r="DDC42" s="44"/>
      <c r="DDD42" s="44"/>
      <c r="DDE42" s="44"/>
      <c r="DDF42" s="44"/>
      <c r="DDG42" s="44"/>
      <c r="DDH42" s="44"/>
      <c r="DDI42" s="44"/>
      <c r="DDJ42" s="44"/>
      <c r="DDK42" s="44"/>
      <c r="DDL42" s="44"/>
      <c r="DDM42" s="44"/>
      <c r="DDN42" s="44"/>
      <c r="DDO42" s="44"/>
      <c r="DDP42" s="44"/>
      <c r="DDQ42" s="44"/>
      <c r="DDR42" s="44"/>
      <c r="DDS42" s="44"/>
      <c r="DDT42" s="44"/>
      <c r="DDU42" s="44"/>
      <c r="DDV42" s="44"/>
      <c r="DDW42" s="44"/>
      <c r="DDX42" s="44"/>
      <c r="DDY42" s="44"/>
      <c r="DDZ42" s="44"/>
      <c r="DEA42" s="44"/>
      <c r="DEB42" s="44"/>
      <c r="DEC42" s="44"/>
      <c r="DED42" s="44"/>
      <c r="DEE42" s="44"/>
      <c r="DEF42" s="44"/>
      <c r="DEG42" s="44"/>
      <c r="DEH42" s="44"/>
      <c r="DEI42" s="44"/>
      <c r="DEJ42" s="44"/>
      <c r="DEK42" s="44"/>
      <c r="DEL42" s="44"/>
      <c r="DEM42" s="44"/>
      <c r="DEN42" s="44"/>
      <c r="DEO42" s="44"/>
      <c r="DEP42" s="44"/>
      <c r="DEQ42" s="44"/>
      <c r="DER42" s="44"/>
      <c r="DES42" s="44"/>
      <c r="DET42" s="44"/>
      <c r="DEU42" s="44"/>
      <c r="DEV42" s="44"/>
      <c r="DEW42" s="44"/>
      <c r="DEX42" s="44"/>
      <c r="DEY42" s="44"/>
      <c r="DEZ42" s="44"/>
      <c r="DFA42" s="44"/>
      <c r="DFB42" s="44"/>
      <c r="DFC42" s="44"/>
      <c r="DFD42" s="44"/>
      <c r="DFE42" s="44"/>
      <c r="DFF42" s="44"/>
      <c r="DFG42" s="44"/>
      <c r="DFH42" s="44"/>
      <c r="DFI42" s="44"/>
      <c r="DFJ42" s="44"/>
      <c r="DFK42" s="44"/>
      <c r="DFL42" s="44"/>
      <c r="DFM42" s="44"/>
      <c r="DFN42" s="44"/>
      <c r="DFO42" s="44"/>
      <c r="DFP42" s="44"/>
      <c r="DFQ42" s="44"/>
      <c r="DFR42" s="44"/>
      <c r="DFS42" s="44"/>
      <c r="DFT42" s="44"/>
      <c r="DFU42" s="44"/>
      <c r="DFV42" s="44"/>
      <c r="DFW42" s="44"/>
      <c r="DFX42" s="44"/>
      <c r="DFY42" s="44"/>
      <c r="DFZ42" s="44"/>
      <c r="DGA42" s="44"/>
      <c r="DGB42" s="44"/>
      <c r="DGC42" s="44"/>
      <c r="DGD42" s="44"/>
      <c r="DGE42" s="44"/>
      <c r="DGF42" s="44"/>
      <c r="DGG42" s="44"/>
      <c r="DGH42" s="44"/>
      <c r="DGI42" s="44"/>
      <c r="DGJ42" s="44"/>
      <c r="DGK42" s="44"/>
      <c r="DGL42" s="44"/>
      <c r="DGM42" s="44"/>
      <c r="DGN42" s="44"/>
      <c r="DGO42" s="44"/>
      <c r="DGP42" s="44"/>
      <c r="DGQ42" s="44"/>
      <c r="DGR42" s="44"/>
      <c r="DGS42" s="44"/>
      <c r="DGT42" s="44"/>
      <c r="DGU42" s="44"/>
      <c r="DGV42" s="44"/>
      <c r="DGW42" s="44"/>
      <c r="DGX42" s="44"/>
      <c r="DGY42" s="44"/>
      <c r="DGZ42" s="44"/>
      <c r="DHA42" s="44"/>
      <c r="DHB42" s="44"/>
      <c r="DHC42" s="44"/>
      <c r="DHD42" s="44"/>
      <c r="DHE42" s="44"/>
      <c r="DHF42" s="44"/>
      <c r="DHG42" s="44"/>
      <c r="DHH42" s="44"/>
      <c r="DHI42" s="44"/>
      <c r="DHJ42" s="44"/>
      <c r="DHK42" s="44"/>
      <c r="DHL42" s="44"/>
      <c r="DHM42" s="44"/>
      <c r="DHN42" s="44"/>
      <c r="DHO42" s="44"/>
      <c r="DHP42" s="44"/>
      <c r="DHQ42" s="44"/>
      <c r="DHR42" s="44"/>
      <c r="DHS42" s="44"/>
      <c r="DHT42" s="44"/>
      <c r="DHU42" s="44"/>
      <c r="DHV42" s="44"/>
      <c r="DHW42" s="44"/>
      <c r="DHX42" s="44"/>
      <c r="DHY42" s="44"/>
      <c r="DHZ42" s="44"/>
      <c r="DIA42" s="44"/>
      <c r="DIB42" s="44"/>
      <c r="DIC42" s="44"/>
      <c r="DID42" s="44"/>
      <c r="DIE42" s="44"/>
      <c r="DIF42" s="44"/>
      <c r="DIG42" s="44"/>
      <c r="DIH42" s="44"/>
      <c r="DII42" s="44"/>
      <c r="DIJ42" s="44"/>
      <c r="DIK42" s="44"/>
      <c r="DIL42" s="44"/>
      <c r="DIM42" s="44"/>
      <c r="DIN42" s="44"/>
      <c r="DIO42" s="44"/>
      <c r="DIP42" s="44"/>
      <c r="DIQ42" s="44"/>
      <c r="DIR42" s="44"/>
      <c r="DIS42" s="44"/>
      <c r="DIT42" s="44"/>
      <c r="DIU42" s="44"/>
      <c r="DIV42" s="44"/>
      <c r="DIW42" s="44"/>
      <c r="DIX42" s="44"/>
      <c r="DIY42" s="44"/>
      <c r="DIZ42" s="44"/>
      <c r="DJA42" s="44"/>
      <c r="DJB42" s="44"/>
      <c r="DJC42" s="44"/>
      <c r="DJD42" s="44"/>
      <c r="DJE42" s="44"/>
      <c r="DJF42" s="44"/>
      <c r="DJG42" s="44"/>
      <c r="DJH42" s="44"/>
      <c r="DJI42" s="44"/>
      <c r="DJJ42" s="44"/>
      <c r="DJK42" s="44"/>
      <c r="DJL42" s="44"/>
      <c r="DJM42" s="44"/>
      <c r="DJN42" s="44"/>
      <c r="DJO42" s="44"/>
      <c r="DJP42" s="44"/>
      <c r="DJQ42" s="44"/>
      <c r="DJR42" s="44"/>
      <c r="DJS42" s="44"/>
      <c r="DJT42" s="44"/>
      <c r="DJU42" s="44"/>
      <c r="DJV42" s="44"/>
      <c r="DJW42" s="44"/>
      <c r="DJX42" s="44"/>
      <c r="DJY42" s="44"/>
      <c r="DJZ42" s="44"/>
      <c r="DKA42" s="44"/>
      <c r="DKB42" s="44"/>
      <c r="DKC42" s="44"/>
      <c r="DKD42" s="44"/>
      <c r="DKE42" s="44"/>
      <c r="DKF42" s="44"/>
      <c r="DKG42" s="44"/>
      <c r="DKH42" s="44"/>
      <c r="DKI42" s="44"/>
      <c r="DKJ42" s="44"/>
      <c r="DKK42" s="44"/>
      <c r="DKL42" s="44"/>
      <c r="DKM42" s="44"/>
      <c r="DKN42" s="44"/>
      <c r="DKO42" s="44"/>
      <c r="DKP42" s="44"/>
      <c r="DKQ42" s="44"/>
      <c r="DKR42" s="44"/>
      <c r="DKS42" s="44"/>
      <c r="DKT42" s="44"/>
      <c r="DKU42" s="44"/>
      <c r="DKV42" s="44"/>
      <c r="DKW42" s="44"/>
      <c r="DKX42" s="44"/>
      <c r="DKY42" s="44"/>
      <c r="DKZ42" s="44"/>
      <c r="DLA42" s="44"/>
      <c r="DLB42" s="44"/>
      <c r="DLC42" s="44"/>
      <c r="DLD42" s="44"/>
      <c r="DLE42" s="44"/>
      <c r="DLF42" s="44"/>
      <c r="DLG42" s="44"/>
      <c r="DLH42" s="44"/>
      <c r="DLI42" s="44"/>
      <c r="DLJ42" s="44"/>
      <c r="DLK42" s="44"/>
      <c r="DLL42" s="44"/>
      <c r="DLM42" s="44"/>
      <c r="DLN42" s="44"/>
      <c r="DLO42" s="44"/>
      <c r="DLP42" s="44"/>
      <c r="DLQ42" s="44"/>
      <c r="DLR42" s="44"/>
      <c r="DLS42" s="44"/>
      <c r="DLT42" s="44"/>
      <c r="DLU42" s="44"/>
      <c r="DLV42" s="44"/>
      <c r="DLW42" s="44"/>
      <c r="DLX42" s="44"/>
      <c r="DLY42" s="44"/>
      <c r="DLZ42" s="44"/>
      <c r="DMA42" s="44"/>
      <c r="DMB42" s="44"/>
      <c r="DMC42" s="44"/>
      <c r="DMD42" s="44"/>
      <c r="DME42" s="44"/>
      <c r="DMF42" s="44"/>
      <c r="DMG42" s="44"/>
      <c r="DMH42" s="44"/>
      <c r="DMI42" s="44"/>
      <c r="DMJ42" s="44"/>
      <c r="DMK42" s="44"/>
      <c r="DML42" s="44"/>
      <c r="DMM42" s="44"/>
      <c r="DMN42" s="44"/>
      <c r="DMO42" s="44"/>
      <c r="DMP42" s="44"/>
      <c r="DMQ42" s="44"/>
      <c r="DMR42" s="44"/>
      <c r="DMS42" s="44"/>
      <c r="DMT42" s="44"/>
      <c r="DMU42" s="44"/>
      <c r="DMV42" s="44"/>
      <c r="DMW42" s="44"/>
      <c r="DMX42" s="44"/>
      <c r="DMY42" s="44"/>
      <c r="DMZ42" s="44"/>
      <c r="DNA42" s="44"/>
      <c r="DNB42" s="44"/>
      <c r="DNC42" s="44"/>
      <c r="DND42" s="44"/>
      <c r="DNE42" s="44"/>
      <c r="DNF42" s="44"/>
      <c r="DNG42" s="44"/>
      <c r="DNH42" s="44"/>
      <c r="DNI42" s="44"/>
      <c r="DNJ42" s="44"/>
      <c r="DNK42" s="44"/>
      <c r="DNL42" s="44"/>
      <c r="DNM42" s="44"/>
      <c r="DNN42" s="44"/>
      <c r="DNO42" s="44"/>
      <c r="DNP42" s="44"/>
      <c r="DNQ42" s="44"/>
      <c r="DNR42" s="44"/>
      <c r="DNS42" s="44"/>
      <c r="DNT42" s="44"/>
      <c r="DNU42" s="44"/>
      <c r="DNV42" s="44"/>
      <c r="DNW42" s="44"/>
      <c r="DNX42" s="44"/>
      <c r="DNY42" s="44"/>
      <c r="DNZ42" s="44"/>
      <c r="DOA42" s="44"/>
      <c r="DOB42" s="44"/>
      <c r="DOC42" s="44"/>
      <c r="DOD42" s="44"/>
      <c r="DOE42" s="44"/>
      <c r="DOF42" s="44"/>
      <c r="DOG42" s="44"/>
      <c r="DOH42" s="44"/>
      <c r="DOI42" s="44"/>
      <c r="DOJ42" s="44"/>
      <c r="DOK42" s="44"/>
      <c r="DOL42" s="44"/>
      <c r="DOM42" s="44"/>
      <c r="DON42" s="44"/>
      <c r="DOO42" s="44"/>
      <c r="DOP42" s="44"/>
      <c r="DOQ42" s="44"/>
      <c r="DOR42" s="44"/>
      <c r="DOS42" s="44"/>
      <c r="DOT42" s="44"/>
      <c r="DOU42" s="44"/>
      <c r="DOV42" s="44"/>
      <c r="DOW42" s="44"/>
      <c r="DOX42" s="44"/>
      <c r="DOY42" s="44"/>
      <c r="DOZ42" s="44"/>
      <c r="DPA42" s="44"/>
      <c r="DPB42" s="44"/>
      <c r="DPC42" s="44"/>
      <c r="DPD42" s="44"/>
      <c r="DPE42" s="44"/>
      <c r="DPF42" s="44"/>
      <c r="DPG42" s="44"/>
      <c r="DPH42" s="44"/>
      <c r="DPI42" s="44"/>
      <c r="DPJ42" s="44"/>
      <c r="DPK42" s="44"/>
      <c r="DPL42" s="44"/>
      <c r="DPM42" s="44"/>
      <c r="DPN42" s="44"/>
      <c r="DPO42" s="44"/>
      <c r="DPP42" s="44"/>
      <c r="DPQ42" s="44"/>
      <c r="DPR42" s="44"/>
      <c r="DPS42" s="44"/>
      <c r="DPT42" s="44"/>
      <c r="DPU42" s="44"/>
      <c r="DPV42" s="44"/>
      <c r="DPW42" s="44"/>
      <c r="DPX42" s="44"/>
      <c r="DPY42" s="44"/>
      <c r="DPZ42" s="44"/>
      <c r="DQA42" s="44"/>
      <c r="DQB42" s="44"/>
      <c r="DQC42" s="44"/>
      <c r="DQD42" s="44"/>
      <c r="DQE42" s="44"/>
      <c r="DQF42" s="44"/>
      <c r="DQG42" s="44"/>
      <c r="DQH42" s="44"/>
      <c r="DQI42" s="44"/>
      <c r="DQJ42" s="44"/>
      <c r="DQK42" s="44"/>
      <c r="DQL42" s="44"/>
      <c r="DQM42" s="44"/>
      <c r="DQN42" s="44"/>
      <c r="DQO42" s="44"/>
      <c r="DQP42" s="44"/>
      <c r="DQQ42" s="44"/>
      <c r="DQR42" s="44"/>
      <c r="DQS42" s="44"/>
      <c r="DQT42" s="44"/>
      <c r="DQU42" s="44"/>
      <c r="DQV42" s="44"/>
      <c r="DQW42" s="44"/>
      <c r="DQX42" s="44"/>
      <c r="DQY42" s="44"/>
      <c r="DQZ42" s="44"/>
      <c r="DRA42" s="44"/>
      <c r="DRB42" s="44"/>
      <c r="DRC42" s="44"/>
      <c r="DRD42" s="44"/>
      <c r="DRE42" s="44"/>
      <c r="DRF42" s="44"/>
      <c r="DRG42" s="44"/>
      <c r="DRH42" s="44"/>
      <c r="DRI42" s="44"/>
      <c r="DRJ42" s="44"/>
      <c r="DRK42" s="44"/>
      <c r="DRL42" s="44"/>
      <c r="DRM42" s="44"/>
      <c r="DRN42" s="44"/>
      <c r="DRO42" s="44"/>
      <c r="DRP42" s="44"/>
      <c r="DRQ42" s="44"/>
      <c r="DRR42" s="44"/>
      <c r="DRS42" s="44"/>
      <c r="DRT42" s="44"/>
      <c r="DRU42" s="44"/>
      <c r="DRV42" s="44"/>
      <c r="DRW42" s="44"/>
      <c r="DRX42" s="44"/>
      <c r="DRY42" s="44"/>
      <c r="DRZ42" s="44"/>
      <c r="DSA42" s="44"/>
      <c r="DSB42" s="44"/>
      <c r="DSC42" s="44"/>
      <c r="DSD42" s="44"/>
      <c r="DSE42" s="44"/>
      <c r="DSF42" s="44"/>
      <c r="DSG42" s="44"/>
      <c r="DSH42" s="44"/>
      <c r="DSI42" s="44"/>
      <c r="DSJ42" s="44"/>
      <c r="DSK42" s="44"/>
      <c r="DSL42" s="44"/>
      <c r="DSM42" s="44"/>
      <c r="DSN42" s="44"/>
      <c r="DSO42" s="44"/>
      <c r="DSP42" s="44"/>
      <c r="DSQ42" s="44"/>
      <c r="DSR42" s="44"/>
      <c r="DSS42" s="44"/>
      <c r="DST42" s="44"/>
      <c r="DSU42" s="44"/>
      <c r="DSV42" s="44"/>
      <c r="DSW42" s="44"/>
      <c r="DSX42" s="44"/>
      <c r="DSY42" s="44"/>
      <c r="DSZ42" s="44"/>
      <c r="DTA42" s="44"/>
      <c r="DTB42" s="44"/>
      <c r="DTC42" s="44"/>
      <c r="DTD42" s="44"/>
      <c r="DTE42" s="44"/>
      <c r="DTF42" s="44"/>
      <c r="DTG42" s="44"/>
      <c r="DTH42" s="44"/>
      <c r="DTI42" s="44"/>
      <c r="DTJ42" s="44"/>
      <c r="DTK42" s="44"/>
      <c r="DTL42" s="44"/>
      <c r="DTM42" s="44"/>
      <c r="DTN42" s="44"/>
      <c r="DTO42" s="44"/>
      <c r="DTP42" s="44"/>
      <c r="DTQ42" s="44"/>
      <c r="DTR42" s="44"/>
      <c r="DTS42" s="44"/>
      <c r="DTT42" s="44"/>
      <c r="DTU42" s="44"/>
      <c r="DTV42" s="44"/>
      <c r="DTW42" s="44"/>
      <c r="DTX42" s="44"/>
      <c r="DTY42" s="44"/>
      <c r="DTZ42" s="44"/>
      <c r="DUA42" s="44"/>
      <c r="DUB42" s="44"/>
      <c r="DUC42" s="44"/>
      <c r="DUD42" s="44"/>
      <c r="DUE42" s="44"/>
      <c r="DUF42" s="44"/>
      <c r="DUG42" s="44"/>
      <c r="DUH42" s="44"/>
      <c r="DUI42" s="44"/>
      <c r="DUJ42" s="44"/>
      <c r="DUK42" s="44"/>
      <c r="DUL42" s="44"/>
      <c r="DUM42" s="44"/>
      <c r="DUN42" s="44"/>
      <c r="DUO42" s="44"/>
      <c r="DUP42" s="44"/>
      <c r="DUQ42" s="44"/>
      <c r="DUR42" s="44"/>
      <c r="DUS42" s="44"/>
      <c r="DUT42" s="44"/>
      <c r="DUU42" s="44"/>
      <c r="DUV42" s="44"/>
      <c r="DUW42" s="44"/>
      <c r="DUX42" s="44"/>
      <c r="DUY42" s="44"/>
      <c r="DUZ42" s="44"/>
      <c r="DVA42" s="44"/>
      <c r="DVB42" s="44"/>
      <c r="DVC42" s="44"/>
      <c r="DVD42" s="44"/>
      <c r="DVE42" s="44"/>
      <c r="DVF42" s="44"/>
      <c r="DVG42" s="44"/>
      <c r="DVH42" s="44"/>
      <c r="DVI42" s="44"/>
      <c r="DVJ42" s="44"/>
      <c r="DVK42" s="44"/>
      <c r="DVL42" s="44"/>
      <c r="DVM42" s="44"/>
      <c r="DVN42" s="44"/>
      <c r="DVO42" s="44"/>
      <c r="DVP42" s="44"/>
      <c r="DVQ42" s="44"/>
      <c r="DVR42" s="44"/>
      <c r="DVS42" s="44"/>
      <c r="DVT42" s="44"/>
      <c r="DVU42" s="44"/>
      <c r="DVV42" s="44"/>
      <c r="DVW42" s="44"/>
      <c r="DVX42" s="44"/>
      <c r="DVY42" s="44"/>
      <c r="DVZ42" s="44"/>
      <c r="DWA42" s="44"/>
      <c r="DWB42" s="44"/>
      <c r="DWC42" s="44"/>
      <c r="DWD42" s="44"/>
      <c r="DWE42" s="44"/>
      <c r="DWF42" s="44"/>
      <c r="DWG42" s="44"/>
      <c r="DWH42" s="44"/>
      <c r="DWI42" s="44"/>
      <c r="DWJ42" s="44"/>
      <c r="DWK42" s="44"/>
      <c r="DWL42" s="44"/>
      <c r="DWM42" s="44"/>
      <c r="DWN42" s="44"/>
      <c r="DWO42" s="44"/>
      <c r="DWP42" s="44"/>
      <c r="DWQ42" s="44"/>
      <c r="DWR42" s="44"/>
      <c r="DWS42" s="44"/>
      <c r="DWT42" s="44"/>
      <c r="DWU42" s="44"/>
      <c r="DWV42" s="44"/>
      <c r="DWW42" s="44"/>
      <c r="DWX42" s="44"/>
      <c r="DWY42" s="44"/>
      <c r="DWZ42" s="44"/>
      <c r="DXA42" s="44"/>
      <c r="DXB42" s="44"/>
      <c r="DXC42" s="44"/>
      <c r="DXD42" s="44"/>
      <c r="DXE42" s="44"/>
      <c r="DXF42" s="44"/>
      <c r="DXG42" s="44"/>
      <c r="DXH42" s="44"/>
      <c r="DXI42" s="44"/>
      <c r="DXJ42" s="44"/>
      <c r="DXK42" s="44"/>
      <c r="DXL42" s="44"/>
      <c r="DXM42" s="44"/>
      <c r="DXN42" s="44"/>
      <c r="DXO42" s="44"/>
      <c r="DXP42" s="44"/>
      <c r="DXQ42" s="44"/>
      <c r="DXR42" s="44"/>
      <c r="DXS42" s="44"/>
      <c r="DXT42" s="44"/>
      <c r="DXU42" s="44"/>
      <c r="DXV42" s="44"/>
      <c r="DXW42" s="44"/>
      <c r="DXX42" s="44"/>
      <c r="DXY42" s="44"/>
      <c r="DXZ42" s="44"/>
      <c r="DYA42" s="44"/>
      <c r="DYB42" s="44"/>
      <c r="DYC42" s="44"/>
      <c r="DYD42" s="44"/>
      <c r="DYE42" s="44"/>
      <c r="DYF42" s="44"/>
      <c r="DYG42" s="44"/>
      <c r="DYH42" s="44"/>
      <c r="DYI42" s="44"/>
      <c r="DYJ42" s="44"/>
      <c r="DYK42" s="44"/>
      <c r="DYL42" s="44"/>
      <c r="DYM42" s="44"/>
      <c r="DYN42" s="44"/>
      <c r="DYO42" s="44"/>
      <c r="DYP42" s="44"/>
      <c r="DYQ42" s="44"/>
      <c r="DYR42" s="44"/>
      <c r="DYS42" s="44"/>
      <c r="DYT42" s="44"/>
      <c r="DYU42" s="44"/>
      <c r="DYV42" s="44"/>
      <c r="DYW42" s="44"/>
      <c r="DYX42" s="44"/>
      <c r="DYY42" s="44"/>
      <c r="DYZ42" s="44"/>
      <c r="DZA42" s="44"/>
      <c r="DZB42" s="44"/>
      <c r="DZC42" s="44"/>
      <c r="DZD42" s="44"/>
      <c r="DZE42" s="44"/>
      <c r="DZF42" s="44"/>
      <c r="DZG42" s="44"/>
      <c r="DZH42" s="44"/>
      <c r="DZI42" s="44"/>
      <c r="DZJ42" s="44"/>
      <c r="DZK42" s="44"/>
      <c r="DZL42" s="44"/>
      <c r="DZM42" s="44"/>
      <c r="DZN42" s="44"/>
      <c r="DZO42" s="44"/>
      <c r="DZP42" s="44"/>
      <c r="DZQ42" s="44"/>
      <c r="DZR42" s="44"/>
      <c r="DZS42" s="44"/>
      <c r="DZT42" s="44"/>
      <c r="DZU42" s="44"/>
      <c r="DZV42" s="44"/>
      <c r="DZW42" s="44"/>
      <c r="DZX42" s="44"/>
      <c r="DZY42" s="44"/>
      <c r="DZZ42" s="44"/>
      <c r="EAA42" s="44"/>
      <c r="EAB42" s="44"/>
      <c r="EAC42" s="44"/>
      <c r="EAD42" s="44"/>
      <c r="EAE42" s="44"/>
      <c r="EAF42" s="44"/>
      <c r="EAG42" s="44"/>
      <c r="EAH42" s="44"/>
      <c r="EAI42" s="44"/>
      <c r="EAJ42" s="44"/>
      <c r="EAK42" s="44"/>
      <c r="EAL42" s="44"/>
      <c r="EAM42" s="44"/>
      <c r="EAN42" s="44"/>
      <c r="EAO42" s="44"/>
      <c r="EAP42" s="44"/>
      <c r="EAQ42" s="44"/>
      <c r="EAR42" s="44"/>
      <c r="EAS42" s="44"/>
      <c r="EAT42" s="44"/>
      <c r="EAU42" s="44"/>
      <c r="EAV42" s="44"/>
      <c r="EAW42" s="44"/>
      <c r="EAX42" s="44"/>
      <c r="EAY42" s="44"/>
      <c r="EAZ42" s="44"/>
      <c r="EBA42" s="44"/>
      <c r="EBB42" s="44"/>
      <c r="EBC42" s="44"/>
      <c r="EBD42" s="44"/>
      <c r="EBE42" s="44"/>
      <c r="EBF42" s="44"/>
      <c r="EBG42" s="44"/>
      <c r="EBH42" s="44"/>
      <c r="EBI42" s="44"/>
      <c r="EBJ42" s="44"/>
      <c r="EBK42" s="44"/>
      <c r="EBL42" s="44"/>
      <c r="EBM42" s="44"/>
      <c r="EBN42" s="44"/>
      <c r="EBO42" s="44"/>
      <c r="EBP42" s="44"/>
      <c r="EBQ42" s="44"/>
      <c r="EBR42" s="44"/>
      <c r="EBS42" s="44"/>
      <c r="EBT42" s="44"/>
      <c r="EBU42" s="44"/>
      <c r="EBV42" s="44"/>
      <c r="EBW42" s="44"/>
      <c r="EBX42" s="44"/>
      <c r="EBY42" s="44"/>
      <c r="EBZ42" s="44"/>
      <c r="ECA42" s="44"/>
      <c r="ECB42" s="44"/>
      <c r="ECC42" s="44"/>
      <c r="ECD42" s="44"/>
      <c r="ECE42" s="44"/>
      <c r="ECF42" s="44"/>
      <c r="ECG42" s="44"/>
      <c r="ECH42" s="44"/>
      <c r="ECI42" s="44"/>
      <c r="ECJ42" s="44"/>
      <c r="ECK42" s="44"/>
      <c r="ECL42" s="44"/>
      <c r="ECM42" s="44"/>
      <c r="ECN42" s="44"/>
      <c r="ECO42" s="44"/>
      <c r="ECP42" s="44"/>
      <c r="ECQ42" s="44"/>
      <c r="ECR42" s="44"/>
      <c r="ECS42" s="44"/>
      <c r="ECT42" s="44"/>
      <c r="ECU42" s="44"/>
      <c r="ECV42" s="44"/>
      <c r="ECW42" s="44"/>
      <c r="ECX42" s="44"/>
      <c r="ECY42" s="44"/>
      <c r="ECZ42" s="44"/>
      <c r="EDA42" s="44"/>
      <c r="EDB42" s="44"/>
      <c r="EDC42" s="44"/>
      <c r="EDD42" s="44"/>
      <c r="EDE42" s="44"/>
      <c r="EDF42" s="44"/>
      <c r="EDG42" s="44"/>
      <c r="EDH42" s="44"/>
      <c r="EDI42" s="44"/>
      <c r="EDJ42" s="44"/>
      <c r="EDK42" s="44"/>
      <c r="EDL42" s="44"/>
      <c r="EDM42" s="44"/>
      <c r="EDN42" s="44"/>
      <c r="EDO42" s="44"/>
      <c r="EDP42" s="44"/>
      <c r="EDQ42" s="44"/>
      <c r="EDR42" s="44"/>
      <c r="EDS42" s="44"/>
      <c r="EDT42" s="44"/>
      <c r="EDU42" s="44"/>
      <c r="EDV42" s="44"/>
      <c r="EDW42" s="44"/>
      <c r="EDX42" s="44"/>
      <c r="EDY42" s="44"/>
      <c r="EDZ42" s="44"/>
      <c r="EEA42" s="44"/>
      <c r="EEB42" s="44"/>
      <c r="EEC42" s="44"/>
      <c r="EED42" s="44"/>
      <c r="EEE42" s="44"/>
      <c r="EEF42" s="44"/>
      <c r="EEG42" s="44"/>
      <c r="EEH42" s="44"/>
      <c r="EEI42" s="44"/>
      <c r="EEJ42" s="44"/>
      <c r="EEK42" s="44"/>
      <c r="EEL42" s="44"/>
      <c r="EEM42" s="44"/>
      <c r="EEN42" s="44"/>
      <c r="EEO42" s="44"/>
      <c r="EEP42" s="44"/>
      <c r="EEQ42" s="44"/>
      <c r="EER42" s="44"/>
      <c r="EES42" s="44"/>
      <c r="EET42" s="44"/>
      <c r="EEU42" s="44"/>
      <c r="EEV42" s="44"/>
      <c r="EEW42" s="44"/>
      <c r="EEX42" s="44"/>
      <c r="EEY42" s="44"/>
      <c r="EEZ42" s="44"/>
      <c r="EFA42" s="44"/>
      <c r="EFB42" s="44"/>
      <c r="EFC42" s="44"/>
      <c r="EFD42" s="44"/>
      <c r="EFE42" s="44"/>
      <c r="EFF42" s="44"/>
      <c r="EFG42" s="44"/>
      <c r="EFH42" s="44"/>
      <c r="EFI42" s="44"/>
      <c r="EFJ42" s="44"/>
      <c r="EFK42" s="44"/>
      <c r="EFL42" s="44"/>
      <c r="EFM42" s="44"/>
      <c r="EFN42" s="44"/>
      <c r="EFO42" s="44"/>
      <c r="EFP42" s="44"/>
      <c r="EFQ42" s="44"/>
      <c r="EFR42" s="44"/>
      <c r="EFS42" s="44"/>
      <c r="EFT42" s="44"/>
      <c r="EFU42" s="44"/>
      <c r="EFV42" s="44"/>
      <c r="EFW42" s="44"/>
      <c r="EFX42" s="44"/>
      <c r="EFY42" s="44"/>
      <c r="EFZ42" s="44"/>
      <c r="EGA42" s="44"/>
      <c r="EGB42" s="44"/>
      <c r="EGC42" s="44"/>
      <c r="EGD42" s="44"/>
      <c r="EGE42" s="44"/>
      <c r="EGF42" s="44"/>
      <c r="EGG42" s="44"/>
      <c r="EGH42" s="44"/>
      <c r="EGI42" s="44"/>
      <c r="EGJ42" s="44"/>
      <c r="EGK42" s="44"/>
      <c r="EGL42" s="44"/>
      <c r="EGM42" s="44"/>
      <c r="EGN42" s="44"/>
      <c r="EGO42" s="44"/>
      <c r="EGP42" s="44"/>
      <c r="EGQ42" s="44"/>
      <c r="EGR42" s="44"/>
      <c r="EGS42" s="44"/>
      <c r="EGT42" s="44"/>
      <c r="EGU42" s="44"/>
      <c r="EGV42" s="44"/>
      <c r="EGW42" s="44"/>
      <c r="EGX42" s="44"/>
      <c r="EGY42" s="44"/>
      <c r="EGZ42" s="44"/>
      <c r="EHA42" s="44"/>
      <c r="EHB42" s="44"/>
      <c r="EHC42" s="44"/>
      <c r="EHD42" s="44"/>
      <c r="EHE42" s="44"/>
      <c r="EHF42" s="44"/>
      <c r="EHG42" s="44"/>
      <c r="EHH42" s="44"/>
      <c r="EHI42" s="44"/>
      <c r="EHJ42" s="44"/>
      <c r="EHK42" s="44"/>
      <c r="EHL42" s="44"/>
      <c r="EHM42" s="44"/>
      <c r="EHN42" s="44"/>
      <c r="EHO42" s="44"/>
      <c r="EHP42" s="44"/>
      <c r="EHQ42" s="44"/>
      <c r="EHR42" s="44"/>
      <c r="EHS42" s="44"/>
      <c r="EHT42" s="44"/>
      <c r="EHU42" s="44"/>
      <c r="EHV42" s="44"/>
      <c r="EHW42" s="44"/>
      <c r="EHX42" s="44"/>
      <c r="EHY42" s="44"/>
      <c r="EHZ42" s="44"/>
      <c r="EIA42" s="44"/>
      <c r="EIB42" s="44"/>
      <c r="EIC42" s="44"/>
      <c r="EID42" s="44"/>
      <c r="EIE42" s="44"/>
      <c r="EIF42" s="44"/>
      <c r="EIG42" s="44"/>
      <c r="EIH42" s="44"/>
      <c r="EII42" s="44"/>
      <c r="EIJ42" s="44"/>
      <c r="EIK42" s="44"/>
      <c r="EIL42" s="44"/>
      <c r="EIM42" s="44"/>
      <c r="EIN42" s="44"/>
      <c r="EIO42" s="44"/>
      <c r="EIP42" s="44"/>
      <c r="EIQ42" s="44"/>
      <c r="EIR42" s="44"/>
      <c r="EIS42" s="44"/>
      <c r="EIT42" s="44"/>
      <c r="EIU42" s="44"/>
      <c r="EIV42" s="44"/>
      <c r="EIW42" s="44"/>
      <c r="EIX42" s="44"/>
      <c r="EIY42" s="44"/>
      <c r="EIZ42" s="44"/>
      <c r="EJA42" s="44"/>
      <c r="EJB42" s="44"/>
      <c r="EJC42" s="44"/>
      <c r="EJD42" s="44"/>
      <c r="EJE42" s="44"/>
      <c r="EJF42" s="44"/>
      <c r="EJG42" s="44"/>
      <c r="EJH42" s="44"/>
      <c r="EJI42" s="44"/>
      <c r="EJJ42" s="44"/>
      <c r="EJK42" s="44"/>
      <c r="EJL42" s="44"/>
      <c r="EJM42" s="44"/>
      <c r="EJN42" s="44"/>
      <c r="EJO42" s="44"/>
      <c r="EJP42" s="44"/>
      <c r="EJQ42" s="44"/>
      <c r="EJR42" s="44"/>
      <c r="EJS42" s="44"/>
      <c r="EJT42" s="44"/>
      <c r="EJU42" s="44"/>
      <c r="EJV42" s="44"/>
      <c r="EJW42" s="44"/>
      <c r="EJX42" s="44"/>
      <c r="EJY42" s="44"/>
      <c r="EJZ42" s="44"/>
      <c r="EKA42" s="44"/>
      <c r="EKB42" s="44"/>
      <c r="EKC42" s="44"/>
      <c r="EKD42" s="44"/>
      <c r="EKE42" s="44"/>
      <c r="EKF42" s="44"/>
      <c r="EKG42" s="44"/>
      <c r="EKH42" s="44"/>
      <c r="EKI42" s="44"/>
      <c r="EKJ42" s="44"/>
      <c r="EKK42" s="44"/>
      <c r="EKL42" s="44"/>
      <c r="EKM42" s="44"/>
      <c r="EKN42" s="44"/>
      <c r="EKO42" s="44"/>
      <c r="EKP42" s="44"/>
      <c r="EKQ42" s="44"/>
      <c r="EKR42" s="44"/>
      <c r="EKS42" s="44"/>
      <c r="EKT42" s="44"/>
      <c r="EKU42" s="44"/>
      <c r="EKV42" s="44"/>
      <c r="EKW42" s="44"/>
      <c r="EKX42" s="44"/>
      <c r="EKY42" s="44"/>
      <c r="EKZ42" s="44"/>
      <c r="ELA42" s="44"/>
      <c r="ELB42" s="44"/>
      <c r="ELC42" s="44"/>
      <c r="ELD42" s="44"/>
      <c r="ELE42" s="44"/>
      <c r="ELF42" s="44"/>
      <c r="ELG42" s="44"/>
      <c r="ELH42" s="44"/>
      <c r="ELI42" s="44"/>
      <c r="ELJ42" s="44"/>
      <c r="ELK42" s="44"/>
      <c r="ELL42" s="44"/>
      <c r="ELM42" s="44"/>
      <c r="ELN42" s="44"/>
      <c r="ELO42" s="44"/>
      <c r="ELP42" s="44"/>
      <c r="ELQ42" s="44"/>
      <c r="ELR42" s="44"/>
      <c r="ELS42" s="44"/>
      <c r="ELT42" s="44"/>
      <c r="ELU42" s="44"/>
      <c r="ELV42" s="44"/>
      <c r="ELW42" s="44"/>
      <c r="ELX42" s="44"/>
      <c r="ELY42" s="44"/>
      <c r="ELZ42" s="44"/>
      <c r="EMA42" s="44"/>
      <c r="EMB42" s="44"/>
      <c r="EMC42" s="44"/>
      <c r="EMD42" s="44"/>
      <c r="EME42" s="44"/>
      <c r="EMF42" s="44"/>
      <c r="EMG42" s="44"/>
      <c r="EMH42" s="44"/>
      <c r="EMI42" s="44"/>
      <c r="EMJ42" s="44"/>
      <c r="EMK42" s="44"/>
      <c r="EML42" s="44"/>
      <c r="EMM42" s="44"/>
      <c r="EMN42" s="44"/>
      <c r="EMO42" s="44"/>
      <c r="EMP42" s="44"/>
      <c r="EMQ42" s="44"/>
      <c r="EMR42" s="44"/>
      <c r="EMS42" s="44"/>
      <c r="EMT42" s="44"/>
      <c r="EMU42" s="44"/>
      <c r="EMV42" s="44"/>
      <c r="EMW42" s="44"/>
      <c r="EMX42" s="44"/>
      <c r="EMY42" s="44"/>
      <c r="EMZ42" s="44"/>
      <c r="ENA42" s="44"/>
      <c r="ENB42" s="44"/>
      <c r="ENC42" s="44"/>
      <c r="END42" s="44"/>
      <c r="ENE42" s="44"/>
      <c r="ENF42" s="44"/>
      <c r="ENG42" s="44"/>
      <c r="ENH42" s="44"/>
      <c r="ENI42" s="44"/>
      <c r="ENJ42" s="44"/>
      <c r="ENK42" s="44"/>
      <c r="ENL42" s="44"/>
      <c r="ENM42" s="44"/>
      <c r="ENN42" s="44"/>
      <c r="ENO42" s="44"/>
      <c r="ENP42" s="44"/>
      <c r="ENQ42" s="44"/>
      <c r="ENR42" s="44"/>
      <c r="ENS42" s="44"/>
      <c r="ENT42" s="44"/>
      <c r="ENU42" s="44"/>
      <c r="ENV42" s="44"/>
      <c r="ENW42" s="44"/>
      <c r="ENX42" s="44"/>
      <c r="ENY42" s="44"/>
      <c r="ENZ42" s="44"/>
      <c r="EOA42" s="44"/>
      <c r="EOB42" s="44"/>
      <c r="EOC42" s="44"/>
      <c r="EOD42" s="44"/>
      <c r="EOE42" s="44"/>
      <c r="EOF42" s="44"/>
      <c r="EOG42" s="44"/>
      <c r="EOH42" s="44"/>
      <c r="EOI42" s="44"/>
      <c r="EOJ42" s="44"/>
      <c r="EOK42" s="44"/>
      <c r="EOL42" s="44"/>
      <c r="EOM42" s="44"/>
      <c r="EON42" s="44"/>
      <c r="EOO42" s="44"/>
      <c r="EOP42" s="44"/>
      <c r="EOQ42" s="44"/>
      <c r="EOR42" s="44"/>
      <c r="EOS42" s="44"/>
      <c r="EOT42" s="44"/>
      <c r="EOU42" s="44"/>
      <c r="EOV42" s="44"/>
      <c r="EOW42" s="44"/>
      <c r="EOX42" s="44"/>
      <c r="EOY42" s="44"/>
      <c r="EOZ42" s="44"/>
      <c r="EPA42" s="44"/>
      <c r="EPB42" s="44"/>
      <c r="EPC42" s="44"/>
      <c r="EPD42" s="44"/>
      <c r="EPE42" s="44"/>
      <c r="EPF42" s="44"/>
      <c r="EPG42" s="44"/>
      <c r="EPH42" s="44"/>
      <c r="EPI42" s="44"/>
      <c r="EPJ42" s="44"/>
      <c r="EPK42" s="44"/>
      <c r="EPL42" s="44"/>
      <c r="EPM42" s="44"/>
      <c r="EPN42" s="44"/>
      <c r="EPO42" s="44"/>
      <c r="EPP42" s="44"/>
      <c r="EPQ42" s="44"/>
      <c r="EPR42" s="44"/>
      <c r="EPS42" s="44"/>
      <c r="EPT42" s="44"/>
      <c r="EPU42" s="44"/>
      <c r="EPV42" s="44"/>
      <c r="EPW42" s="44"/>
      <c r="EPX42" s="44"/>
      <c r="EPY42" s="44"/>
      <c r="EPZ42" s="44"/>
      <c r="EQA42" s="44"/>
      <c r="EQB42" s="44"/>
      <c r="EQC42" s="44"/>
      <c r="EQD42" s="44"/>
      <c r="EQE42" s="44"/>
      <c r="EQF42" s="44"/>
      <c r="EQG42" s="44"/>
      <c r="EQH42" s="44"/>
      <c r="EQI42" s="44"/>
      <c r="EQJ42" s="44"/>
      <c r="EQK42" s="44"/>
      <c r="EQL42" s="44"/>
      <c r="EQM42" s="44"/>
      <c r="EQN42" s="44"/>
      <c r="EQO42" s="44"/>
      <c r="EQP42" s="44"/>
      <c r="EQQ42" s="44"/>
      <c r="EQR42" s="44"/>
      <c r="EQS42" s="44"/>
      <c r="EQT42" s="44"/>
      <c r="EQU42" s="44"/>
      <c r="EQV42" s="44"/>
      <c r="EQW42" s="44"/>
      <c r="EQX42" s="44"/>
      <c r="EQY42" s="44"/>
      <c r="EQZ42" s="44"/>
      <c r="ERA42" s="44"/>
      <c r="ERB42" s="44"/>
      <c r="ERC42" s="44"/>
      <c r="ERD42" s="44"/>
      <c r="ERE42" s="44"/>
      <c r="ERF42" s="44"/>
      <c r="ERG42" s="44"/>
      <c r="ERH42" s="44"/>
      <c r="ERI42" s="44"/>
      <c r="ERJ42" s="44"/>
      <c r="ERK42" s="44"/>
      <c r="ERL42" s="44"/>
      <c r="ERM42" s="44"/>
      <c r="ERN42" s="44"/>
      <c r="ERO42" s="44"/>
      <c r="ERP42" s="44"/>
      <c r="ERQ42" s="44"/>
      <c r="ERR42" s="44"/>
      <c r="ERS42" s="44"/>
      <c r="ERT42" s="44"/>
      <c r="ERU42" s="44"/>
      <c r="ERV42" s="44"/>
      <c r="ERW42" s="44"/>
      <c r="ERX42" s="44"/>
      <c r="ERY42" s="44"/>
      <c r="ERZ42" s="44"/>
      <c r="ESA42" s="44"/>
      <c r="ESB42" s="44"/>
      <c r="ESC42" s="44"/>
      <c r="ESD42" s="44"/>
      <c r="ESE42" s="44"/>
      <c r="ESF42" s="44"/>
      <c r="ESG42" s="44"/>
      <c r="ESH42" s="44"/>
      <c r="ESI42" s="44"/>
      <c r="ESJ42" s="44"/>
      <c r="ESK42" s="44"/>
      <c r="ESL42" s="44"/>
      <c r="ESM42" s="44"/>
      <c r="ESN42" s="44"/>
      <c r="ESO42" s="44"/>
      <c r="ESP42" s="44"/>
      <c r="ESQ42" s="44"/>
      <c r="ESR42" s="44"/>
      <c r="ESS42" s="44"/>
      <c r="EST42" s="44"/>
      <c r="ESU42" s="44"/>
      <c r="ESV42" s="44"/>
      <c r="ESW42" s="44"/>
      <c r="ESX42" s="44"/>
      <c r="ESY42" s="44"/>
      <c r="ESZ42" s="44"/>
      <c r="ETA42" s="44"/>
      <c r="ETB42" s="44"/>
      <c r="ETC42" s="44"/>
      <c r="ETD42" s="44"/>
      <c r="ETE42" s="44"/>
      <c r="ETF42" s="44"/>
      <c r="ETG42" s="44"/>
      <c r="ETH42" s="44"/>
      <c r="ETI42" s="44"/>
      <c r="ETJ42" s="44"/>
      <c r="ETK42" s="44"/>
      <c r="ETL42" s="44"/>
      <c r="ETM42" s="44"/>
      <c r="ETN42" s="44"/>
      <c r="ETO42" s="44"/>
      <c r="ETP42" s="44"/>
      <c r="ETQ42" s="44"/>
      <c r="ETR42" s="44"/>
      <c r="ETS42" s="44"/>
      <c r="ETT42" s="44"/>
      <c r="ETU42" s="44"/>
      <c r="ETV42" s="44"/>
      <c r="ETW42" s="44"/>
      <c r="ETX42" s="44"/>
      <c r="ETY42" s="44"/>
      <c r="ETZ42" s="44"/>
      <c r="EUA42" s="44"/>
      <c r="EUB42" s="44"/>
      <c r="EUC42" s="44"/>
      <c r="EUD42" s="44"/>
      <c r="EUE42" s="44"/>
      <c r="EUF42" s="44"/>
      <c r="EUG42" s="44"/>
      <c r="EUH42" s="44"/>
      <c r="EUI42" s="44"/>
      <c r="EUJ42" s="44"/>
      <c r="EUK42" s="44"/>
      <c r="EUL42" s="44"/>
      <c r="EUM42" s="44"/>
      <c r="EUN42" s="44"/>
      <c r="EUO42" s="44"/>
      <c r="EUP42" s="44"/>
      <c r="EUQ42" s="44"/>
      <c r="EUR42" s="44"/>
      <c r="EUS42" s="44"/>
      <c r="EUT42" s="44"/>
      <c r="EUU42" s="44"/>
      <c r="EUV42" s="44"/>
      <c r="EUW42" s="44"/>
      <c r="EUX42" s="44"/>
      <c r="EUY42" s="44"/>
      <c r="EUZ42" s="44"/>
      <c r="EVA42" s="44"/>
      <c r="EVB42" s="44"/>
      <c r="EVC42" s="44"/>
      <c r="EVD42" s="44"/>
      <c r="EVE42" s="44"/>
      <c r="EVF42" s="44"/>
      <c r="EVG42" s="44"/>
      <c r="EVH42" s="44"/>
      <c r="EVI42" s="44"/>
      <c r="EVJ42" s="44"/>
      <c r="EVK42" s="44"/>
      <c r="EVL42" s="44"/>
      <c r="EVM42" s="44"/>
      <c r="EVN42" s="44"/>
      <c r="EVO42" s="44"/>
      <c r="EVP42" s="44"/>
      <c r="EVQ42" s="44"/>
      <c r="EVR42" s="44"/>
      <c r="EVS42" s="44"/>
      <c r="EVT42" s="44"/>
      <c r="EVU42" s="44"/>
      <c r="EVV42" s="44"/>
      <c r="EVW42" s="44"/>
      <c r="EVX42" s="44"/>
      <c r="EVY42" s="44"/>
      <c r="EVZ42" s="44"/>
      <c r="EWA42" s="44"/>
      <c r="EWB42" s="44"/>
      <c r="EWC42" s="44"/>
      <c r="EWD42" s="44"/>
      <c r="EWE42" s="44"/>
      <c r="EWF42" s="44"/>
      <c r="EWG42" s="44"/>
      <c r="EWH42" s="44"/>
      <c r="EWI42" s="44"/>
      <c r="EWJ42" s="44"/>
      <c r="EWK42" s="44"/>
      <c r="EWL42" s="44"/>
      <c r="EWM42" s="44"/>
      <c r="EWN42" s="44"/>
      <c r="EWO42" s="44"/>
      <c r="EWP42" s="44"/>
      <c r="EWQ42" s="44"/>
      <c r="EWR42" s="44"/>
      <c r="EWS42" s="44"/>
      <c r="EWT42" s="44"/>
      <c r="EWU42" s="44"/>
      <c r="EWV42" s="44"/>
      <c r="EWW42" s="44"/>
      <c r="EWX42" s="44"/>
      <c r="EWY42" s="44"/>
      <c r="EWZ42" s="44"/>
      <c r="EXA42" s="44"/>
      <c r="EXB42" s="44"/>
      <c r="EXC42" s="44"/>
      <c r="EXD42" s="44"/>
      <c r="EXE42" s="44"/>
      <c r="EXF42" s="44"/>
      <c r="EXG42" s="44"/>
      <c r="EXH42" s="44"/>
      <c r="EXI42" s="44"/>
      <c r="EXJ42" s="44"/>
      <c r="EXK42" s="44"/>
      <c r="EXL42" s="44"/>
      <c r="EXM42" s="44"/>
      <c r="EXN42" s="44"/>
      <c r="EXO42" s="44"/>
      <c r="EXP42" s="44"/>
      <c r="EXQ42" s="44"/>
      <c r="EXR42" s="44"/>
      <c r="EXS42" s="44"/>
      <c r="EXT42" s="44"/>
      <c r="EXU42" s="44"/>
      <c r="EXV42" s="44"/>
      <c r="EXW42" s="44"/>
      <c r="EXX42" s="44"/>
      <c r="EXY42" s="44"/>
      <c r="EXZ42" s="44"/>
      <c r="EYA42" s="44"/>
      <c r="EYB42" s="44"/>
      <c r="EYC42" s="44"/>
      <c r="EYD42" s="44"/>
      <c r="EYE42" s="44"/>
      <c r="EYF42" s="44"/>
      <c r="EYG42" s="44"/>
      <c r="EYH42" s="44"/>
      <c r="EYI42" s="44"/>
      <c r="EYJ42" s="44"/>
      <c r="EYK42" s="44"/>
      <c r="EYL42" s="44"/>
      <c r="EYM42" s="44"/>
      <c r="EYN42" s="44"/>
      <c r="EYO42" s="44"/>
      <c r="EYP42" s="44"/>
      <c r="EYQ42" s="44"/>
      <c r="EYR42" s="44"/>
      <c r="EYS42" s="44"/>
      <c r="EYT42" s="44"/>
      <c r="EYU42" s="44"/>
      <c r="EYV42" s="44"/>
      <c r="EYW42" s="44"/>
      <c r="EYX42" s="44"/>
      <c r="EYY42" s="44"/>
      <c r="EYZ42" s="44"/>
      <c r="EZA42" s="44"/>
      <c r="EZB42" s="44"/>
      <c r="EZC42" s="44"/>
      <c r="EZD42" s="44"/>
      <c r="EZE42" s="44"/>
      <c r="EZF42" s="44"/>
      <c r="EZG42" s="44"/>
      <c r="EZH42" s="44"/>
      <c r="EZI42" s="44"/>
      <c r="EZJ42" s="44"/>
      <c r="EZK42" s="44"/>
      <c r="EZL42" s="44"/>
      <c r="EZM42" s="44"/>
      <c r="EZN42" s="44"/>
      <c r="EZO42" s="44"/>
      <c r="EZP42" s="44"/>
      <c r="EZQ42" s="44"/>
      <c r="EZR42" s="44"/>
      <c r="EZS42" s="44"/>
      <c r="EZT42" s="44"/>
      <c r="EZU42" s="44"/>
      <c r="EZV42" s="44"/>
      <c r="EZW42" s="44"/>
      <c r="EZX42" s="44"/>
      <c r="EZY42" s="44"/>
      <c r="EZZ42" s="44"/>
      <c r="FAA42" s="44"/>
      <c r="FAB42" s="44"/>
      <c r="FAC42" s="44"/>
      <c r="FAD42" s="44"/>
      <c r="FAE42" s="44"/>
      <c r="FAF42" s="44"/>
      <c r="FAG42" s="44"/>
      <c r="FAH42" s="44"/>
      <c r="FAI42" s="44"/>
      <c r="FAJ42" s="44"/>
      <c r="FAK42" s="44"/>
      <c r="FAL42" s="44"/>
      <c r="FAM42" s="44"/>
      <c r="FAN42" s="44"/>
      <c r="FAO42" s="44"/>
      <c r="FAP42" s="44"/>
      <c r="FAQ42" s="44"/>
      <c r="FAR42" s="44"/>
      <c r="FAS42" s="44"/>
      <c r="FAT42" s="44"/>
      <c r="FAU42" s="44"/>
      <c r="FAV42" s="44"/>
      <c r="FAW42" s="44"/>
      <c r="FAX42" s="44"/>
      <c r="FAY42" s="44"/>
      <c r="FAZ42" s="44"/>
      <c r="FBA42" s="44"/>
      <c r="FBB42" s="44"/>
      <c r="FBC42" s="44"/>
      <c r="FBD42" s="44"/>
      <c r="FBE42" s="44"/>
      <c r="FBF42" s="44"/>
      <c r="FBG42" s="44"/>
      <c r="FBH42" s="44"/>
      <c r="FBI42" s="44"/>
      <c r="FBJ42" s="44"/>
      <c r="FBK42" s="44"/>
      <c r="FBL42" s="44"/>
      <c r="FBM42" s="44"/>
      <c r="FBN42" s="44"/>
      <c r="FBO42" s="44"/>
      <c r="FBP42" s="44"/>
      <c r="FBQ42" s="44"/>
      <c r="FBR42" s="44"/>
      <c r="FBS42" s="44"/>
      <c r="FBT42" s="44"/>
      <c r="FBU42" s="44"/>
      <c r="FBV42" s="44"/>
      <c r="FBW42" s="44"/>
      <c r="FBX42" s="44"/>
      <c r="FBY42" s="44"/>
      <c r="FBZ42" s="44"/>
      <c r="FCA42" s="44"/>
      <c r="FCB42" s="44"/>
      <c r="FCC42" s="44"/>
      <c r="FCD42" s="44"/>
      <c r="FCE42" s="44"/>
      <c r="FCF42" s="44"/>
      <c r="FCG42" s="44"/>
      <c r="FCH42" s="44"/>
      <c r="FCI42" s="44"/>
      <c r="FCJ42" s="44"/>
      <c r="FCK42" s="44"/>
      <c r="FCL42" s="44"/>
      <c r="FCM42" s="44"/>
      <c r="FCN42" s="44"/>
      <c r="FCO42" s="44"/>
      <c r="FCP42" s="44"/>
      <c r="FCQ42" s="44"/>
      <c r="FCR42" s="44"/>
      <c r="FCS42" s="44"/>
      <c r="FCT42" s="44"/>
      <c r="FCU42" s="44"/>
      <c r="FCV42" s="44"/>
      <c r="FCW42" s="44"/>
      <c r="FCX42" s="44"/>
      <c r="FCY42" s="44"/>
      <c r="FCZ42" s="44"/>
      <c r="FDA42" s="44"/>
      <c r="FDB42" s="44"/>
      <c r="FDC42" s="44"/>
      <c r="FDD42" s="44"/>
      <c r="FDE42" s="44"/>
      <c r="FDF42" s="44"/>
      <c r="FDG42" s="44"/>
      <c r="FDH42" s="44"/>
      <c r="FDI42" s="44"/>
      <c r="FDJ42" s="44"/>
      <c r="FDK42" s="44"/>
      <c r="FDL42" s="44"/>
      <c r="FDM42" s="44"/>
      <c r="FDN42" s="44"/>
      <c r="FDO42" s="44"/>
      <c r="FDP42" s="44"/>
      <c r="FDQ42" s="44"/>
      <c r="FDR42" s="44"/>
      <c r="FDS42" s="44"/>
      <c r="FDT42" s="44"/>
      <c r="FDU42" s="44"/>
      <c r="FDV42" s="44"/>
      <c r="FDW42" s="44"/>
      <c r="FDX42" s="44"/>
      <c r="FDY42" s="44"/>
      <c r="FDZ42" s="44"/>
      <c r="FEA42" s="44"/>
      <c r="FEB42" s="44"/>
      <c r="FEC42" s="44"/>
      <c r="FED42" s="44"/>
      <c r="FEE42" s="44"/>
      <c r="FEF42" s="44"/>
      <c r="FEG42" s="44"/>
      <c r="FEH42" s="44"/>
      <c r="FEI42" s="44"/>
      <c r="FEJ42" s="44"/>
      <c r="FEK42" s="44"/>
      <c r="FEL42" s="44"/>
      <c r="FEM42" s="44"/>
      <c r="FEN42" s="44"/>
      <c r="FEO42" s="44"/>
      <c r="FEP42" s="44"/>
      <c r="FEQ42" s="44"/>
      <c r="FER42" s="44"/>
      <c r="FES42" s="44"/>
      <c r="FET42" s="44"/>
      <c r="FEU42" s="44"/>
      <c r="FEV42" s="44"/>
      <c r="FEW42" s="44"/>
      <c r="FEX42" s="44"/>
      <c r="FEY42" s="44"/>
      <c r="FEZ42" s="44"/>
      <c r="FFA42" s="44"/>
      <c r="FFB42" s="44"/>
      <c r="FFC42" s="44"/>
      <c r="FFD42" s="44"/>
      <c r="FFE42" s="44"/>
      <c r="FFF42" s="44"/>
      <c r="FFG42" s="44"/>
      <c r="FFH42" s="44"/>
      <c r="FFI42" s="44"/>
      <c r="FFJ42" s="44"/>
      <c r="FFK42" s="44"/>
      <c r="FFL42" s="44"/>
      <c r="FFM42" s="44"/>
      <c r="FFN42" s="44"/>
      <c r="FFO42" s="44"/>
      <c r="FFP42" s="44"/>
      <c r="FFQ42" s="44"/>
      <c r="FFR42" s="44"/>
      <c r="FFS42" s="44"/>
      <c r="FFT42" s="44"/>
      <c r="FFU42" s="44"/>
      <c r="FFV42" s="44"/>
      <c r="FFW42" s="44"/>
      <c r="FFX42" s="44"/>
      <c r="FFY42" s="44"/>
      <c r="FFZ42" s="44"/>
      <c r="FGA42" s="44"/>
      <c r="FGB42" s="44"/>
      <c r="FGC42" s="44"/>
      <c r="FGD42" s="44"/>
      <c r="FGE42" s="44"/>
      <c r="FGF42" s="44"/>
      <c r="FGG42" s="44"/>
      <c r="FGH42" s="44"/>
      <c r="FGI42" s="44"/>
      <c r="FGJ42" s="44"/>
      <c r="FGK42" s="44"/>
      <c r="FGL42" s="44"/>
      <c r="FGM42" s="44"/>
      <c r="FGN42" s="44"/>
      <c r="FGO42" s="44"/>
      <c r="FGP42" s="44"/>
      <c r="FGQ42" s="44"/>
      <c r="FGR42" s="44"/>
      <c r="FGS42" s="44"/>
      <c r="FGT42" s="44"/>
      <c r="FGU42" s="44"/>
      <c r="FGV42" s="44"/>
      <c r="FGW42" s="44"/>
      <c r="FGX42" s="44"/>
      <c r="FGY42" s="44"/>
      <c r="FGZ42" s="44"/>
      <c r="FHA42" s="44"/>
      <c r="FHB42" s="44"/>
      <c r="FHC42" s="44"/>
      <c r="FHD42" s="44"/>
      <c r="FHE42" s="44"/>
      <c r="FHF42" s="44"/>
      <c r="FHG42" s="44"/>
      <c r="FHH42" s="44"/>
      <c r="FHI42" s="44"/>
      <c r="FHJ42" s="44"/>
      <c r="FHK42" s="44"/>
      <c r="FHL42" s="44"/>
      <c r="FHM42" s="44"/>
      <c r="FHN42" s="44"/>
      <c r="FHO42" s="44"/>
      <c r="FHP42" s="44"/>
      <c r="FHQ42" s="44"/>
      <c r="FHR42" s="44"/>
      <c r="FHS42" s="44"/>
      <c r="FHT42" s="44"/>
      <c r="FHU42" s="44"/>
      <c r="FHV42" s="44"/>
      <c r="FHW42" s="44"/>
      <c r="FHX42" s="44"/>
      <c r="FHY42" s="44"/>
      <c r="FHZ42" s="44"/>
      <c r="FIA42" s="44"/>
      <c r="FIB42" s="44"/>
      <c r="FIC42" s="44"/>
      <c r="FID42" s="44"/>
      <c r="FIE42" s="44"/>
      <c r="FIF42" s="44"/>
      <c r="FIG42" s="44"/>
      <c r="FIH42" s="44"/>
      <c r="FII42" s="44"/>
      <c r="FIJ42" s="44"/>
      <c r="FIK42" s="44"/>
      <c r="FIL42" s="44"/>
      <c r="FIM42" s="44"/>
      <c r="FIN42" s="44"/>
      <c r="FIO42" s="44"/>
      <c r="FIP42" s="44"/>
      <c r="FIQ42" s="44"/>
      <c r="FIR42" s="44"/>
      <c r="FIS42" s="44"/>
      <c r="FIT42" s="44"/>
      <c r="FIU42" s="44"/>
      <c r="FIV42" s="44"/>
      <c r="FIW42" s="44"/>
      <c r="FIX42" s="44"/>
      <c r="FIY42" s="44"/>
      <c r="FIZ42" s="44"/>
      <c r="FJA42" s="44"/>
      <c r="FJB42" s="44"/>
      <c r="FJC42" s="44"/>
      <c r="FJD42" s="44"/>
      <c r="FJE42" s="44"/>
      <c r="FJF42" s="44"/>
      <c r="FJG42" s="44"/>
      <c r="FJH42" s="44"/>
      <c r="FJI42" s="44"/>
      <c r="FJJ42" s="44"/>
      <c r="FJK42" s="44"/>
      <c r="FJL42" s="44"/>
      <c r="FJM42" s="44"/>
      <c r="FJN42" s="44"/>
      <c r="FJO42" s="44"/>
      <c r="FJP42" s="44"/>
      <c r="FJQ42" s="44"/>
      <c r="FJR42" s="44"/>
      <c r="FJS42" s="44"/>
      <c r="FJT42" s="44"/>
      <c r="FJU42" s="44"/>
      <c r="FJV42" s="44"/>
      <c r="FJW42" s="44"/>
      <c r="FJX42" s="44"/>
      <c r="FJY42" s="44"/>
      <c r="FJZ42" s="44"/>
      <c r="FKA42" s="44"/>
      <c r="FKB42" s="44"/>
      <c r="FKC42" s="44"/>
      <c r="FKD42" s="44"/>
      <c r="FKE42" s="44"/>
      <c r="FKF42" s="44"/>
      <c r="FKG42" s="44"/>
      <c r="FKH42" s="44"/>
      <c r="FKI42" s="44"/>
      <c r="FKJ42" s="44"/>
      <c r="FKK42" s="44"/>
      <c r="FKL42" s="44"/>
      <c r="FKM42" s="44"/>
      <c r="FKN42" s="44"/>
      <c r="FKO42" s="44"/>
      <c r="FKP42" s="44"/>
      <c r="FKQ42" s="44"/>
      <c r="FKR42" s="44"/>
      <c r="FKS42" s="44"/>
      <c r="FKT42" s="44"/>
      <c r="FKU42" s="44"/>
      <c r="FKV42" s="44"/>
      <c r="FKW42" s="44"/>
      <c r="FKX42" s="44"/>
      <c r="FKY42" s="44"/>
      <c r="FKZ42" s="44"/>
      <c r="FLA42" s="44"/>
      <c r="FLB42" s="44"/>
      <c r="FLC42" s="44"/>
      <c r="FLD42" s="44"/>
      <c r="FLE42" s="44"/>
      <c r="FLF42" s="44"/>
      <c r="FLG42" s="44"/>
      <c r="FLH42" s="44"/>
      <c r="FLI42" s="44"/>
      <c r="FLJ42" s="44"/>
      <c r="FLK42" s="44"/>
      <c r="FLL42" s="44"/>
      <c r="FLM42" s="44"/>
      <c r="FLN42" s="44"/>
      <c r="FLO42" s="44"/>
      <c r="FLP42" s="44"/>
      <c r="FLQ42" s="44"/>
      <c r="FLR42" s="44"/>
      <c r="FLS42" s="44"/>
      <c r="FLT42" s="44"/>
      <c r="FLU42" s="44"/>
      <c r="FLV42" s="44"/>
      <c r="FLW42" s="44"/>
      <c r="FLX42" s="44"/>
      <c r="FLY42" s="44"/>
      <c r="FLZ42" s="44"/>
      <c r="FMA42" s="44"/>
      <c r="FMB42" s="44"/>
      <c r="FMC42" s="44"/>
      <c r="FMD42" s="44"/>
      <c r="FME42" s="44"/>
      <c r="FMF42" s="44"/>
      <c r="FMG42" s="44"/>
      <c r="FMH42" s="44"/>
      <c r="FMI42" s="44"/>
      <c r="FMJ42" s="44"/>
      <c r="FMK42" s="44"/>
      <c r="FML42" s="44"/>
      <c r="FMM42" s="44"/>
      <c r="FMN42" s="44"/>
      <c r="FMO42" s="44"/>
      <c r="FMP42" s="44"/>
      <c r="FMQ42" s="44"/>
      <c r="FMR42" s="44"/>
      <c r="FMS42" s="44"/>
      <c r="FMT42" s="44"/>
      <c r="FMU42" s="44"/>
      <c r="FMV42" s="44"/>
      <c r="FMW42" s="44"/>
      <c r="FMX42" s="44"/>
      <c r="FMY42" s="44"/>
      <c r="FMZ42" s="44"/>
      <c r="FNA42" s="44"/>
      <c r="FNB42" s="44"/>
      <c r="FNC42" s="44"/>
      <c r="FND42" s="44"/>
      <c r="FNE42" s="44"/>
      <c r="FNF42" s="44"/>
      <c r="FNG42" s="44"/>
      <c r="FNH42" s="44"/>
      <c r="FNI42" s="44"/>
      <c r="FNJ42" s="44"/>
      <c r="FNK42" s="44"/>
      <c r="FNL42" s="44"/>
      <c r="FNM42" s="44"/>
      <c r="FNN42" s="44"/>
      <c r="FNO42" s="44"/>
      <c r="FNP42" s="44"/>
      <c r="FNQ42" s="44"/>
      <c r="FNR42" s="44"/>
      <c r="FNS42" s="44"/>
      <c r="FNT42" s="44"/>
      <c r="FNU42" s="44"/>
      <c r="FNV42" s="44"/>
      <c r="FNW42" s="44"/>
      <c r="FNX42" s="44"/>
      <c r="FNY42" s="44"/>
      <c r="FNZ42" s="44"/>
      <c r="FOA42" s="44"/>
      <c r="FOB42" s="44"/>
      <c r="FOC42" s="44"/>
      <c r="FOD42" s="44"/>
      <c r="FOE42" s="44"/>
      <c r="FOF42" s="44"/>
      <c r="FOG42" s="44"/>
      <c r="FOH42" s="44"/>
      <c r="FOI42" s="44"/>
      <c r="FOJ42" s="44"/>
      <c r="FOK42" s="44"/>
      <c r="FOL42" s="44"/>
      <c r="FOM42" s="44"/>
      <c r="FON42" s="44"/>
      <c r="FOO42" s="44"/>
      <c r="FOP42" s="44"/>
      <c r="FOQ42" s="44"/>
      <c r="FOR42" s="44"/>
      <c r="FOS42" s="44"/>
      <c r="FOT42" s="44"/>
      <c r="FOU42" s="44"/>
      <c r="FOV42" s="44"/>
      <c r="FOW42" s="44"/>
      <c r="FOX42" s="44"/>
      <c r="FOY42" s="44"/>
      <c r="FOZ42" s="44"/>
      <c r="FPA42" s="44"/>
      <c r="FPB42" s="44"/>
      <c r="FPC42" s="44"/>
      <c r="FPD42" s="44"/>
      <c r="FPE42" s="44"/>
      <c r="FPF42" s="44"/>
      <c r="FPG42" s="44"/>
      <c r="FPH42" s="44"/>
      <c r="FPI42" s="44"/>
      <c r="FPJ42" s="44"/>
      <c r="FPK42" s="44"/>
      <c r="FPL42" s="44"/>
      <c r="FPM42" s="44"/>
      <c r="FPN42" s="44"/>
      <c r="FPO42" s="44"/>
      <c r="FPP42" s="44"/>
      <c r="FPQ42" s="44"/>
      <c r="FPR42" s="44"/>
      <c r="FPS42" s="44"/>
      <c r="FPT42" s="44"/>
      <c r="FPU42" s="44"/>
      <c r="FPV42" s="44"/>
      <c r="FPW42" s="44"/>
      <c r="FPX42" s="44"/>
      <c r="FPY42" s="44"/>
      <c r="FPZ42" s="44"/>
      <c r="FQA42" s="44"/>
      <c r="FQB42" s="44"/>
      <c r="FQC42" s="44"/>
      <c r="FQD42" s="44"/>
      <c r="FQE42" s="44"/>
      <c r="FQF42" s="44"/>
      <c r="FQG42" s="44"/>
      <c r="FQH42" s="44"/>
      <c r="FQI42" s="44"/>
      <c r="FQJ42" s="44"/>
      <c r="FQK42" s="44"/>
      <c r="FQL42" s="44"/>
      <c r="FQM42" s="44"/>
      <c r="FQN42" s="44"/>
      <c r="FQO42" s="44"/>
      <c r="FQP42" s="44"/>
      <c r="FQQ42" s="44"/>
      <c r="FQR42" s="44"/>
      <c r="FQS42" s="44"/>
      <c r="FQT42" s="44"/>
      <c r="FQU42" s="44"/>
      <c r="FQV42" s="44"/>
      <c r="FQW42" s="44"/>
      <c r="FQX42" s="44"/>
      <c r="FQY42" s="44"/>
      <c r="FQZ42" s="44"/>
      <c r="FRA42" s="44"/>
      <c r="FRB42" s="44"/>
      <c r="FRC42" s="44"/>
      <c r="FRD42" s="44"/>
      <c r="FRE42" s="44"/>
      <c r="FRF42" s="44"/>
      <c r="FRG42" s="44"/>
      <c r="FRH42" s="44"/>
      <c r="FRI42" s="44"/>
      <c r="FRJ42" s="44"/>
      <c r="FRK42" s="44"/>
      <c r="FRL42" s="44"/>
      <c r="FRM42" s="44"/>
      <c r="FRN42" s="44"/>
      <c r="FRO42" s="44"/>
      <c r="FRP42" s="44"/>
      <c r="FRQ42" s="44"/>
      <c r="FRR42" s="44"/>
      <c r="FRS42" s="44"/>
      <c r="FRT42" s="44"/>
      <c r="FRU42" s="44"/>
      <c r="FRV42" s="44"/>
      <c r="FRW42" s="44"/>
      <c r="FRX42" s="44"/>
      <c r="FRY42" s="44"/>
      <c r="FRZ42" s="44"/>
      <c r="FSA42" s="44"/>
      <c r="FSB42" s="44"/>
      <c r="FSC42" s="44"/>
      <c r="FSD42" s="44"/>
      <c r="FSE42" s="44"/>
      <c r="FSF42" s="44"/>
      <c r="FSG42" s="44"/>
      <c r="FSH42" s="44"/>
      <c r="FSI42" s="44"/>
      <c r="FSJ42" s="44"/>
      <c r="FSK42" s="44"/>
      <c r="FSL42" s="44"/>
      <c r="FSM42" s="44"/>
      <c r="FSN42" s="44"/>
      <c r="FSO42" s="44"/>
      <c r="FSP42" s="44"/>
      <c r="FSQ42" s="44"/>
      <c r="FSR42" s="44"/>
      <c r="FSS42" s="44"/>
      <c r="FST42" s="44"/>
      <c r="FSU42" s="44"/>
      <c r="FSV42" s="44"/>
      <c r="FSW42" s="44"/>
      <c r="FSX42" s="44"/>
      <c r="FSY42" s="44"/>
      <c r="FSZ42" s="44"/>
      <c r="FTA42" s="44"/>
      <c r="FTB42" s="44"/>
      <c r="FTC42" s="44"/>
      <c r="FTD42" s="44"/>
      <c r="FTE42" s="44"/>
      <c r="FTF42" s="44"/>
      <c r="FTG42" s="44"/>
      <c r="FTH42" s="44"/>
      <c r="FTI42" s="44"/>
      <c r="FTJ42" s="44"/>
      <c r="FTK42" s="44"/>
      <c r="FTL42" s="44"/>
      <c r="FTM42" s="44"/>
      <c r="FTN42" s="44"/>
      <c r="FTO42" s="44"/>
      <c r="FTP42" s="44"/>
      <c r="FTQ42" s="44"/>
      <c r="FTR42" s="44"/>
      <c r="FTS42" s="44"/>
      <c r="FTT42" s="44"/>
      <c r="FTU42" s="44"/>
      <c r="FTV42" s="44"/>
      <c r="FTW42" s="44"/>
      <c r="FTX42" s="44"/>
      <c r="FTY42" s="44"/>
      <c r="FTZ42" s="44"/>
      <c r="FUA42" s="44"/>
      <c r="FUB42" s="44"/>
      <c r="FUC42" s="44"/>
      <c r="FUD42" s="44"/>
      <c r="FUE42" s="44"/>
      <c r="FUF42" s="44"/>
      <c r="FUG42" s="44"/>
      <c r="FUH42" s="44"/>
      <c r="FUI42" s="44"/>
      <c r="FUJ42" s="44"/>
      <c r="FUK42" s="44"/>
      <c r="FUL42" s="44"/>
      <c r="FUM42" s="44"/>
      <c r="FUN42" s="44"/>
      <c r="FUO42" s="44"/>
      <c r="FUP42" s="44"/>
      <c r="FUQ42" s="44"/>
      <c r="FUR42" s="44"/>
      <c r="FUS42" s="44"/>
      <c r="FUT42" s="44"/>
      <c r="FUU42" s="44"/>
      <c r="FUV42" s="44"/>
      <c r="FUW42" s="44"/>
      <c r="FUX42" s="44"/>
      <c r="FUY42" s="44"/>
      <c r="FUZ42" s="44"/>
      <c r="FVA42" s="44"/>
      <c r="FVB42" s="44"/>
      <c r="FVC42" s="44"/>
      <c r="FVD42" s="44"/>
      <c r="FVE42" s="44"/>
      <c r="FVF42" s="44"/>
      <c r="FVG42" s="44"/>
      <c r="FVH42" s="44"/>
      <c r="FVI42" s="44"/>
      <c r="FVJ42" s="44"/>
      <c r="FVK42" s="44"/>
      <c r="FVL42" s="44"/>
      <c r="FVM42" s="44"/>
      <c r="FVN42" s="44"/>
      <c r="FVO42" s="44"/>
      <c r="FVP42" s="44"/>
      <c r="FVQ42" s="44"/>
      <c r="FVR42" s="44"/>
      <c r="FVS42" s="44"/>
      <c r="FVT42" s="44"/>
      <c r="FVU42" s="44"/>
      <c r="FVV42" s="44"/>
      <c r="FVW42" s="44"/>
      <c r="FVX42" s="44"/>
      <c r="FVY42" s="44"/>
      <c r="FVZ42" s="44"/>
      <c r="FWA42" s="44"/>
      <c r="FWB42" s="44"/>
      <c r="FWC42" s="44"/>
      <c r="FWD42" s="44"/>
      <c r="FWE42" s="44"/>
      <c r="FWF42" s="44"/>
      <c r="FWG42" s="44"/>
      <c r="FWH42" s="44"/>
      <c r="FWI42" s="44"/>
      <c r="FWJ42" s="44"/>
      <c r="FWK42" s="44"/>
      <c r="FWL42" s="44"/>
      <c r="FWM42" s="44"/>
      <c r="FWN42" s="44"/>
      <c r="FWO42" s="44"/>
      <c r="FWP42" s="44"/>
      <c r="FWQ42" s="44"/>
      <c r="FWR42" s="44"/>
      <c r="FWS42" s="44"/>
      <c r="FWT42" s="44"/>
      <c r="FWU42" s="44"/>
      <c r="FWV42" s="44"/>
      <c r="FWW42" s="44"/>
      <c r="FWX42" s="44"/>
      <c r="FWY42" s="44"/>
      <c r="FWZ42" s="44"/>
      <c r="FXA42" s="44"/>
      <c r="FXB42" s="44"/>
      <c r="FXC42" s="44"/>
      <c r="FXD42" s="44"/>
      <c r="FXE42" s="44"/>
      <c r="FXF42" s="44"/>
      <c r="FXG42" s="44"/>
      <c r="FXH42" s="44"/>
      <c r="FXI42" s="44"/>
      <c r="FXJ42" s="44"/>
      <c r="FXK42" s="44"/>
      <c r="FXL42" s="44"/>
      <c r="FXM42" s="44"/>
      <c r="FXN42" s="44"/>
      <c r="FXO42" s="44"/>
      <c r="FXP42" s="44"/>
      <c r="FXQ42" s="44"/>
      <c r="FXR42" s="44"/>
      <c r="FXS42" s="44"/>
      <c r="FXT42" s="44"/>
      <c r="FXU42" s="44"/>
      <c r="FXV42" s="44"/>
      <c r="FXW42" s="44"/>
      <c r="FXX42" s="44"/>
      <c r="FXY42" s="44"/>
      <c r="FXZ42" s="44"/>
      <c r="FYA42" s="44"/>
      <c r="FYB42" s="44"/>
      <c r="FYC42" s="44"/>
      <c r="FYD42" s="44"/>
      <c r="FYE42" s="44"/>
      <c r="FYF42" s="44"/>
      <c r="FYG42" s="44"/>
      <c r="FYH42" s="44"/>
      <c r="FYI42" s="44"/>
      <c r="FYJ42" s="44"/>
      <c r="FYK42" s="44"/>
      <c r="FYL42" s="44"/>
      <c r="FYM42" s="44"/>
      <c r="FYN42" s="44"/>
      <c r="FYO42" s="44"/>
      <c r="FYP42" s="44"/>
      <c r="FYQ42" s="44"/>
      <c r="FYR42" s="44"/>
      <c r="FYS42" s="44"/>
      <c r="FYT42" s="44"/>
      <c r="FYU42" s="44"/>
      <c r="FYV42" s="44"/>
      <c r="FYW42" s="44"/>
      <c r="FYX42" s="44"/>
      <c r="FYY42" s="44"/>
      <c r="FYZ42" s="44"/>
      <c r="FZA42" s="44"/>
      <c r="FZB42" s="44"/>
      <c r="FZC42" s="44"/>
      <c r="FZD42" s="44"/>
      <c r="FZE42" s="44"/>
      <c r="FZF42" s="44"/>
      <c r="FZG42" s="44"/>
      <c r="FZH42" s="44"/>
      <c r="FZI42" s="44"/>
      <c r="FZJ42" s="44"/>
      <c r="FZK42" s="44"/>
      <c r="FZL42" s="44"/>
      <c r="FZM42" s="44"/>
      <c r="FZN42" s="44"/>
      <c r="FZO42" s="44"/>
      <c r="FZP42" s="44"/>
      <c r="FZQ42" s="44"/>
      <c r="FZR42" s="44"/>
      <c r="FZS42" s="44"/>
      <c r="FZT42" s="44"/>
      <c r="FZU42" s="44"/>
      <c r="FZV42" s="44"/>
      <c r="FZW42" s="44"/>
      <c r="FZX42" s="44"/>
      <c r="FZY42" s="44"/>
      <c r="FZZ42" s="44"/>
      <c r="GAA42" s="44"/>
      <c r="GAB42" s="44"/>
      <c r="GAC42" s="44"/>
      <c r="GAD42" s="44"/>
      <c r="GAE42" s="44"/>
      <c r="GAF42" s="44"/>
      <c r="GAG42" s="44"/>
      <c r="GAH42" s="44"/>
      <c r="GAI42" s="44"/>
      <c r="GAJ42" s="44"/>
      <c r="GAK42" s="44"/>
      <c r="GAL42" s="44"/>
      <c r="GAM42" s="44"/>
      <c r="GAN42" s="44"/>
      <c r="GAO42" s="44"/>
      <c r="GAP42" s="44"/>
      <c r="GAQ42" s="44"/>
      <c r="GAR42" s="44"/>
      <c r="GAS42" s="44"/>
      <c r="GAT42" s="44"/>
      <c r="GAU42" s="44"/>
      <c r="GAV42" s="44"/>
      <c r="GAW42" s="44"/>
      <c r="GAX42" s="44"/>
      <c r="GAY42" s="44"/>
      <c r="GAZ42" s="44"/>
      <c r="GBA42" s="44"/>
      <c r="GBB42" s="44"/>
      <c r="GBC42" s="44"/>
      <c r="GBD42" s="44"/>
      <c r="GBE42" s="44"/>
      <c r="GBF42" s="44"/>
      <c r="GBG42" s="44"/>
      <c r="GBH42" s="44"/>
      <c r="GBI42" s="44"/>
      <c r="GBJ42" s="44"/>
      <c r="GBK42" s="44"/>
      <c r="GBL42" s="44"/>
      <c r="GBM42" s="44"/>
      <c r="GBN42" s="44"/>
      <c r="GBO42" s="44"/>
      <c r="GBP42" s="44"/>
      <c r="GBQ42" s="44"/>
      <c r="GBR42" s="44"/>
      <c r="GBS42" s="44"/>
      <c r="GBT42" s="44"/>
      <c r="GBU42" s="44"/>
      <c r="GBV42" s="44"/>
      <c r="GBW42" s="44"/>
      <c r="GBX42" s="44"/>
      <c r="GBY42" s="44"/>
      <c r="GBZ42" s="44"/>
      <c r="GCA42" s="44"/>
      <c r="GCB42" s="44"/>
      <c r="GCC42" s="44"/>
      <c r="GCD42" s="44"/>
      <c r="GCE42" s="44"/>
      <c r="GCF42" s="44"/>
      <c r="GCG42" s="44"/>
      <c r="GCH42" s="44"/>
      <c r="GCI42" s="44"/>
      <c r="GCJ42" s="44"/>
      <c r="GCK42" s="44"/>
      <c r="GCL42" s="44"/>
      <c r="GCM42" s="44"/>
      <c r="GCN42" s="44"/>
      <c r="GCO42" s="44"/>
      <c r="GCP42" s="44"/>
      <c r="GCQ42" s="44"/>
      <c r="GCR42" s="44"/>
      <c r="GCS42" s="44"/>
      <c r="GCT42" s="44"/>
      <c r="GCU42" s="44"/>
      <c r="GCV42" s="44"/>
      <c r="GCW42" s="44"/>
      <c r="GCX42" s="44"/>
      <c r="GCY42" s="44"/>
      <c r="GCZ42" s="44"/>
      <c r="GDA42" s="44"/>
      <c r="GDB42" s="44"/>
      <c r="GDC42" s="44"/>
      <c r="GDD42" s="44"/>
      <c r="GDE42" s="44"/>
      <c r="GDF42" s="44"/>
      <c r="GDG42" s="44"/>
      <c r="GDH42" s="44"/>
      <c r="GDI42" s="44"/>
      <c r="GDJ42" s="44"/>
      <c r="GDK42" s="44"/>
      <c r="GDL42" s="44"/>
      <c r="GDM42" s="44"/>
      <c r="GDN42" s="44"/>
      <c r="GDO42" s="44"/>
      <c r="GDP42" s="44"/>
      <c r="GDQ42" s="44"/>
      <c r="GDR42" s="44"/>
      <c r="GDS42" s="44"/>
      <c r="GDT42" s="44"/>
      <c r="GDU42" s="44"/>
      <c r="GDV42" s="44"/>
      <c r="GDW42" s="44"/>
      <c r="GDX42" s="44"/>
      <c r="GDY42" s="44"/>
      <c r="GDZ42" s="44"/>
      <c r="GEA42" s="44"/>
      <c r="GEB42" s="44"/>
      <c r="GEC42" s="44"/>
      <c r="GED42" s="44"/>
      <c r="GEE42" s="44"/>
      <c r="GEF42" s="44"/>
      <c r="GEG42" s="44"/>
      <c r="GEH42" s="44"/>
      <c r="GEI42" s="44"/>
      <c r="GEJ42" s="44"/>
      <c r="GEK42" s="44"/>
      <c r="GEL42" s="44"/>
      <c r="GEM42" s="44"/>
      <c r="GEN42" s="44"/>
      <c r="GEO42" s="44"/>
      <c r="GEP42" s="44"/>
      <c r="GEQ42" s="44"/>
      <c r="GER42" s="44"/>
      <c r="GES42" s="44"/>
      <c r="GET42" s="44"/>
      <c r="GEU42" s="44"/>
      <c r="GEV42" s="44"/>
      <c r="GEW42" s="44"/>
      <c r="GEX42" s="44"/>
      <c r="GEY42" s="44"/>
      <c r="GEZ42" s="44"/>
      <c r="GFA42" s="44"/>
      <c r="GFB42" s="44"/>
      <c r="GFC42" s="44"/>
      <c r="GFD42" s="44"/>
      <c r="GFE42" s="44"/>
      <c r="GFF42" s="44"/>
      <c r="GFG42" s="44"/>
      <c r="GFH42" s="44"/>
      <c r="GFI42" s="44"/>
      <c r="GFJ42" s="44"/>
      <c r="GFK42" s="44"/>
      <c r="GFL42" s="44"/>
      <c r="GFM42" s="44"/>
      <c r="GFN42" s="44"/>
      <c r="GFO42" s="44"/>
      <c r="GFP42" s="44"/>
      <c r="GFQ42" s="44"/>
      <c r="GFR42" s="44"/>
      <c r="GFS42" s="44"/>
      <c r="GFT42" s="44"/>
      <c r="GFU42" s="44"/>
      <c r="GFV42" s="44"/>
      <c r="GFW42" s="44"/>
      <c r="GFX42" s="44"/>
      <c r="GFY42" s="44"/>
      <c r="GFZ42" s="44"/>
      <c r="GGA42" s="44"/>
      <c r="GGB42" s="44"/>
      <c r="GGC42" s="44"/>
      <c r="GGD42" s="44"/>
      <c r="GGE42" s="44"/>
      <c r="GGF42" s="44"/>
      <c r="GGG42" s="44"/>
      <c r="GGH42" s="44"/>
      <c r="GGI42" s="44"/>
      <c r="GGJ42" s="44"/>
      <c r="GGK42" s="44"/>
      <c r="GGL42" s="44"/>
      <c r="GGM42" s="44"/>
      <c r="GGN42" s="44"/>
      <c r="GGO42" s="44"/>
      <c r="GGP42" s="44"/>
      <c r="GGQ42" s="44"/>
      <c r="GGR42" s="44"/>
      <c r="GGS42" s="44"/>
      <c r="GGT42" s="44"/>
      <c r="GGU42" s="44"/>
      <c r="GGV42" s="44"/>
      <c r="GGW42" s="44"/>
      <c r="GGX42" s="44"/>
      <c r="GGY42" s="44"/>
      <c r="GGZ42" s="44"/>
      <c r="GHA42" s="44"/>
      <c r="GHB42" s="44"/>
      <c r="GHC42" s="44"/>
      <c r="GHD42" s="44"/>
      <c r="GHE42" s="44"/>
      <c r="GHF42" s="44"/>
      <c r="GHG42" s="44"/>
      <c r="GHH42" s="44"/>
      <c r="GHI42" s="44"/>
      <c r="GHJ42" s="44"/>
      <c r="GHK42" s="44"/>
      <c r="GHL42" s="44"/>
      <c r="GHM42" s="44"/>
      <c r="GHN42" s="44"/>
      <c r="GHO42" s="44"/>
      <c r="GHP42" s="44"/>
      <c r="GHQ42" s="44"/>
      <c r="GHR42" s="44"/>
      <c r="GHS42" s="44"/>
      <c r="GHT42" s="44"/>
      <c r="GHU42" s="44"/>
      <c r="GHV42" s="44"/>
      <c r="GHW42" s="44"/>
      <c r="GHX42" s="44"/>
      <c r="GHY42" s="44"/>
      <c r="GHZ42" s="44"/>
      <c r="GIA42" s="44"/>
      <c r="GIB42" s="44"/>
      <c r="GIC42" s="44"/>
      <c r="GID42" s="44"/>
      <c r="GIE42" s="44"/>
      <c r="GIF42" s="44"/>
      <c r="GIG42" s="44"/>
      <c r="GIH42" s="44"/>
      <c r="GII42" s="44"/>
      <c r="GIJ42" s="44"/>
      <c r="GIK42" s="44"/>
      <c r="GIL42" s="44"/>
      <c r="GIM42" s="44"/>
      <c r="GIN42" s="44"/>
      <c r="GIO42" s="44"/>
      <c r="GIP42" s="44"/>
      <c r="GIQ42" s="44"/>
      <c r="GIR42" s="44"/>
      <c r="GIS42" s="44"/>
      <c r="GIT42" s="44"/>
      <c r="GIU42" s="44"/>
      <c r="GIV42" s="44"/>
      <c r="GIW42" s="44"/>
      <c r="GIX42" s="44"/>
      <c r="GIY42" s="44"/>
      <c r="GIZ42" s="44"/>
      <c r="GJA42" s="44"/>
      <c r="GJB42" s="44"/>
      <c r="GJC42" s="44"/>
      <c r="GJD42" s="44"/>
      <c r="GJE42" s="44"/>
      <c r="GJF42" s="44"/>
      <c r="GJG42" s="44"/>
      <c r="GJH42" s="44"/>
      <c r="GJI42" s="44"/>
      <c r="GJJ42" s="44"/>
      <c r="GJK42" s="44"/>
      <c r="GJL42" s="44"/>
      <c r="GJM42" s="44"/>
      <c r="GJN42" s="44"/>
      <c r="GJO42" s="44"/>
      <c r="GJP42" s="44"/>
      <c r="GJQ42" s="44"/>
      <c r="GJR42" s="44"/>
      <c r="GJS42" s="44"/>
      <c r="GJT42" s="44"/>
      <c r="GJU42" s="44"/>
      <c r="GJV42" s="44"/>
      <c r="GJW42" s="44"/>
      <c r="GJX42" s="44"/>
      <c r="GJY42" s="44"/>
      <c r="GJZ42" s="44"/>
      <c r="GKA42" s="44"/>
      <c r="GKB42" s="44"/>
      <c r="GKC42" s="44"/>
      <c r="GKD42" s="44"/>
      <c r="GKE42" s="44"/>
      <c r="GKF42" s="44"/>
      <c r="GKG42" s="44"/>
      <c r="GKH42" s="44"/>
      <c r="GKI42" s="44"/>
      <c r="GKJ42" s="44"/>
      <c r="GKK42" s="44"/>
      <c r="GKL42" s="44"/>
      <c r="GKM42" s="44"/>
      <c r="GKN42" s="44"/>
      <c r="GKO42" s="44"/>
      <c r="GKP42" s="44"/>
      <c r="GKQ42" s="44"/>
      <c r="GKR42" s="44"/>
      <c r="GKS42" s="44"/>
      <c r="GKT42" s="44"/>
      <c r="GKU42" s="44"/>
      <c r="GKV42" s="44"/>
      <c r="GKW42" s="44"/>
      <c r="GKX42" s="44"/>
      <c r="GKY42" s="44"/>
      <c r="GKZ42" s="44"/>
      <c r="GLA42" s="44"/>
      <c r="GLB42" s="44"/>
      <c r="GLC42" s="44"/>
      <c r="GLD42" s="44"/>
      <c r="GLE42" s="44"/>
      <c r="GLF42" s="44"/>
      <c r="GLG42" s="44"/>
      <c r="GLH42" s="44"/>
      <c r="GLI42" s="44"/>
      <c r="GLJ42" s="44"/>
      <c r="GLK42" s="44"/>
      <c r="GLL42" s="44"/>
      <c r="GLM42" s="44"/>
      <c r="GLN42" s="44"/>
      <c r="GLO42" s="44"/>
      <c r="GLP42" s="44"/>
      <c r="GLQ42" s="44"/>
      <c r="GLR42" s="44"/>
      <c r="GLS42" s="44"/>
      <c r="GLT42" s="44"/>
      <c r="GLU42" s="44"/>
      <c r="GLV42" s="44"/>
      <c r="GLW42" s="44"/>
      <c r="GLX42" s="44"/>
      <c r="GLY42" s="44"/>
      <c r="GLZ42" s="44"/>
      <c r="GMA42" s="44"/>
      <c r="GMB42" s="44"/>
      <c r="GMC42" s="44"/>
      <c r="GMD42" s="44"/>
      <c r="GME42" s="44"/>
      <c r="GMF42" s="44"/>
      <c r="GMG42" s="44"/>
      <c r="GMH42" s="44"/>
      <c r="GMI42" s="44"/>
      <c r="GMJ42" s="44"/>
      <c r="GMK42" s="44"/>
      <c r="GML42" s="44"/>
      <c r="GMM42" s="44"/>
      <c r="GMN42" s="44"/>
      <c r="GMO42" s="44"/>
      <c r="GMP42" s="44"/>
      <c r="GMQ42" s="44"/>
      <c r="GMR42" s="44"/>
      <c r="GMS42" s="44"/>
      <c r="GMT42" s="44"/>
      <c r="GMU42" s="44"/>
      <c r="GMV42" s="44"/>
      <c r="GMW42" s="44"/>
      <c r="GMX42" s="44"/>
      <c r="GMY42" s="44"/>
      <c r="GMZ42" s="44"/>
      <c r="GNA42" s="44"/>
      <c r="GNB42" s="44"/>
      <c r="GNC42" s="44"/>
      <c r="GND42" s="44"/>
      <c r="GNE42" s="44"/>
      <c r="GNF42" s="44"/>
      <c r="GNG42" s="44"/>
      <c r="GNH42" s="44"/>
      <c r="GNI42" s="44"/>
      <c r="GNJ42" s="44"/>
      <c r="GNK42" s="44"/>
      <c r="GNL42" s="44"/>
      <c r="GNM42" s="44"/>
      <c r="GNN42" s="44"/>
      <c r="GNO42" s="44"/>
      <c r="GNP42" s="44"/>
      <c r="GNQ42" s="44"/>
      <c r="GNR42" s="44"/>
      <c r="GNS42" s="44"/>
      <c r="GNT42" s="44"/>
      <c r="GNU42" s="44"/>
      <c r="GNV42" s="44"/>
      <c r="GNW42" s="44"/>
      <c r="GNX42" s="44"/>
      <c r="GNY42" s="44"/>
      <c r="GNZ42" s="44"/>
      <c r="GOA42" s="44"/>
      <c r="GOB42" s="44"/>
      <c r="GOC42" s="44"/>
      <c r="GOD42" s="44"/>
      <c r="GOE42" s="44"/>
      <c r="GOF42" s="44"/>
      <c r="GOG42" s="44"/>
      <c r="GOH42" s="44"/>
      <c r="GOI42" s="44"/>
      <c r="GOJ42" s="44"/>
      <c r="GOK42" s="44"/>
      <c r="GOL42" s="44"/>
      <c r="GOM42" s="44"/>
      <c r="GON42" s="44"/>
      <c r="GOO42" s="44"/>
      <c r="GOP42" s="44"/>
      <c r="GOQ42" s="44"/>
      <c r="GOR42" s="44"/>
      <c r="GOS42" s="44"/>
      <c r="GOT42" s="44"/>
      <c r="GOU42" s="44"/>
      <c r="GOV42" s="44"/>
      <c r="GOW42" s="44"/>
      <c r="GOX42" s="44"/>
      <c r="GOY42" s="44"/>
      <c r="GOZ42" s="44"/>
      <c r="GPA42" s="44"/>
      <c r="GPB42" s="44"/>
      <c r="GPC42" s="44"/>
      <c r="GPD42" s="44"/>
      <c r="GPE42" s="44"/>
      <c r="GPF42" s="44"/>
      <c r="GPG42" s="44"/>
      <c r="GPH42" s="44"/>
      <c r="GPI42" s="44"/>
      <c r="GPJ42" s="44"/>
      <c r="GPK42" s="44"/>
      <c r="GPL42" s="44"/>
      <c r="GPM42" s="44"/>
      <c r="GPN42" s="44"/>
      <c r="GPO42" s="44"/>
      <c r="GPP42" s="44"/>
      <c r="GPQ42" s="44"/>
      <c r="GPR42" s="44"/>
      <c r="GPS42" s="44"/>
      <c r="GPT42" s="44"/>
      <c r="GPU42" s="44"/>
      <c r="GPV42" s="44"/>
      <c r="GPW42" s="44"/>
      <c r="GPX42" s="44"/>
      <c r="GPY42" s="44"/>
      <c r="GPZ42" s="44"/>
      <c r="GQA42" s="44"/>
      <c r="GQB42" s="44"/>
      <c r="GQC42" s="44"/>
      <c r="GQD42" s="44"/>
      <c r="GQE42" s="44"/>
      <c r="GQF42" s="44"/>
      <c r="GQG42" s="44"/>
      <c r="GQH42" s="44"/>
      <c r="GQI42" s="44"/>
      <c r="GQJ42" s="44"/>
      <c r="GQK42" s="44"/>
      <c r="GQL42" s="44"/>
      <c r="GQM42" s="44"/>
      <c r="GQN42" s="44"/>
      <c r="GQO42" s="44"/>
      <c r="GQP42" s="44"/>
      <c r="GQQ42" s="44"/>
      <c r="GQR42" s="44"/>
      <c r="GQS42" s="44"/>
      <c r="GQT42" s="44"/>
      <c r="GQU42" s="44"/>
      <c r="GQV42" s="44"/>
      <c r="GQW42" s="44"/>
      <c r="GQX42" s="44"/>
      <c r="GQY42" s="44"/>
      <c r="GQZ42" s="44"/>
      <c r="GRA42" s="44"/>
      <c r="GRB42" s="44"/>
      <c r="GRC42" s="44"/>
      <c r="GRD42" s="44"/>
      <c r="GRE42" s="44"/>
      <c r="GRF42" s="44"/>
      <c r="GRG42" s="44"/>
      <c r="GRH42" s="44"/>
      <c r="GRI42" s="44"/>
      <c r="GRJ42" s="44"/>
      <c r="GRK42" s="44"/>
      <c r="GRL42" s="44"/>
      <c r="GRM42" s="44"/>
      <c r="GRN42" s="44"/>
      <c r="GRO42" s="44"/>
      <c r="GRP42" s="44"/>
      <c r="GRQ42" s="44"/>
      <c r="GRR42" s="44"/>
      <c r="GRS42" s="44"/>
      <c r="GRT42" s="44"/>
      <c r="GRU42" s="44"/>
      <c r="GRV42" s="44"/>
      <c r="GRW42" s="44"/>
      <c r="GRX42" s="44"/>
      <c r="GRY42" s="44"/>
      <c r="GRZ42" s="44"/>
      <c r="GSA42" s="44"/>
      <c r="GSB42" s="44"/>
      <c r="GSC42" s="44"/>
      <c r="GSD42" s="44"/>
      <c r="GSE42" s="44"/>
      <c r="GSF42" s="44"/>
      <c r="GSG42" s="44"/>
      <c r="GSH42" s="44"/>
      <c r="GSI42" s="44"/>
      <c r="GSJ42" s="44"/>
      <c r="GSK42" s="44"/>
      <c r="GSL42" s="44"/>
      <c r="GSM42" s="44"/>
      <c r="GSN42" s="44"/>
      <c r="GSO42" s="44"/>
      <c r="GSP42" s="44"/>
      <c r="GSQ42" s="44"/>
      <c r="GSR42" s="44"/>
      <c r="GSS42" s="44"/>
      <c r="GST42" s="44"/>
      <c r="GSU42" s="44"/>
      <c r="GSV42" s="44"/>
      <c r="GSW42" s="44"/>
      <c r="GSX42" s="44"/>
      <c r="GSY42" s="44"/>
      <c r="GSZ42" s="44"/>
      <c r="GTA42" s="44"/>
      <c r="GTB42" s="44"/>
      <c r="GTC42" s="44"/>
      <c r="GTD42" s="44"/>
      <c r="GTE42" s="44"/>
      <c r="GTF42" s="44"/>
      <c r="GTG42" s="44"/>
      <c r="GTH42" s="44"/>
      <c r="GTI42" s="44"/>
      <c r="GTJ42" s="44"/>
      <c r="GTK42" s="44"/>
      <c r="GTL42" s="44"/>
      <c r="GTM42" s="44"/>
      <c r="GTN42" s="44"/>
      <c r="GTO42" s="44"/>
      <c r="GTP42" s="44"/>
      <c r="GTQ42" s="44"/>
      <c r="GTR42" s="44"/>
      <c r="GTS42" s="44"/>
      <c r="GTT42" s="44"/>
      <c r="GTU42" s="44"/>
      <c r="GTV42" s="44"/>
      <c r="GTW42" s="44"/>
      <c r="GTX42" s="44"/>
      <c r="GTY42" s="44"/>
      <c r="GTZ42" s="44"/>
      <c r="GUA42" s="44"/>
      <c r="GUB42" s="44"/>
      <c r="GUC42" s="44"/>
      <c r="GUD42" s="44"/>
      <c r="GUE42" s="44"/>
      <c r="GUF42" s="44"/>
      <c r="GUG42" s="44"/>
      <c r="GUH42" s="44"/>
      <c r="GUI42" s="44"/>
      <c r="GUJ42" s="44"/>
      <c r="GUK42" s="44"/>
      <c r="GUL42" s="44"/>
      <c r="GUM42" s="44"/>
      <c r="GUN42" s="44"/>
      <c r="GUO42" s="44"/>
      <c r="GUP42" s="44"/>
      <c r="GUQ42" s="44"/>
      <c r="GUR42" s="44"/>
      <c r="GUS42" s="44"/>
      <c r="GUT42" s="44"/>
      <c r="GUU42" s="44"/>
      <c r="GUV42" s="44"/>
      <c r="GUW42" s="44"/>
      <c r="GUX42" s="44"/>
      <c r="GUY42" s="44"/>
      <c r="GUZ42" s="44"/>
      <c r="GVA42" s="44"/>
      <c r="GVB42" s="44"/>
      <c r="GVC42" s="44"/>
      <c r="GVD42" s="44"/>
      <c r="GVE42" s="44"/>
      <c r="GVF42" s="44"/>
      <c r="GVG42" s="44"/>
      <c r="GVH42" s="44"/>
      <c r="GVI42" s="44"/>
      <c r="GVJ42" s="44"/>
      <c r="GVK42" s="44"/>
      <c r="GVL42" s="44"/>
      <c r="GVM42" s="44"/>
      <c r="GVN42" s="44"/>
      <c r="GVO42" s="44"/>
      <c r="GVP42" s="44"/>
      <c r="GVQ42" s="44"/>
      <c r="GVR42" s="44"/>
      <c r="GVS42" s="44"/>
      <c r="GVT42" s="44"/>
      <c r="GVU42" s="44"/>
      <c r="GVV42" s="44"/>
      <c r="GVW42" s="44"/>
      <c r="GVX42" s="44"/>
      <c r="GVY42" s="44"/>
      <c r="GVZ42" s="44"/>
      <c r="GWA42" s="44"/>
      <c r="GWB42" s="44"/>
      <c r="GWC42" s="44"/>
      <c r="GWD42" s="44"/>
      <c r="GWE42" s="44"/>
      <c r="GWF42" s="44"/>
      <c r="GWG42" s="44"/>
      <c r="GWH42" s="44"/>
      <c r="GWI42" s="44"/>
      <c r="GWJ42" s="44"/>
      <c r="GWK42" s="44"/>
      <c r="GWL42" s="44"/>
      <c r="GWM42" s="44"/>
      <c r="GWN42" s="44"/>
      <c r="GWO42" s="44"/>
      <c r="GWP42" s="44"/>
      <c r="GWQ42" s="44"/>
      <c r="GWR42" s="44"/>
      <c r="GWS42" s="44"/>
      <c r="GWT42" s="44"/>
      <c r="GWU42" s="44"/>
      <c r="GWV42" s="44"/>
      <c r="GWW42" s="44"/>
      <c r="GWX42" s="44"/>
      <c r="GWY42" s="44"/>
      <c r="GWZ42" s="44"/>
      <c r="GXA42" s="44"/>
      <c r="GXB42" s="44"/>
      <c r="GXC42" s="44"/>
      <c r="GXD42" s="44"/>
      <c r="GXE42" s="44"/>
      <c r="GXF42" s="44"/>
      <c r="GXG42" s="44"/>
      <c r="GXH42" s="44"/>
      <c r="GXI42" s="44"/>
      <c r="GXJ42" s="44"/>
      <c r="GXK42" s="44"/>
      <c r="GXL42" s="44"/>
      <c r="GXM42" s="44"/>
      <c r="GXN42" s="44"/>
      <c r="GXO42" s="44"/>
      <c r="GXP42" s="44"/>
      <c r="GXQ42" s="44"/>
      <c r="GXR42" s="44"/>
      <c r="GXS42" s="44"/>
      <c r="GXT42" s="44"/>
      <c r="GXU42" s="44"/>
      <c r="GXV42" s="44"/>
      <c r="GXW42" s="44"/>
      <c r="GXX42" s="44"/>
      <c r="GXY42" s="44"/>
      <c r="GXZ42" s="44"/>
      <c r="GYA42" s="44"/>
      <c r="GYB42" s="44"/>
      <c r="GYC42" s="44"/>
      <c r="GYD42" s="44"/>
      <c r="GYE42" s="44"/>
      <c r="GYF42" s="44"/>
      <c r="GYG42" s="44"/>
      <c r="GYH42" s="44"/>
      <c r="GYI42" s="44"/>
      <c r="GYJ42" s="44"/>
      <c r="GYK42" s="44"/>
      <c r="GYL42" s="44"/>
      <c r="GYM42" s="44"/>
      <c r="GYN42" s="44"/>
      <c r="GYO42" s="44"/>
      <c r="GYP42" s="44"/>
      <c r="GYQ42" s="44"/>
      <c r="GYR42" s="44"/>
      <c r="GYS42" s="44"/>
      <c r="GYT42" s="44"/>
      <c r="GYU42" s="44"/>
      <c r="GYV42" s="44"/>
      <c r="GYW42" s="44"/>
      <c r="GYX42" s="44"/>
      <c r="GYY42" s="44"/>
      <c r="GYZ42" s="44"/>
      <c r="GZA42" s="44"/>
      <c r="GZB42" s="44"/>
      <c r="GZC42" s="44"/>
      <c r="GZD42" s="44"/>
      <c r="GZE42" s="44"/>
      <c r="GZF42" s="44"/>
      <c r="GZG42" s="44"/>
      <c r="GZH42" s="44"/>
      <c r="GZI42" s="44"/>
      <c r="GZJ42" s="44"/>
      <c r="GZK42" s="44"/>
      <c r="GZL42" s="44"/>
      <c r="GZM42" s="44"/>
      <c r="GZN42" s="44"/>
      <c r="GZO42" s="44"/>
      <c r="GZP42" s="44"/>
      <c r="GZQ42" s="44"/>
      <c r="GZR42" s="44"/>
      <c r="GZS42" s="44"/>
      <c r="GZT42" s="44"/>
      <c r="GZU42" s="44"/>
      <c r="GZV42" s="44"/>
      <c r="GZW42" s="44"/>
      <c r="GZX42" s="44"/>
      <c r="GZY42" s="44"/>
      <c r="GZZ42" s="44"/>
      <c r="HAA42" s="44"/>
      <c r="HAB42" s="44"/>
      <c r="HAC42" s="44"/>
      <c r="HAD42" s="44"/>
      <c r="HAE42" s="44"/>
      <c r="HAF42" s="44"/>
      <c r="HAG42" s="44"/>
      <c r="HAH42" s="44"/>
      <c r="HAI42" s="44"/>
      <c r="HAJ42" s="44"/>
      <c r="HAK42" s="44"/>
      <c r="HAL42" s="44"/>
      <c r="HAM42" s="44"/>
      <c r="HAN42" s="44"/>
      <c r="HAO42" s="44"/>
      <c r="HAP42" s="44"/>
      <c r="HAQ42" s="44"/>
      <c r="HAR42" s="44"/>
      <c r="HAS42" s="44"/>
      <c r="HAT42" s="44"/>
      <c r="HAU42" s="44"/>
      <c r="HAV42" s="44"/>
      <c r="HAW42" s="44"/>
      <c r="HAX42" s="44"/>
      <c r="HAY42" s="44"/>
      <c r="HAZ42" s="44"/>
      <c r="HBA42" s="44"/>
      <c r="HBB42" s="44"/>
      <c r="HBC42" s="44"/>
      <c r="HBD42" s="44"/>
      <c r="HBE42" s="44"/>
      <c r="HBF42" s="44"/>
      <c r="HBG42" s="44"/>
      <c r="HBH42" s="44"/>
      <c r="HBI42" s="44"/>
      <c r="HBJ42" s="44"/>
      <c r="HBK42" s="44"/>
      <c r="HBL42" s="44"/>
      <c r="HBM42" s="44"/>
      <c r="HBN42" s="44"/>
      <c r="HBO42" s="44"/>
      <c r="HBP42" s="44"/>
      <c r="HBQ42" s="44"/>
      <c r="HBR42" s="44"/>
      <c r="HBS42" s="44"/>
      <c r="HBT42" s="44"/>
      <c r="HBU42" s="44"/>
      <c r="HBV42" s="44"/>
      <c r="HBW42" s="44"/>
      <c r="HBX42" s="44"/>
      <c r="HBY42" s="44"/>
      <c r="HBZ42" s="44"/>
      <c r="HCA42" s="44"/>
      <c r="HCB42" s="44"/>
      <c r="HCC42" s="44"/>
      <c r="HCD42" s="44"/>
      <c r="HCE42" s="44"/>
      <c r="HCF42" s="44"/>
      <c r="HCG42" s="44"/>
      <c r="HCH42" s="44"/>
      <c r="HCI42" s="44"/>
      <c r="HCJ42" s="44"/>
      <c r="HCK42" s="44"/>
      <c r="HCL42" s="44"/>
      <c r="HCM42" s="44"/>
      <c r="HCN42" s="44"/>
      <c r="HCO42" s="44"/>
      <c r="HCP42" s="44"/>
      <c r="HCQ42" s="44"/>
      <c r="HCR42" s="44"/>
      <c r="HCS42" s="44"/>
      <c r="HCT42" s="44"/>
      <c r="HCU42" s="44"/>
      <c r="HCV42" s="44"/>
      <c r="HCW42" s="44"/>
      <c r="HCX42" s="44"/>
      <c r="HCY42" s="44"/>
      <c r="HCZ42" s="44"/>
      <c r="HDA42" s="44"/>
      <c r="HDB42" s="44"/>
      <c r="HDC42" s="44"/>
      <c r="HDD42" s="44"/>
      <c r="HDE42" s="44"/>
      <c r="HDF42" s="44"/>
      <c r="HDG42" s="44"/>
      <c r="HDH42" s="44"/>
      <c r="HDI42" s="44"/>
      <c r="HDJ42" s="44"/>
      <c r="HDK42" s="44"/>
      <c r="HDL42" s="44"/>
      <c r="HDM42" s="44"/>
      <c r="HDN42" s="44"/>
      <c r="HDO42" s="44"/>
      <c r="HDP42" s="44"/>
      <c r="HDQ42" s="44"/>
      <c r="HDR42" s="44"/>
      <c r="HDS42" s="44"/>
      <c r="HDT42" s="44"/>
      <c r="HDU42" s="44"/>
      <c r="HDV42" s="44"/>
      <c r="HDW42" s="44"/>
      <c r="HDX42" s="44"/>
      <c r="HDY42" s="44"/>
      <c r="HDZ42" s="44"/>
      <c r="HEA42" s="44"/>
      <c r="HEB42" s="44"/>
      <c r="HEC42" s="44"/>
      <c r="HED42" s="44"/>
      <c r="HEE42" s="44"/>
      <c r="HEF42" s="44"/>
      <c r="HEG42" s="44"/>
      <c r="HEH42" s="44"/>
      <c r="HEI42" s="44"/>
      <c r="HEJ42" s="44"/>
      <c r="HEK42" s="44"/>
      <c r="HEL42" s="44"/>
      <c r="HEM42" s="44"/>
      <c r="HEN42" s="44"/>
      <c r="HEO42" s="44"/>
      <c r="HEP42" s="44"/>
      <c r="HEQ42" s="44"/>
      <c r="HER42" s="44"/>
      <c r="HES42" s="44"/>
      <c r="HET42" s="44"/>
      <c r="HEU42" s="44"/>
      <c r="HEV42" s="44"/>
      <c r="HEW42" s="44"/>
      <c r="HEX42" s="44"/>
      <c r="HEY42" s="44"/>
      <c r="HEZ42" s="44"/>
      <c r="HFA42" s="44"/>
      <c r="HFB42" s="44"/>
      <c r="HFC42" s="44"/>
      <c r="HFD42" s="44"/>
      <c r="HFE42" s="44"/>
      <c r="HFF42" s="44"/>
      <c r="HFG42" s="44"/>
      <c r="HFH42" s="44"/>
      <c r="HFI42" s="44"/>
      <c r="HFJ42" s="44"/>
      <c r="HFK42" s="44"/>
      <c r="HFL42" s="44"/>
      <c r="HFM42" s="44"/>
      <c r="HFN42" s="44"/>
      <c r="HFO42" s="44"/>
      <c r="HFP42" s="44"/>
      <c r="HFQ42" s="44"/>
      <c r="HFR42" s="44"/>
      <c r="HFS42" s="44"/>
      <c r="HFT42" s="44"/>
      <c r="HFU42" s="44"/>
      <c r="HFV42" s="44"/>
      <c r="HFW42" s="44"/>
      <c r="HFX42" s="44"/>
      <c r="HFY42" s="44"/>
      <c r="HFZ42" s="44"/>
      <c r="HGA42" s="44"/>
      <c r="HGB42" s="44"/>
      <c r="HGC42" s="44"/>
      <c r="HGD42" s="44"/>
      <c r="HGE42" s="44"/>
      <c r="HGF42" s="44"/>
      <c r="HGG42" s="44"/>
      <c r="HGH42" s="44"/>
      <c r="HGI42" s="44"/>
      <c r="HGJ42" s="44"/>
      <c r="HGK42" s="44"/>
      <c r="HGL42" s="44"/>
      <c r="HGM42" s="44"/>
      <c r="HGN42" s="44"/>
      <c r="HGO42" s="44"/>
      <c r="HGP42" s="44"/>
      <c r="HGQ42" s="44"/>
      <c r="HGR42" s="44"/>
      <c r="HGS42" s="44"/>
      <c r="HGT42" s="44"/>
      <c r="HGU42" s="44"/>
      <c r="HGV42" s="44"/>
      <c r="HGW42" s="44"/>
      <c r="HGX42" s="44"/>
      <c r="HGY42" s="44"/>
      <c r="HGZ42" s="44"/>
      <c r="HHA42" s="44"/>
      <c r="HHB42" s="44"/>
      <c r="HHC42" s="44"/>
      <c r="HHD42" s="44"/>
      <c r="HHE42" s="44"/>
      <c r="HHF42" s="44"/>
      <c r="HHG42" s="44"/>
      <c r="HHH42" s="44"/>
      <c r="HHI42" s="44"/>
      <c r="HHJ42" s="44"/>
      <c r="HHK42" s="44"/>
      <c r="HHL42" s="44"/>
      <c r="HHM42" s="44"/>
      <c r="HHN42" s="44"/>
      <c r="HHO42" s="44"/>
      <c r="HHP42" s="44"/>
      <c r="HHQ42" s="44"/>
      <c r="HHR42" s="44"/>
      <c r="HHS42" s="44"/>
      <c r="HHT42" s="44"/>
      <c r="HHU42" s="44"/>
      <c r="HHV42" s="44"/>
      <c r="HHW42" s="44"/>
      <c r="HHX42" s="44"/>
      <c r="HHY42" s="44"/>
      <c r="HHZ42" s="44"/>
      <c r="HIA42" s="44"/>
      <c r="HIB42" s="44"/>
      <c r="HIC42" s="44"/>
      <c r="HID42" s="44"/>
      <c r="HIE42" s="44"/>
      <c r="HIF42" s="44"/>
      <c r="HIG42" s="44"/>
      <c r="HIH42" s="44"/>
      <c r="HII42" s="44"/>
      <c r="HIJ42" s="44"/>
      <c r="HIK42" s="44"/>
      <c r="HIL42" s="44"/>
      <c r="HIM42" s="44"/>
      <c r="HIN42" s="44"/>
      <c r="HIO42" s="44"/>
      <c r="HIP42" s="44"/>
      <c r="HIQ42" s="44"/>
      <c r="HIR42" s="44"/>
      <c r="HIS42" s="44"/>
      <c r="HIT42" s="44"/>
      <c r="HIU42" s="44"/>
      <c r="HIV42" s="44"/>
      <c r="HIW42" s="44"/>
      <c r="HIX42" s="44"/>
      <c r="HIY42" s="44"/>
      <c r="HIZ42" s="44"/>
      <c r="HJA42" s="44"/>
      <c r="HJB42" s="44"/>
      <c r="HJC42" s="44"/>
      <c r="HJD42" s="44"/>
      <c r="HJE42" s="44"/>
      <c r="HJF42" s="44"/>
      <c r="HJG42" s="44"/>
      <c r="HJH42" s="44"/>
      <c r="HJI42" s="44"/>
      <c r="HJJ42" s="44"/>
      <c r="HJK42" s="44"/>
      <c r="HJL42" s="44"/>
      <c r="HJM42" s="44"/>
      <c r="HJN42" s="44"/>
      <c r="HJO42" s="44"/>
      <c r="HJP42" s="44"/>
      <c r="HJQ42" s="44"/>
      <c r="HJR42" s="44"/>
      <c r="HJS42" s="44"/>
      <c r="HJT42" s="44"/>
      <c r="HJU42" s="44"/>
      <c r="HJV42" s="44"/>
      <c r="HJW42" s="44"/>
      <c r="HJX42" s="44"/>
      <c r="HJY42" s="44"/>
      <c r="HJZ42" s="44"/>
      <c r="HKA42" s="44"/>
      <c r="HKB42" s="44"/>
      <c r="HKC42" s="44"/>
      <c r="HKD42" s="44"/>
      <c r="HKE42" s="44"/>
      <c r="HKF42" s="44"/>
      <c r="HKG42" s="44"/>
      <c r="HKH42" s="44"/>
      <c r="HKI42" s="44"/>
      <c r="HKJ42" s="44"/>
      <c r="HKK42" s="44"/>
      <c r="HKL42" s="44"/>
      <c r="HKM42" s="44"/>
      <c r="HKN42" s="44"/>
      <c r="HKO42" s="44"/>
      <c r="HKP42" s="44"/>
      <c r="HKQ42" s="44"/>
      <c r="HKR42" s="44"/>
      <c r="HKS42" s="44"/>
      <c r="HKT42" s="44"/>
      <c r="HKU42" s="44"/>
      <c r="HKV42" s="44"/>
      <c r="HKW42" s="44"/>
      <c r="HKX42" s="44"/>
      <c r="HKY42" s="44"/>
      <c r="HKZ42" s="44"/>
      <c r="HLA42" s="44"/>
      <c r="HLB42" s="44"/>
      <c r="HLC42" s="44"/>
      <c r="HLD42" s="44"/>
      <c r="HLE42" s="44"/>
      <c r="HLF42" s="44"/>
      <c r="HLG42" s="44"/>
      <c r="HLH42" s="44"/>
      <c r="HLI42" s="44"/>
      <c r="HLJ42" s="44"/>
      <c r="HLK42" s="44"/>
      <c r="HLL42" s="44"/>
      <c r="HLM42" s="44"/>
      <c r="HLN42" s="44"/>
      <c r="HLO42" s="44"/>
      <c r="HLP42" s="44"/>
      <c r="HLQ42" s="44"/>
      <c r="HLR42" s="44"/>
      <c r="HLS42" s="44"/>
      <c r="HLT42" s="44"/>
      <c r="HLU42" s="44"/>
      <c r="HLV42" s="44"/>
      <c r="HLW42" s="44"/>
      <c r="HLX42" s="44"/>
      <c r="HLY42" s="44"/>
      <c r="HLZ42" s="44"/>
      <c r="HMA42" s="44"/>
      <c r="HMB42" s="44"/>
      <c r="HMC42" s="44"/>
      <c r="HMD42" s="44"/>
      <c r="HME42" s="44"/>
      <c r="HMF42" s="44"/>
      <c r="HMG42" s="44"/>
      <c r="HMH42" s="44"/>
      <c r="HMI42" s="44"/>
      <c r="HMJ42" s="44"/>
      <c r="HMK42" s="44"/>
      <c r="HML42" s="44"/>
      <c r="HMM42" s="44"/>
      <c r="HMN42" s="44"/>
      <c r="HMO42" s="44"/>
      <c r="HMP42" s="44"/>
      <c r="HMQ42" s="44"/>
      <c r="HMR42" s="44"/>
      <c r="HMS42" s="44"/>
      <c r="HMT42" s="44"/>
      <c r="HMU42" s="44"/>
      <c r="HMV42" s="44"/>
      <c r="HMW42" s="44"/>
      <c r="HMX42" s="44"/>
      <c r="HMY42" s="44"/>
      <c r="HMZ42" s="44"/>
      <c r="HNA42" s="44"/>
      <c r="HNB42" s="44"/>
      <c r="HNC42" s="44"/>
      <c r="HND42" s="44"/>
      <c r="HNE42" s="44"/>
      <c r="HNF42" s="44"/>
      <c r="HNG42" s="44"/>
      <c r="HNH42" s="44"/>
      <c r="HNI42" s="44"/>
      <c r="HNJ42" s="44"/>
      <c r="HNK42" s="44"/>
      <c r="HNL42" s="44"/>
      <c r="HNM42" s="44"/>
      <c r="HNN42" s="44"/>
      <c r="HNO42" s="44"/>
      <c r="HNP42" s="44"/>
      <c r="HNQ42" s="44"/>
      <c r="HNR42" s="44"/>
      <c r="HNS42" s="44"/>
      <c r="HNT42" s="44"/>
      <c r="HNU42" s="44"/>
      <c r="HNV42" s="44"/>
      <c r="HNW42" s="44"/>
      <c r="HNX42" s="44"/>
      <c r="HNY42" s="44"/>
      <c r="HNZ42" s="44"/>
      <c r="HOA42" s="44"/>
      <c r="HOB42" s="44"/>
      <c r="HOC42" s="44"/>
      <c r="HOD42" s="44"/>
      <c r="HOE42" s="44"/>
      <c r="HOF42" s="44"/>
      <c r="HOG42" s="44"/>
      <c r="HOH42" s="44"/>
      <c r="HOI42" s="44"/>
      <c r="HOJ42" s="44"/>
      <c r="HOK42" s="44"/>
      <c r="HOL42" s="44"/>
      <c r="HOM42" s="44"/>
      <c r="HON42" s="44"/>
      <c r="HOO42" s="44"/>
      <c r="HOP42" s="44"/>
      <c r="HOQ42" s="44"/>
      <c r="HOR42" s="44"/>
      <c r="HOS42" s="44"/>
      <c r="HOT42" s="44"/>
      <c r="HOU42" s="44"/>
      <c r="HOV42" s="44"/>
      <c r="HOW42" s="44"/>
      <c r="HOX42" s="44"/>
      <c r="HOY42" s="44"/>
      <c r="HOZ42" s="44"/>
      <c r="HPA42" s="44"/>
      <c r="HPB42" s="44"/>
      <c r="HPC42" s="44"/>
      <c r="HPD42" s="44"/>
      <c r="HPE42" s="44"/>
      <c r="HPF42" s="44"/>
      <c r="HPG42" s="44"/>
      <c r="HPH42" s="44"/>
      <c r="HPI42" s="44"/>
      <c r="HPJ42" s="44"/>
      <c r="HPK42" s="44"/>
      <c r="HPL42" s="44"/>
      <c r="HPM42" s="44"/>
      <c r="HPN42" s="44"/>
      <c r="HPO42" s="44"/>
      <c r="HPP42" s="44"/>
      <c r="HPQ42" s="44"/>
      <c r="HPR42" s="44"/>
      <c r="HPS42" s="44"/>
      <c r="HPT42" s="44"/>
      <c r="HPU42" s="44"/>
      <c r="HPV42" s="44"/>
      <c r="HPW42" s="44"/>
      <c r="HPX42" s="44"/>
      <c r="HPY42" s="44"/>
      <c r="HPZ42" s="44"/>
      <c r="HQA42" s="44"/>
      <c r="HQB42" s="44"/>
      <c r="HQC42" s="44"/>
      <c r="HQD42" s="44"/>
      <c r="HQE42" s="44"/>
      <c r="HQF42" s="44"/>
      <c r="HQG42" s="44"/>
      <c r="HQH42" s="44"/>
      <c r="HQI42" s="44"/>
      <c r="HQJ42" s="44"/>
      <c r="HQK42" s="44"/>
      <c r="HQL42" s="44"/>
      <c r="HQM42" s="44"/>
      <c r="HQN42" s="44"/>
      <c r="HQO42" s="44"/>
      <c r="HQP42" s="44"/>
      <c r="HQQ42" s="44"/>
      <c r="HQR42" s="44"/>
      <c r="HQS42" s="44"/>
      <c r="HQT42" s="44"/>
      <c r="HQU42" s="44"/>
      <c r="HQV42" s="44"/>
      <c r="HQW42" s="44"/>
      <c r="HQX42" s="44"/>
      <c r="HQY42" s="44"/>
      <c r="HQZ42" s="44"/>
      <c r="HRA42" s="44"/>
      <c r="HRB42" s="44"/>
      <c r="HRC42" s="44"/>
      <c r="HRD42" s="44"/>
      <c r="HRE42" s="44"/>
      <c r="HRF42" s="44"/>
      <c r="HRG42" s="44"/>
      <c r="HRH42" s="44"/>
      <c r="HRI42" s="44"/>
      <c r="HRJ42" s="44"/>
      <c r="HRK42" s="44"/>
      <c r="HRL42" s="44"/>
      <c r="HRM42" s="44"/>
      <c r="HRN42" s="44"/>
      <c r="HRO42" s="44"/>
      <c r="HRP42" s="44"/>
      <c r="HRQ42" s="44"/>
      <c r="HRR42" s="44"/>
      <c r="HRS42" s="44"/>
      <c r="HRT42" s="44"/>
      <c r="HRU42" s="44"/>
      <c r="HRV42" s="44"/>
      <c r="HRW42" s="44"/>
      <c r="HRX42" s="44"/>
      <c r="HRY42" s="44"/>
      <c r="HRZ42" s="44"/>
      <c r="HSA42" s="44"/>
      <c r="HSB42" s="44"/>
      <c r="HSC42" s="44"/>
      <c r="HSD42" s="44"/>
      <c r="HSE42" s="44"/>
      <c r="HSF42" s="44"/>
      <c r="HSG42" s="44"/>
      <c r="HSH42" s="44"/>
      <c r="HSI42" s="44"/>
      <c r="HSJ42" s="44"/>
      <c r="HSK42" s="44"/>
      <c r="HSL42" s="44"/>
      <c r="HSM42" s="44"/>
      <c r="HSN42" s="44"/>
      <c r="HSO42" s="44"/>
      <c r="HSP42" s="44"/>
      <c r="HSQ42" s="44"/>
      <c r="HSR42" s="44"/>
      <c r="HSS42" s="44"/>
      <c r="HST42" s="44"/>
      <c r="HSU42" s="44"/>
      <c r="HSV42" s="44"/>
      <c r="HSW42" s="44"/>
      <c r="HSX42" s="44"/>
      <c r="HSY42" s="44"/>
      <c r="HSZ42" s="44"/>
      <c r="HTA42" s="44"/>
      <c r="HTB42" s="44"/>
      <c r="HTC42" s="44"/>
      <c r="HTD42" s="44"/>
      <c r="HTE42" s="44"/>
      <c r="HTF42" s="44"/>
      <c r="HTG42" s="44"/>
      <c r="HTH42" s="44"/>
      <c r="HTI42" s="44"/>
      <c r="HTJ42" s="44"/>
      <c r="HTK42" s="44"/>
      <c r="HTL42" s="44"/>
      <c r="HTM42" s="44"/>
      <c r="HTN42" s="44"/>
      <c r="HTO42" s="44"/>
      <c r="HTP42" s="44"/>
      <c r="HTQ42" s="44"/>
      <c r="HTR42" s="44"/>
      <c r="HTS42" s="44"/>
      <c r="HTT42" s="44"/>
      <c r="HTU42" s="44"/>
      <c r="HTV42" s="44"/>
      <c r="HTW42" s="44"/>
      <c r="HTX42" s="44"/>
      <c r="HTY42" s="44"/>
      <c r="HTZ42" s="44"/>
      <c r="HUA42" s="44"/>
      <c r="HUB42" s="44"/>
      <c r="HUC42" s="44"/>
      <c r="HUD42" s="44"/>
      <c r="HUE42" s="44"/>
      <c r="HUF42" s="44"/>
      <c r="HUG42" s="44"/>
      <c r="HUH42" s="44"/>
      <c r="HUI42" s="44"/>
      <c r="HUJ42" s="44"/>
      <c r="HUK42" s="44"/>
      <c r="HUL42" s="44"/>
      <c r="HUM42" s="44"/>
      <c r="HUN42" s="44"/>
      <c r="HUO42" s="44"/>
      <c r="HUP42" s="44"/>
      <c r="HUQ42" s="44"/>
      <c r="HUR42" s="44"/>
      <c r="HUS42" s="44"/>
      <c r="HUT42" s="44"/>
      <c r="HUU42" s="44"/>
      <c r="HUV42" s="44"/>
      <c r="HUW42" s="44"/>
      <c r="HUX42" s="44"/>
      <c r="HUY42" s="44"/>
      <c r="HUZ42" s="44"/>
      <c r="HVA42" s="44"/>
      <c r="HVB42" s="44"/>
      <c r="HVC42" s="44"/>
      <c r="HVD42" s="44"/>
      <c r="HVE42" s="44"/>
      <c r="HVF42" s="44"/>
      <c r="HVG42" s="44"/>
      <c r="HVH42" s="44"/>
      <c r="HVI42" s="44"/>
      <c r="HVJ42" s="44"/>
      <c r="HVK42" s="44"/>
      <c r="HVL42" s="44"/>
      <c r="HVM42" s="44"/>
      <c r="HVN42" s="44"/>
      <c r="HVO42" s="44"/>
      <c r="HVP42" s="44"/>
      <c r="HVQ42" s="44"/>
      <c r="HVR42" s="44"/>
      <c r="HVS42" s="44"/>
      <c r="HVT42" s="44"/>
      <c r="HVU42" s="44"/>
      <c r="HVV42" s="44"/>
      <c r="HVW42" s="44"/>
      <c r="HVX42" s="44"/>
      <c r="HVY42" s="44"/>
      <c r="HVZ42" s="44"/>
      <c r="HWA42" s="44"/>
      <c r="HWB42" s="44"/>
      <c r="HWC42" s="44"/>
      <c r="HWD42" s="44"/>
      <c r="HWE42" s="44"/>
      <c r="HWF42" s="44"/>
      <c r="HWG42" s="44"/>
      <c r="HWH42" s="44"/>
      <c r="HWI42" s="44"/>
      <c r="HWJ42" s="44"/>
      <c r="HWK42" s="44"/>
      <c r="HWL42" s="44"/>
      <c r="HWM42" s="44"/>
      <c r="HWN42" s="44"/>
      <c r="HWO42" s="44"/>
      <c r="HWP42" s="44"/>
      <c r="HWQ42" s="44"/>
      <c r="HWR42" s="44"/>
      <c r="HWS42" s="44"/>
      <c r="HWT42" s="44"/>
      <c r="HWU42" s="44"/>
      <c r="HWV42" s="44"/>
      <c r="HWW42" s="44"/>
      <c r="HWX42" s="44"/>
      <c r="HWY42" s="44"/>
      <c r="HWZ42" s="44"/>
      <c r="HXA42" s="44"/>
      <c r="HXB42" s="44"/>
      <c r="HXC42" s="44"/>
      <c r="HXD42" s="44"/>
      <c r="HXE42" s="44"/>
      <c r="HXF42" s="44"/>
      <c r="HXG42" s="44"/>
      <c r="HXH42" s="44"/>
      <c r="HXI42" s="44"/>
      <c r="HXJ42" s="44"/>
      <c r="HXK42" s="44"/>
      <c r="HXL42" s="44"/>
      <c r="HXM42" s="44"/>
      <c r="HXN42" s="44"/>
      <c r="HXO42" s="44"/>
      <c r="HXP42" s="44"/>
      <c r="HXQ42" s="44"/>
      <c r="HXR42" s="44"/>
      <c r="HXS42" s="44"/>
      <c r="HXT42" s="44"/>
      <c r="HXU42" s="44"/>
      <c r="HXV42" s="44"/>
      <c r="HXW42" s="44"/>
      <c r="HXX42" s="44"/>
      <c r="HXY42" s="44"/>
      <c r="HXZ42" s="44"/>
      <c r="HYA42" s="44"/>
      <c r="HYB42" s="44"/>
      <c r="HYC42" s="44"/>
      <c r="HYD42" s="44"/>
      <c r="HYE42" s="44"/>
      <c r="HYF42" s="44"/>
      <c r="HYG42" s="44"/>
      <c r="HYH42" s="44"/>
      <c r="HYI42" s="44"/>
      <c r="HYJ42" s="44"/>
      <c r="HYK42" s="44"/>
      <c r="HYL42" s="44"/>
      <c r="HYM42" s="44"/>
      <c r="HYN42" s="44"/>
      <c r="HYO42" s="44"/>
      <c r="HYP42" s="44"/>
      <c r="HYQ42" s="44"/>
      <c r="HYR42" s="44"/>
      <c r="HYS42" s="44"/>
      <c r="HYT42" s="44"/>
      <c r="HYU42" s="44"/>
      <c r="HYV42" s="44"/>
      <c r="HYW42" s="44"/>
      <c r="HYX42" s="44"/>
      <c r="HYY42" s="44"/>
      <c r="HYZ42" s="44"/>
      <c r="HZA42" s="44"/>
      <c r="HZB42" s="44"/>
      <c r="HZC42" s="44"/>
      <c r="HZD42" s="44"/>
      <c r="HZE42" s="44"/>
      <c r="HZF42" s="44"/>
      <c r="HZG42" s="44"/>
      <c r="HZH42" s="44"/>
      <c r="HZI42" s="44"/>
      <c r="HZJ42" s="44"/>
      <c r="HZK42" s="44"/>
      <c r="HZL42" s="44"/>
      <c r="HZM42" s="44"/>
      <c r="HZN42" s="44"/>
      <c r="HZO42" s="44"/>
      <c r="HZP42" s="44"/>
      <c r="HZQ42" s="44"/>
      <c r="HZR42" s="44"/>
      <c r="HZS42" s="44"/>
      <c r="HZT42" s="44"/>
      <c r="HZU42" s="44"/>
      <c r="HZV42" s="44"/>
      <c r="HZW42" s="44"/>
      <c r="HZX42" s="44"/>
      <c r="HZY42" s="44"/>
      <c r="HZZ42" s="44"/>
      <c r="IAA42" s="44"/>
      <c r="IAB42" s="44"/>
      <c r="IAC42" s="44"/>
      <c r="IAD42" s="44"/>
      <c r="IAE42" s="44"/>
      <c r="IAF42" s="44"/>
      <c r="IAG42" s="44"/>
      <c r="IAH42" s="44"/>
      <c r="IAI42" s="44"/>
      <c r="IAJ42" s="44"/>
      <c r="IAK42" s="44"/>
      <c r="IAL42" s="44"/>
      <c r="IAM42" s="44"/>
      <c r="IAN42" s="44"/>
      <c r="IAO42" s="44"/>
      <c r="IAP42" s="44"/>
      <c r="IAQ42" s="44"/>
      <c r="IAR42" s="44"/>
      <c r="IAS42" s="44"/>
      <c r="IAT42" s="44"/>
      <c r="IAU42" s="44"/>
      <c r="IAV42" s="44"/>
      <c r="IAW42" s="44"/>
      <c r="IAX42" s="44"/>
      <c r="IAY42" s="44"/>
      <c r="IAZ42" s="44"/>
      <c r="IBA42" s="44"/>
      <c r="IBB42" s="44"/>
      <c r="IBC42" s="44"/>
      <c r="IBD42" s="44"/>
      <c r="IBE42" s="44"/>
      <c r="IBF42" s="44"/>
      <c r="IBG42" s="44"/>
      <c r="IBH42" s="44"/>
      <c r="IBI42" s="44"/>
      <c r="IBJ42" s="44"/>
      <c r="IBK42" s="44"/>
      <c r="IBL42" s="44"/>
      <c r="IBM42" s="44"/>
      <c r="IBN42" s="44"/>
      <c r="IBO42" s="44"/>
      <c r="IBP42" s="44"/>
      <c r="IBQ42" s="44"/>
      <c r="IBR42" s="44"/>
      <c r="IBS42" s="44"/>
      <c r="IBT42" s="44"/>
      <c r="IBU42" s="44"/>
      <c r="IBV42" s="44"/>
      <c r="IBW42" s="44"/>
      <c r="IBX42" s="44"/>
      <c r="IBY42" s="44"/>
      <c r="IBZ42" s="44"/>
      <c r="ICA42" s="44"/>
      <c r="ICB42" s="44"/>
      <c r="ICC42" s="44"/>
      <c r="ICD42" s="44"/>
      <c r="ICE42" s="44"/>
      <c r="ICF42" s="44"/>
      <c r="ICG42" s="44"/>
      <c r="ICH42" s="44"/>
      <c r="ICI42" s="44"/>
      <c r="ICJ42" s="44"/>
      <c r="ICK42" s="44"/>
      <c r="ICL42" s="44"/>
      <c r="ICM42" s="44"/>
      <c r="ICN42" s="44"/>
      <c r="ICO42" s="44"/>
      <c r="ICP42" s="44"/>
      <c r="ICQ42" s="44"/>
      <c r="ICR42" s="44"/>
      <c r="ICS42" s="44"/>
      <c r="ICT42" s="44"/>
      <c r="ICU42" s="44"/>
      <c r="ICV42" s="44"/>
      <c r="ICW42" s="44"/>
      <c r="ICX42" s="44"/>
      <c r="ICY42" s="44"/>
      <c r="ICZ42" s="44"/>
      <c r="IDA42" s="44"/>
      <c r="IDB42" s="44"/>
      <c r="IDC42" s="44"/>
      <c r="IDD42" s="44"/>
      <c r="IDE42" s="44"/>
      <c r="IDF42" s="44"/>
      <c r="IDG42" s="44"/>
      <c r="IDH42" s="44"/>
      <c r="IDI42" s="44"/>
      <c r="IDJ42" s="44"/>
      <c r="IDK42" s="44"/>
      <c r="IDL42" s="44"/>
      <c r="IDM42" s="44"/>
      <c r="IDN42" s="44"/>
      <c r="IDO42" s="44"/>
      <c r="IDP42" s="44"/>
      <c r="IDQ42" s="44"/>
      <c r="IDR42" s="44"/>
      <c r="IDS42" s="44"/>
      <c r="IDT42" s="44"/>
      <c r="IDU42" s="44"/>
      <c r="IDV42" s="44"/>
      <c r="IDW42" s="44"/>
      <c r="IDX42" s="44"/>
      <c r="IDY42" s="44"/>
      <c r="IDZ42" s="44"/>
      <c r="IEA42" s="44"/>
      <c r="IEB42" s="44"/>
      <c r="IEC42" s="44"/>
      <c r="IED42" s="44"/>
      <c r="IEE42" s="44"/>
      <c r="IEF42" s="44"/>
      <c r="IEG42" s="44"/>
      <c r="IEH42" s="44"/>
      <c r="IEI42" s="44"/>
      <c r="IEJ42" s="44"/>
      <c r="IEK42" s="44"/>
      <c r="IEL42" s="44"/>
      <c r="IEM42" s="44"/>
      <c r="IEN42" s="44"/>
      <c r="IEO42" s="44"/>
      <c r="IEP42" s="44"/>
      <c r="IEQ42" s="44"/>
      <c r="IER42" s="44"/>
      <c r="IES42" s="44"/>
      <c r="IET42" s="44"/>
      <c r="IEU42" s="44"/>
      <c r="IEV42" s="44"/>
      <c r="IEW42" s="44"/>
      <c r="IEX42" s="44"/>
      <c r="IEY42" s="44"/>
      <c r="IEZ42" s="44"/>
      <c r="IFA42" s="44"/>
      <c r="IFB42" s="44"/>
      <c r="IFC42" s="44"/>
      <c r="IFD42" s="44"/>
      <c r="IFE42" s="44"/>
      <c r="IFF42" s="44"/>
      <c r="IFG42" s="44"/>
      <c r="IFH42" s="44"/>
      <c r="IFI42" s="44"/>
      <c r="IFJ42" s="44"/>
      <c r="IFK42" s="44"/>
      <c r="IFL42" s="44"/>
      <c r="IFM42" s="44"/>
      <c r="IFN42" s="44"/>
      <c r="IFO42" s="44"/>
      <c r="IFP42" s="44"/>
      <c r="IFQ42" s="44"/>
      <c r="IFR42" s="44"/>
      <c r="IFS42" s="44"/>
      <c r="IFT42" s="44"/>
      <c r="IFU42" s="44"/>
      <c r="IFV42" s="44"/>
      <c r="IFW42" s="44"/>
      <c r="IFX42" s="44"/>
      <c r="IFY42" s="44"/>
      <c r="IFZ42" s="44"/>
      <c r="IGA42" s="44"/>
      <c r="IGB42" s="44"/>
      <c r="IGC42" s="44"/>
      <c r="IGD42" s="44"/>
      <c r="IGE42" s="44"/>
      <c r="IGF42" s="44"/>
      <c r="IGG42" s="44"/>
      <c r="IGH42" s="44"/>
      <c r="IGI42" s="44"/>
      <c r="IGJ42" s="44"/>
      <c r="IGK42" s="44"/>
      <c r="IGL42" s="44"/>
      <c r="IGM42" s="44"/>
      <c r="IGN42" s="44"/>
      <c r="IGO42" s="44"/>
      <c r="IGP42" s="44"/>
      <c r="IGQ42" s="44"/>
      <c r="IGR42" s="44"/>
      <c r="IGS42" s="44"/>
      <c r="IGT42" s="44"/>
      <c r="IGU42" s="44"/>
      <c r="IGV42" s="44"/>
      <c r="IGW42" s="44"/>
      <c r="IGX42" s="44"/>
      <c r="IGY42" s="44"/>
      <c r="IGZ42" s="44"/>
      <c r="IHA42" s="44"/>
      <c r="IHB42" s="44"/>
      <c r="IHC42" s="44"/>
      <c r="IHD42" s="44"/>
      <c r="IHE42" s="44"/>
      <c r="IHF42" s="44"/>
      <c r="IHG42" s="44"/>
      <c r="IHH42" s="44"/>
      <c r="IHI42" s="44"/>
      <c r="IHJ42" s="44"/>
      <c r="IHK42" s="44"/>
      <c r="IHL42" s="44"/>
      <c r="IHM42" s="44"/>
      <c r="IHN42" s="44"/>
      <c r="IHO42" s="44"/>
      <c r="IHP42" s="44"/>
      <c r="IHQ42" s="44"/>
      <c r="IHR42" s="44"/>
      <c r="IHS42" s="44"/>
      <c r="IHT42" s="44"/>
      <c r="IHU42" s="44"/>
      <c r="IHV42" s="44"/>
      <c r="IHW42" s="44"/>
      <c r="IHX42" s="44"/>
      <c r="IHY42" s="44"/>
      <c r="IHZ42" s="44"/>
      <c r="IIA42" s="44"/>
      <c r="IIB42" s="44"/>
      <c r="IIC42" s="44"/>
      <c r="IID42" s="44"/>
      <c r="IIE42" s="44"/>
      <c r="IIF42" s="44"/>
      <c r="IIG42" s="44"/>
      <c r="IIH42" s="44"/>
      <c r="III42" s="44"/>
      <c r="IIJ42" s="44"/>
      <c r="IIK42" s="44"/>
      <c r="IIL42" s="44"/>
      <c r="IIM42" s="44"/>
      <c r="IIN42" s="44"/>
      <c r="IIO42" s="44"/>
      <c r="IIP42" s="44"/>
      <c r="IIQ42" s="44"/>
      <c r="IIR42" s="44"/>
      <c r="IIS42" s="44"/>
      <c r="IIT42" s="44"/>
      <c r="IIU42" s="44"/>
      <c r="IIV42" s="44"/>
      <c r="IIW42" s="44"/>
      <c r="IIX42" s="44"/>
      <c r="IIY42" s="44"/>
      <c r="IIZ42" s="44"/>
      <c r="IJA42" s="44"/>
      <c r="IJB42" s="44"/>
      <c r="IJC42" s="44"/>
      <c r="IJD42" s="44"/>
      <c r="IJE42" s="44"/>
      <c r="IJF42" s="44"/>
      <c r="IJG42" s="44"/>
      <c r="IJH42" s="44"/>
      <c r="IJI42" s="44"/>
      <c r="IJJ42" s="44"/>
      <c r="IJK42" s="44"/>
      <c r="IJL42" s="44"/>
      <c r="IJM42" s="44"/>
      <c r="IJN42" s="44"/>
      <c r="IJO42" s="44"/>
      <c r="IJP42" s="44"/>
      <c r="IJQ42" s="44"/>
      <c r="IJR42" s="44"/>
      <c r="IJS42" s="44"/>
      <c r="IJT42" s="44"/>
      <c r="IJU42" s="44"/>
      <c r="IJV42" s="44"/>
      <c r="IJW42" s="44"/>
      <c r="IJX42" s="44"/>
      <c r="IJY42" s="44"/>
      <c r="IJZ42" s="44"/>
      <c r="IKA42" s="44"/>
      <c r="IKB42" s="44"/>
      <c r="IKC42" s="44"/>
      <c r="IKD42" s="44"/>
      <c r="IKE42" s="44"/>
      <c r="IKF42" s="44"/>
      <c r="IKG42" s="44"/>
      <c r="IKH42" s="44"/>
      <c r="IKI42" s="44"/>
      <c r="IKJ42" s="44"/>
      <c r="IKK42" s="44"/>
      <c r="IKL42" s="44"/>
      <c r="IKM42" s="44"/>
      <c r="IKN42" s="44"/>
      <c r="IKO42" s="44"/>
      <c r="IKP42" s="44"/>
      <c r="IKQ42" s="44"/>
      <c r="IKR42" s="44"/>
      <c r="IKS42" s="44"/>
      <c r="IKT42" s="44"/>
      <c r="IKU42" s="44"/>
      <c r="IKV42" s="44"/>
      <c r="IKW42" s="44"/>
      <c r="IKX42" s="44"/>
      <c r="IKY42" s="44"/>
      <c r="IKZ42" s="44"/>
      <c r="ILA42" s="44"/>
      <c r="ILB42" s="44"/>
      <c r="ILC42" s="44"/>
      <c r="ILD42" s="44"/>
      <c r="ILE42" s="44"/>
      <c r="ILF42" s="44"/>
      <c r="ILG42" s="44"/>
      <c r="ILH42" s="44"/>
      <c r="ILI42" s="44"/>
      <c r="ILJ42" s="44"/>
      <c r="ILK42" s="44"/>
      <c r="ILL42" s="44"/>
      <c r="ILM42" s="44"/>
      <c r="ILN42" s="44"/>
      <c r="ILO42" s="44"/>
      <c r="ILP42" s="44"/>
      <c r="ILQ42" s="44"/>
      <c r="ILR42" s="44"/>
      <c r="ILS42" s="44"/>
      <c r="ILT42" s="44"/>
      <c r="ILU42" s="44"/>
      <c r="ILV42" s="44"/>
      <c r="ILW42" s="44"/>
      <c r="ILX42" s="44"/>
      <c r="ILY42" s="44"/>
      <c r="ILZ42" s="44"/>
      <c r="IMA42" s="44"/>
      <c r="IMB42" s="44"/>
      <c r="IMC42" s="44"/>
      <c r="IMD42" s="44"/>
      <c r="IME42" s="44"/>
      <c r="IMF42" s="44"/>
      <c r="IMG42" s="44"/>
      <c r="IMH42" s="44"/>
      <c r="IMI42" s="44"/>
      <c r="IMJ42" s="44"/>
      <c r="IMK42" s="44"/>
      <c r="IML42" s="44"/>
      <c r="IMM42" s="44"/>
      <c r="IMN42" s="44"/>
      <c r="IMO42" s="44"/>
      <c r="IMP42" s="44"/>
      <c r="IMQ42" s="44"/>
      <c r="IMR42" s="44"/>
      <c r="IMS42" s="44"/>
      <c r="IMT42" s="44"/>
      <c r="IMU42" s="44"/>
      <c r="IMV42" s="44"/>
      <c r="IMW42" s="44"/>
      <c r="IMX42" s="44"/>
      <c r="IMY42" s="44"/>
      <c r="IMZ42" s="44"/>
      <c r="INA42" s="44"/>
      <c r="INB42" s="44"/>
      <c r="INC42" s="44"/>
      <c r="IND42" s="44"/>
      <c r="INE42" s="44"/>
      <c r="INF42" s="44"/>
      <c r="ING42" s="44"/>
      <c r="INH42" s="44"/>
      <c r="INI42" s="44"/>
      <c r="INJ42" s="44"/>
      <c r="INK42" s="44"/>
      <c r="INL42" s="44"/>
      <c r="INM42" s="44"/>
      <c r="INN42" s="44"/>
      <c r="INO42" s="44"/>
      <c r="INP42" s="44"/>
      <c r="INQ42" s="44"/>
      <c r="INR42" s="44"/>
      <c r="INS42" s="44"/>
      <c r="INT42" s="44"/>
      <c r="INU42" s="44"/>
      <c r="INV42" s="44"/>
      <c r="INW42" s="44"/>
      <c r="INX42" s="44"/>
      <c r="INY42" s="44"/>
      <c r="INZ42" s="44"/>
      <c r="IOA42" s="44"/>
      <c r="IOB42" s="44"/>
      <c r="IOC42" s="44"/>
      <c r="IOD42" s="44"/>
      <c r="IOE42" s="44"/>
      <c r="IOF42" s="44"/>
      <c r="IOG42" s="44"/>
      <c r="IOH42" s="44"/>
      <c r="IOI42" s="44"/>
      <c r="IOJ42" s="44"/>
      <c r="IOK42" s="44"/>
      <c r="IOL42" s="44"/>
      <c r="IOM42" s="44"/>
      <c r="ION42" s="44"/>
      <c r="IOO42" s="44"/>
      <c r="IOP42" s="44"/>
      <c r="IOQ42" s="44"/>
      <c r="IOR42" s="44"/>
      <c r="IOS42" s="44"/>
      <c r="IOT42" s="44"/>
      <c r="IOU42" s="44"/>
      <c r="IOV42" s="44"/>
      <c r="IOW42" s="44"/>
      <c r="IOX42" s="44"/>
      <c r="IOY42" s="44"/>
      <c r="IOZ42" s="44"/>
      <c r="IPA42" s="44"/>
      <c r="IPB42" s="44"/>
      <c r="IPC42" s="44"/>
      <c r="IPD42" s="44"/>
      <c r="IPE42" s="44"/>
      <c r="IPF42" s="44"/>
      <c r="IPG42" s="44"/>
      <c r="IPH42" s="44"/>
      <c r="IPI42" s="44"/>
      <c r="IPJ42" s="44"/>
      <c r="IPK42" s="44"/>
      <c r="IPL42" s="44"/>
      <c r="IPM42" s="44"/>
      <c r="IPN42" s="44"/>
      <c r="IPO42" s="44"/>
      <c r="IPP42" s="44"/>
      <c r="IPQ42" s="44"/>
      <c r="IPR42" s="44"/>
      <c r="IPS42" s="44"/>
      <c r="IPT42" s="44"/>
      <c r="IPU42" s="44"/>
      <c r="IPV42" s="44"/>
      <c r="IPW42" s="44"/>
      <c r="IPX42" s="44"/>
      <c r="IPY42" s="44"/>
      <c r="IPZ42" s="44"/>
      <c r="IQA42" s="44"/>
      <c r="IQB42" s="44"/>
      <c r="IQC42" s="44"/>
      <c r="IQD42" s="44"/>
      <c r="IQE42" s="44"/>
      <c r="IQF42" s="44"/>
      <c r="IQG42" s="44"/>
      <c r="IQH42" s="44"/>
      <c r="IQI42" s="44"/>
      <c r="IQJ42" s="44"/>
      <c r="IQK42" s="44"/>
      <c r="IQL42" s="44"/>
      <c r="IQM42" s="44"/>
      <c r="IQN42" s="44"/>
      <c r="IQO42" s="44"/>
      <c r="IQP42" s="44"/>
      <c r="IQQ42" s="44"/>
      <c r="IQR42" s="44"/>
      <c r="IQS42" s="44"/>
      <c r="IQT42" s="44"/>
      <c r="IQU42" s="44"/>
      <c r="IQV42" s="44"/>
      <c r="IQW42" s="44"/>
      <c r="IQX42" s="44"/>
      <c r="IQY42" s="44"/>
      <c r="IQZ42" s="44"/>
      <c r="IRA42" s="44"/>
      <c r="IRB42" s="44"/>
      <c r="IRC42" s="44"/>
      <c r="IRD42" s="44"/>
      <c r="IRE42" s="44"/>
      <c r="IRF42" s="44"/>
      <c r="IRG42" s="44"/>
      <c r="IRH42" s="44"/>
      <c r="IRI42" s="44"/>
      <c r="IRJ42" s="44"/>
      <c r="IRK42" s="44"/>
      <c r="IRL42" s="44"/>
      <c r="IRM42" s="44"/>
      <c r="IRN42" s="44"/>
      <c r="IRO42" s="44"/>
      <c r="IRP42" s="44"/>
      <c r="IRQ42" s="44"/>
      <c r="IRR42" s="44"/>
      <c r="IRS42" s="44"/>
      <c r="IRT42" s="44"/>
      <c r="IRU42" s="44"/>
      <c r="IRV42" s="44"/>
      <c r="IRW42" s="44"/>
      <c r="IRX42" s="44"/>
      <c r="IRY42" s="44"/>
      <c r="IRZ42" s="44"/>
      <c r="ISA42" s="44"/>
      <c r="ISB42" s="44"/>
      <c r="ISC42" s="44"/>
      <c r="ISD42" s="44"/>
      <c r="ISE42" s="44"/>
      <c r="ISF42" s="44"/>
      <c r="ISG42" s="44"/>
      <c r="ISH42" s="44"/>
      <c r="ISI42" s="44"/>
      <c r="ISJ42" s="44"/>
      <c r="ISK42" s="44"/>
      <c r="ISL42" s="44"/>
      <c r="ISM42" s="44"/>
      <c r="ISN42" s="44"/>
      <c r="ISO42" s="44"/>
      <c r="ISP42" s="44"/>
      <c r="ISQ42" s="44"/>
      <c r="ISR42" s="44"/>
      <c r="ISS42" s="44"/>
      <c r="IST42" s="44"/>
      <c r="ISU42" s="44"/>
      <c r="ISV42" s="44"/>
      <c r="ISW42" s="44"/>
      <c r="ISX42" s="44"/>
      <c r="ISY42" s="44"/>
      <c r="ISZ42" s="44"/>
      <c r="ITA42" s="44"/>
      <c r="ITB42" s="44"/>
      <c r="ITC42" s="44"/>
      <c r="ITD42" s="44"/>
      <c r="ITE42" s="44"/>
      <c r="ITF42" s="44"/>
      <c r="ITG42" s="44"/>
      <c r="ITH42" s="44"/>
      <c r="ITI42" s="44"/>
      <c r="ITJ42" s="44"/>
      <c r="ITK42" s="44"/>
      <c r="ITL42" s="44"/>
      <c r="ITM42" s="44"/>
      <c r="ITN42" s="44"/>
      <c r="ITO42" s="44"/>
      <c r="ITP42" s="44"/>
      <c r="ITQ42" s="44"/>
      <c r="ITR42" s="44"/>
      <c r="ITS42" s="44"/>
      <c r="ITT42" s="44"/>
      <c r="ITU42" s="44"/>
      <c r="ITV42" s="44"/>
      <c r="ITW42" s="44"/>
      <c r="ITX42" s="44"/>
      <c r="ITY42" s="44"/>
      <c r="ITZ42" s="44"/>
      <c r="IUA42" s="44"/>
      <c r="IUB42" s="44"/>
      <c r="IUC42" s="44"/>
      <c r="IUD42" s="44"/>
      <c r="IUE42" s="44"/>
      <c r="IUF42" s="44"/>
      <c r="IUG42" s="44"/>
      <c r="IUH42" s="44"/>
      <c r="IUI42" s="44"/>
      <c r="IUJ42" s="44"/>
      <c r="IUK42" s="44"/>
      <c r="IUL42" s="44"/>
      <c r="IUM42" s="44"/>
      <c r="IUN42" s="44"/>
      <c r="IUO42" s="44"/>
      <c r="IUP42" s="44"/>
      <c r="IUQ42" s="44"/>
      <c r="IUR42" s="44"/>
      <c r="IUS42" s="44"/>
      <c r="IUT42" s="44"/>
      <c r="IUU42" s="44"/>
      <c r="IUV42" s="44"/>
      <c r="IUW42" s="44"/>
      <c r="IUX42" s="44"/>
      <c r="IUY42" s="44"/>
      <c r="IUZ42" s="44"/>
      <c r="IVA42" s="44"/>
      <c r="IVB42" s="44"/>
      <c r="IVC42" s="44"/>
      <c r="IVD42" s="44"/>
      <c r="IVE42" s="44"/>
      <c r="IVF42" s="44"/>
      <c r="IVG42" s="44"/>
      <c r="IVH42" s="44"/>
      <c r="IVI42" s="44"/>
      <c r="IVJ42" s="44"/>
      <c r="IVK42" s="44"/>
      <c r="IVL42" s="44"/>
      <c r="IVM42" s="44"/>
      <c r="IVN42" s="44"/>
      <c r="IVO42" s="44"/>
      <c r="IVP42" s="44"/>
      <c r="IVQ42" s="44"/>
      <c r="IVR42" s="44"/>
      <c r="IVS42" s="44"/>
      <c r="IVT42" s="44"/>
      <c r="IVU42" s="44"/>
      <c r="IVV42" s="44"/>
      <c r="IVW42" s="44"/>
      <c r="IVX42" s="44"/>
      <c r="IVY42" s="44"/>
      <c r="IVZ42" s="44"/>
      <c r="IWA42" s="44"/>
      <c r="IWB42" s="44"/>
      <c r="IWC42" s="44"/>
      <c r="IWD42" s="44"/>
      <c r="IWE42" s="44"/>
      <c r="IWF42" s="44"/>
      <c r="IWG42" s="44"/>
      <c r="IWH42" s="44"/>
      <c r="IWI42" s="44"/>
      <c r="IWJ42" s="44"/>
      <c r="IWK42" s="44"/>
      <c r="IWL42" s="44"/>
      <c r="IWM42" s="44"/>
      <c r="IWN42" s="44"/>
      <c r="IWO42" s="44"/>
      <c r="IWP42" s="44"/>
      <c r="IWQ42" s="44"/>
      <c r="IWR42" s="44"/>
      <c r="IWS42" s="44"/>
      <c r="IWT42" s="44"/>
      <c r="IWU42" s="44"/>
      <c r="IWV42" s="44"/>
      <c r="IWW42" s="44"/>
      <c r="IWX42" s="44"/>
      <c r="IWY42" s="44"/>
      <c r="IWZ42" s="44"/>
      <c r="IXA42" s="44"/>
      <c r="IXB42" s="44"/>
      <c r="IXC42" s="44"/>
      <c r="IXD42" s="44"/>
      <c r="IXE42" s="44"/>
      <c r="IXF42" s="44"/>
      <c r="IXG42" s="44"/>
      <c r="IXH42" s="44"/>
      <c r="IXI42" s="44"/>
      <c r="IXJ42" s="44"/>
      <c r="IXK42" s="44"/>
      <c r="IXL42" s="44"/>
      <c r="IXM42" s="44"/>
      <c r="IXN42" s="44"/>
      <c r="IXO42" s="44"/>
      <c r="IXP42" s="44"/>
      <c r="IXQ42" s="44"/>
      <c r="IXR42" s="44"/>
      <c r="IXS42" s="44"/>
      <c r="IXT42" s="44"/>
      <c r="IXU42" s="44"/>
      <c r="IXV42" s="44"/>
      <c r="IXW42" s="44"/>
      <c r="IXX42" s="44"/>
      <c r="IXY42" s="44"/>
      <c r="IXZ42" s="44"/>
      <c r="IYA42" s="44"/>
      <c r="IYB42" s="44"/>
      <c r="IYC42" s="44"/>
      <c r="IYD42" s="44"/>
      <c r="IYE42" s="44"/>
      <c r="IYF42" s="44"/>
      <c r="IYG42" s="44"/>
      <c r="IYH42" s="44"/>
      <c r="IYI42" s="44"/>
      <c r="IYJ42" s="44"/>
      <c r="IYK42" s="44"/>
      <c r="IYL42" s="44"/>
      <c r="IYM42" s="44"/>
      <c r="IYN42" s="44"/>
      <c r="IYO42" s="44"/>
      <c r="IYP42" s="44"/>
      <c r="IYQ42" s="44"/>
      <c r="IYR42" s="44"/>
      <c r="IYS42" s="44"/>
      <c r="IYT42" s="44"/>
      <c r="IYU42" s="44"/>
      <c r="IYV42" s="44"/>
      <c r="IYW42" s="44"/>
      <c r="IYX42" s="44"/>
      <c r="IYY42" s="44"/>
      <c r="IYZ42" s="44"/>
      <c r="IZA42" s="44"/>
      <c r="IZB42" s="44"/>
      <c r="IZC42" s="44"/>
      <c r="IZD42" s="44"/>
      <c r="IZE42" s="44"/>
      <c r="IZF42" s="44"/>
      <c r="IZG42" s="44"/>
      <c r="IZH42" s="44"/>
      <c r="IZI42" s="44"/>
      <c r="IZJ42" s="44"/>
      <c r="IZK42" s="44"/>
      <c r="IZL42" s="44"/>
      <c r="IZM42" s="44"/>
      <c r="IZN42" s="44"/>
      <c r="IZO42" s="44"/>
      <c r="IZP42" s="44"/>
      <c r="IZQ42" s="44"/>
      <c r="IZR42" s="44"/>
      <c r="IZS42" s="44"/>
      <c r="IZT42" s="44"/>
      <c r="IZU42" s="44"/>
      <c r="IZV42" s="44"/>
      <c r="IZW42" s="44"/>
      <c r="IZX42" s="44"/>
      <c r="IZY42" s="44"/>
      <c r="IZZ42" s="44"/>
      <c r="JAA42" s="44"/>
      <c r="JAB42" s="44"/>
      <c r="JAC42" s="44"/>
      <c r="JAD42" s="44"/>
      <c r="JAE42" s="44"/>
      <c r="JAF42" s="44"/>
      <c r="JAG42" s="44"/>
      <c r="JAH42" s="44"/>
      <c r="JAI42" s="44"/>
      <c r="JAJ42" s="44"/>
      <c r="JAK42" s="44"/>
      <c r="JAL42" s="44"/>
      <c r="JAM42" s="44"/>
      <c r="JAN42" s="44"/>
      <c r="JAO42" s="44"/>
      <c r="JAP42" s="44"/>
      <c r="JAQ42" s="44"/>
      <c r="JAR42" s="44"/>
      <c r="JAS42" s="44"/>
      <c r="JAT42" s="44"/>
      <c r="JAU42" s="44"/>
      <c r="JAV42" s="44"/>
      <c r="JAW42" s="44"/>
      <c r="JAX42" s="44"/>
      <c r="JAY42" s="44"/>
      <c r="JAZ42" s="44"/>
      <c r="JBA42" s="44"/>
      <c r="JBB42" s="44"/>
      <c r="JBC42" s="44"/>
      <c r="JBD42" s="44"/>
      <c r="JBE42" s="44"/>
      <c r="JBF42" s="44"/>
      <c r="JBG42" s="44"/>
      <c r="JBH42" s="44"/>
      <c r="JBI42" s="44"/>
      <c r="JBJ42" s="44"/>
      <c r="JBK42" s="44"/>
      <c r="JBL42" s="44"/>
      <c r="JBM42" s="44"/>
      <c r="JBN42" s="44"/>
      <c r="JBO42" s="44"/>
      <c r="JBP42" s="44"/>
      <c r="JBQ42" s="44"/>
      <c r="JBR42" s="44"/>
      <c r="JBS42" s="44"/>
      <c r="JBT42" s="44"/>
      <c r="JBU42" s="44"/>
      <c r="JBV42" s="44"/>
      <c r="JBW42" s="44"/>
      <c r="JBX42" s="44"/>
      <c r="JBY42" s="44"/>
      <c r="JBZ42" s="44"/>
      <c r="JCA42" s="44"/>
      <c r="JCB42" s="44"/>
      <c r="JCC42" s="44"/>
      <c r="JCD42" s="44"/>
      <c r="JCE42" s="44"/>
      <c r="JCF42" s="44"/>
      <c r="JCG42" s="44"/>
      <c r="JCH42" s="44"/>
      <c r="JCI42" s="44"/>
      <c r="JCJ42" s="44"/>
      <c r="JCK42" s="44"/>
      <c r="JCL42" s="44"/>
      <c r="JCM42" s="44"/>
      <c r="JCN42" s="44"/>
      <c r="JCO42" s="44"/>
      <c r="JCP42" s="44"/>
      <c r="JCQ42" s="44"/>
      <c r="JCR42" s="44"/>
      <c r="JCS42" s="44"/>
      <c r="JCT42" s="44"/>
      <c r="JCU42" s="44"/>
      <c r="JCV42" s="44"/>
      <c r="JCW42" s="44"/>
      <c r="JCX42" s="44"/>
      <c r="JCY42" s="44"/>
      <c r="JCZ42" s="44"/>
      <c r="JDA42" s="44"/>
      <c r="JDB42" s="44"/>
      <c r="JDC42" s="44"/>
      <c r="JDD42" s="44"/>
      <c r="JDE42" s="44"/>
      <c r="JDF42" s="44"/>
      <c r="JDG42" s="44"/>
      <c r="JDH42" s="44"/>
      <c r="JDI42" s="44"/>
      <c r="JDJ42" s="44"/>
      <c r="JDK42" s="44"/>
      <c r="JDL42" s="44"/>
      <c r="JDM42" s="44"/>
      <c r="JDN42" s="44"/>
      <c r="JDO42" s="44"/>
      <c r="JDP42" s="44"/>
      <c r="JDQ42" s="44"/>
      <c r="JDR42" s="44"/>
      <c r="JDS42" s="44"/>
      <c r="JDT42" s="44"/>
      <c r="JDU42" s="44"/>
      <c r="JDV42" s="44"/>
      <c r="JDW42" s="44"/>
      <c r="JDX42" s="44"/>
      <c r="JDY42" s="44"/>
      <c r="JDZ42" s="44"/>
      <c r="JEA42" s="44"/>
      <c r="JEB42" s="44"/>
      <c r="JEC42" s="44"/>
      <c r="JED42" s="44"/>
      <c r="JEE42" s="44"/>
      <c r="JEF42" s="44"/>
      <c r="JEG42" s="44"/>
      <c r="JEH42" s="44"/>
      <c r="JEI42" s="44"/>
      <c r="JEJ42" s="44"/>
      <c r="JEK42" s="44"/>
      <c r="JEL42" s="44"/>
      <c r="JEM42" s="44"/>
      <c r="JEN42" s="44"/>
      <c r="JEO42" s="44"/>
      <c r="JEP42" s="44"/>
      <c r="JEQ42" s="44"/>
      <c r="JER42" s="44"/>
      <c r="JES42" s="44"/>
      <c r="JET42" s="44"/>
      <c r="JEU42" s="44"/>
      <c r="JEV42" s="44"/>
      <c r="JEW42" s="44"/>
      <c r="JEX42" s="44"/>
      <c r="JEY42" s="44"/>
      <c r="JEZ42" s="44"/>
      <c r="JFA42" s="44"/>
      <c r="JFB42" s="44"/>
      <c r="JFC42" s="44"/>
      <c r="JFD42" s="44"/>
      <c r="JFE42" s="44"/>
      <c r="JFF42" s="44"/>
      <c r="JFG42" s="44"/>
      <c r="JFH42" s="44"/>
      <c r="JFI42" s="44"/>
      <c r="JFJ42" s="44"/>
      <c r="JFK42" s="44"/>
      <c r="JFL42" s="44"/>
      <c r="JFM42" s="44"/>
      <c r="JFN42" s="44"/>
      <c r="JFO42" s="44"/>
      <c r="JFP42" s="44"/>
      <c r="JFQ42" s="44"/>
      <c r="JFR42" s="44"/>
      <c r="JFS42" s="44"/>
      <c r="JFT42" s="44"/>
      <c r="JFU42" s="44"/>
      <c r="JFV42" s="44"/>
      <c r="JFW42" s="44"/>
      <c r="JFX42" s="44"/>
      <c r="JFY42" s="44"/>
      <c r="JFZ42" s="44"/>
      <c r="JGA42" s="44"/>
      <c r="JGB42" s="44"/>
      <c r="JGC42" s="44"/>
      <c r="JGD42" s="44"/>
      <c r="JGE42" s="44"/>
      <c r="JGF42" s="44"/>
      <c r="JGG42" s="44"/>
      <c r="JGH42" s="44"/>
      <c r="JGI42" s="44"/>
      <c r="JGJ42" s="44"/>
      <c r="JGK42" s="44"/>
      <c r="JGL42" s="44"/>
      <c r="JGM42" s="44"/>
      <c r="JGN42" s="44"/>
      <c r="JGO42" s="44"/>
      <c r="JGP42" s="44"/>
      <c r="JGQ42" s="44"/>
      <c r="JGR42" s="44"/>
      <c r="JGS42" s="44"/>
      <c r="JGT42" s="44"/>
      <c r="JGU42" s="44"/>
      <c r="JGV42" s="44"/>
      <c r="JGW42" s="44"/>
      <c r="JGX42" s="44"/>
      <c r="JGY42" s="44"/>
      <c r="JGZ42" s="44"/>
      <c r="JHA42" s="44"/>
      <c r="JHB42" s="44"/>
      <c r="JHC42" s="44"/>
      <c r="JHD42" s="44"/>
      <c r="JHE42" s="44"/>
      <c r="JHF42" s="44"/>
      <c r="JHG42" s="44"/>
      <c r="JHH42" s="44"/>
      <c r="JHI42" s="44"/>
      <c r="JHJ42" s="44"/>
      <c r="JHK42" s="44"/>
      <c r="JHL42" s="44"/>
      <c r="JHM42" s="44"/>
      <c r="JHN42" s="44"/>
      <c r="JHO42" s="44"/>
      <c r="JHP42" s="44"/>
      <c r="JHQ42" s="44"/>
      <c r="JHR42" s="44"/>
      <c r="JHS42" s="44"/>
      <c r="JHT42" s="44"/>
      <c r="JHU42" s="44"/>
      <c r="JHV42" s="44"/>
      <c r="JHW42" s="44"/>
      <c r="JHX42" s="44"/>
      <c r="JHY42" s="44"/>
      <c r="JHZ42" s="44"/>
      <c r="JIA42" s="44"/>
      <c r="JIB42" s="44"/>
      <c r="JIC42" s="44"/>
      <c r="JID42" s="44"/>
      <c r="JIE42" s="44"/>
      <c r="JIF42" s="44"/>
      <c r="JIG42" s="44"/>
      <c r="JIH42" s="44"/>
      <c r="JII42" s="44"/>
      <c r="JIJ42" s="44"/>
      <c r="JIK42" s="44"/>
      <c r="JIL42" s="44"/>
      <c r="JIM42" s="44"/>
      <c r="JIN42" s="44"/>
      <c r="JIO42" s="44"/>
      <c r="JIP42" s="44"/>
      <c r="JIQ42" s="44"/>
      <c r="JIR42" s="44"/>
      <c r="JIS42" s="44"/>
      <c r="JIT42" s="44"/>
      <c r="JIU42" s="44"/>
      <c r="JIV42" s="44"/>
      <c r="JIW42" s="44"/>
      <c r="JIX42" s="44"/>
      <c r="JIY42" s="44"/>
      <c r="JIZ42" s="44"/>
      <c r="JJA42" s="44"/>
      <c r="JJB42" s="44"/>
      <c r="JJC42" s="44"/>
      <c r="JJD42" s="44"/>
      <c r="JJE42" s="44"/>
      <c r="JJF42" s="44"/>
      <c r="JJG42" s="44"/>
      <c r="JJH42" s="44"/>
      <c r="JJI42" s="44"/>
      <c r="JJJ42" s="44"/>
      <c r="JJK42" s="44"/>
      <c r="JJL42" s="44"/>
      <c r="JJM42" s="44"/>
      <c r="JJN42" s="44"/>
      <c r="JJO42" s="44"/>
      <c r="JJP42" s="44"/>
      <c r="JJQ42" s="44"/>
      <c r="JJR42" s="44"/>
      <c r="JJS42" s="44"/>
      <c r="JJT42" s="44"/>
      <c r="JJU42" s="44"/>
      <c r="JJV42" s="44"/>
      <c r="JJW42" s="44"/>
      <c r="JJX42" s="44"/>
      <c r="JJY42" s="44"/>
      <c r="JJZ42" s="44"/>
      <c r="JKA42" s="44"/>
      <c r="JKB42" s="44"/>
      <c r="JKC42" s="44"/>
      <c r="JKD42" s="44"/>
      <c r="JKE42" s="44"/>
      <c r="JKF42" s="44"/>
      <c r="JKG42" s="44"/>
      <c r="JKH42" s="44"/>
      <c r="JKI42" s="44"/>
      <c r="JKJ42" s="44"/>
      <c r="JKK42" s="44"/>
      <c r="JKL42" s="44"/>
      <c r="JKM42" s="44"/>
      <c r="JKN42" s="44"/>
      <c r="JKO42" s="44"/>
      <c r="JKP42" s="44"/>
      <c r="JKQ42" s="44"/>
      <c r="JKR42" s="44"/>
      <c r="JKS42" s="44"/>
      <c r="JKT42" s="44"/>
      <c r="JKU42" s="44"/>
      <c r="JKV42" s="44"/>
      <c r="JKW42" s="44"/>
      <c r="JKX42" s="44"/>
      <c r="JKY42" s="44"/>
      <c r="JKZ42" s="44"/>
      <c r="JLA42" s="44"/>
      <c r="JLB42" s="44"/>
      <c r="JLC42" s="44"/>
      <c r="JLD42" s="44"/>
      <c r="JLE42" s="44"/>
      <c r="JLF42" s="44"/>
      <c r="JLG42" s="44"/>
      <c r="JLH42" s="44"/>
      <c r="JLI42" s="44"/>
      <c r="JLJ42" s="44"/>
      <c r="JLK42" s="44"/>
      <c r="JLL42" s="44"/>
      <c r="JLM42" s="44"/>
      <c r="JLN42" s="44"/>
      <c r="JLO42" s="44"/>
      <c r="JLP42" s="44"/>
      <c r="JLQ42" s="44"/>
      <c r="JLR42" s="44"/>
      <c r="JLS42" s="44"/>
      <c r="JLT42" s="44"/>
      <c r="JLU42" s="44"/>
      <c r="JLV42" s="44"/>
      <c r="JLW42" s="44"/>
      <c r="JLX42" s="44"/>
      <c r="JLY42" s="44"/>
      <c r="JLZ42" s="44"/>
      <c r="JMA42" s="44"/>
      <c r="JMB42" s="44"/>
      <c r="JMC42" s="44"/>
      <c r="JMD42" s="44"/>
      <c r="JME42" s="44"/>
      <c r="JMF42" s="44"/>
      <c r="JMG42" s="44"/>
      <c r="JMH42" s="44"/>
      <c r="JMI42" s="44"/>
      <c r="JMJ42" s="44"/>
      <c r="JMK42" s="44"/>
      <c r="JML42" s="44"/>
      <c r="JMM42" s="44"/>
      <c r="JMN42" s="44"/>
      <c r="JMO42" s="44"/>
      <c r="JMP42" s="44"/>
      <c r="JMQ42" s="44"/>
      <c r="JMR42" s="44"/>
      <c r="JMS42" s="44"/>
      <c r="JMT42" s="44"/>
      <c r="JMU42" s="44"/>
      <c r="JMV42" s="44"/>
      <c r="JMW42" s="44"/>
      <c r="JMX42" s="44"/>
      <c r="JMY42" s="44"/>
      <c r="JMZ42" s="44"/>
      <c r="JNA42" s="44"/>
      <c r="JNB42" s="44"/>
      <c r="JNC42" s="44"/>
      <c r="JND42" s="44"/>
      <c r="JNE42" s="44"/>
      <c r="JNF42" s="44"/>
      <c r="JNG42" s="44"/>
      <c r="JNH42" s="44"/>
      <c r="JNI42" s="44"/>
      <c r="JNJ42" s="44"/>
      <c r="JNK42" s="44"/>
      <c r="JNL42" s="44"/>
      <c r="JNM42" s="44"/>
      <c r="JNN42" s="44"/>
      <c r="JNO42" s="44"/>
      <c r="JNP42" s="44"/>
      <c r="JNQ42" s="44"/>
      <c r="JNR42" s="44"/>
      <c r="JNS42" s="44"/>
      <c r="JNT42" s="44"/>
      <c r="JNU42" s="44"/>
      <c r="JNV42" s="44"/>
      <c r="JNW42" s="44"/>
      <c r="JNX42" s="44"/>
      <c r="JNY42" s="44"/>
      <c r="JNZ42" s="44"/>
      <c r="JOA42" s="44"/>
      <c r="JOB42" s="44"/>
      <c r="JOC42" s="44"/>
      <c r="JOD42" s="44"/>
      <c r="JOE42" s="44"/>
      <c r="JOF42" s="44"/>
      <c r="JOG42" s="44"/>
      <c r="JOH42" s="44"/>
      <c r="JOI42" s="44"/>
      <c r="JOJ42" s="44"/>
      <c r="JOK42" s="44"/>
      <c r="JOL42" s="44"/>
      <c r="JOM42" s="44"/>
      <c r="JON42" s="44"/>
      <c r="JOO42" s="44"/>
      <c r="JOP42" s="44"/>
      <c r="JOQ42" s="44"/>
      <c r="JOR42" s="44"/>
      <c r="JOS42" s="44"/>
      <c r="JOT42" s="44"/>
      <c r="JOU42" s="44"/>
      <c r="JOV42" s="44"/>
      <c r="JOW42" s="44"/>
      <c r="JOX42" s="44"/>
      <c r="JOY42" s="44"/>
      <c r="JOZ42" s="44"/>
      <c r="JPA42" s="44"/>
      <c r="JPB42" s="44"/>
      <c r="JPC42" s="44"/>
      <c r="JPD42" s="44"/>
      <c r="JPE42" s="44"/>
      <c r="JPF42" s="44"/>
      <c r="JPG42" s="44"/>
      <c r="JPH42" s="44"/>
      <c r="JPI42" s="44"/>
      <c r="JPJ42" s="44"/>
      <c r="JPK42" s="44"/>
      <c r="JPL42" s="44"/>
      <c r="JPM42" s="44"/>
      <c r="JPN42" s="44"/>
      <c r="JPO42" s="44"/>
      <c r="JPP42" s="44"/>
      <c r="JPQ42" s="44"/>
      <c r="JPR42" s="44"/>
      <c r="JPS42" s="44"/>
      <c r="JPT42" s="44"/>
      <c r="JPU42" s="44"/>
      <c r="JPV42" s="44"/>
      <c r="JPW42" s="44"/>
      <c r="JPX42" s="44"/>
      <c r="JPY42" s="44"/>
      <c r="JPZ42" s="44"/>
      <c r="JQA42" s="44"/>
      <c r="JQB42" s="44"/>
      <c r="JQC42" s="44"/>
      <c r="JQD42" s="44"/>
      <c r="JQE42" s="44"/>
      <c r="JQF42" s="44"/>
      <c r="JQG42" s="44"/>
      <c r="JQH42" s="44"/>
      <c r="JQI42" s="44"/>
      <c r="JQJ42" s="44"/>
      <c r="JQK42" s="44"/>
      <c r="JQL42" s="44"/>
      <c r="JQM42" s="44"/>
      <c r="JQN42" s="44"/>
      <c r="JQO42" s="44"/>
      <c r="JQP42" s="44"/>
      <c r="JQQ42" s="44"/>
      <c r="JQR42" s="44"/>
      <c r="JQS42" s="44"/>
      <c r="JQT42" s="44"/>
      <c r="JQU42" s="44"/>
      <c r="JQV42" s="44"/>
      <c r="JQW42" s="44"/>
      <c r="JQX42" s="44"/>
      <c r="JQY42" s="44"/>
      <c r="JQZ42" s="44"/>
      <c r="JRA42" s="44"/>
      <c r="JRB42" s="44"/>
      <c r="JRC42" s="44"/>
      <c r="JRD42" s="44"/>
      <c r="JRE42" s="44"/>
      <c r="JRF42" s="44"/>
      <c r="JRG42" s="44"/>
      <c r="JRH42" s="44"/>
      <c r="JRI42" s="44"/>
      <c r="JRJ42" s="44"/>
      <c r="JRK42" s="44"/>
      <c r="JRL42" s="44"/>
      <c r="JRM42" s="44"/>
      <c r="JRN42" s="44"/>
      <c r="JRO42" s="44"/>
      <c r="JRP42" s="44"/>
      <c r="JRQ42" s="44"/>
      <c r="JRR42" s="44"/>
      <c r="JRS42" s="44"/>
      <c r="JRT42" s="44"/>
      <c r="JRU42" s="44"/>
      <c r="JRV42" s="44"/>
      <c r="JRW42" s="44"/>
      <c r="JRX42" s="44"/>
      <c r="JRY42" s="44"/>
      <c r="JRZ42" s="44"/>
      <c r="JSA42" s="44"/>
      <c r="JSB42" s="44"/>
      <c r="JSC42" s="44"/>
      <c r="JSD42" s="44"/>
      <c r="JSE42" s="44"/>
      <c r="JSF42" s="44"/>
      <c r="JSG42" s="44"/>
      <c r="JSH42" s="44"/>
      <c r="JSI42" s="44"/>
      <c r="JSJ42" s="44"/>
      <c r="JSK42" s="44"/>
      <c r="JSL42" s="44"/>
      <c r="JSM42" s="44"/>
      <c r="JSN42" s="44"/>
      <c r="JSO42" s="44"/>
      <c r="JSP42" s="44"/>
      <c r="JSQ42" s="44"/>
      <c r="JSR42" s="44"/>
      <c r="JSS42" s="44"/>
      <c r="JST42" s="44"/>
      <c r="JSU42" s="44"/>
      <c r="JSV42" s="44"/>
      <c r="JSW42" s="44"/>
      <c r="JSX42" s="44"/>
      <c r="JSY42" s="44"/>
      <c r="JSZ42" s="44"/>
      <c r="JTA42" s="44"/>
      <c r="JTB42" s="44"/>
      <c r="JTC42" s="44"/>
      <c r="JTD42" s="44"/>
      <c r="JTE42" s="44"/>
      <c r="JTF42" s="44"/>
      <c r="JTG42" s="44"/>
      <c r="JTH42" s="44"/>
      <c r="JTI42" s="44"/>
      <c r="JTJ42" s="44"/>
      <c r="JTK42" s="44"/>
      <c r="JTL42" s="44"/>
      <c r="JTM42" s="44"/>
      <c r="JTN42" s="44"/>
      <c r="JTO42" s="44"/>
      <c r="JTP42" s="44"/>
      <c r="JTQ42" s="44"/>
      <c r="JTR42" s="44"/>
      <c r="JTS42" s="44"/>
      <c r="JTT42" s="44"/>
      <c r="JTU42" s="44"/>
      <c r="JTV42" s="44"/>
      <c r="JTW42" s="44"/>
      <c r="JTX42" s="44"/>
      <c r="JTY42" s="44"/>
      <c r="JTZ42" s="44"/>
      <c r="JUA42" s="44"/>
      <c r="JUB42" s="44"/>
      <c r="JUC42" s="44"/>
      <c r="JUD42" s="44"/>
      <c r="JUE42" s="44"/>
      <c r="JUF42" s="44"/>
      <c r="JUG42" s="44"/>
      <c r="JUH42" s="44"/>
      <c r="JUI42" s="44"/>
      <c r="JUJ42" s="44"/>
      <c r="JUK42" s="44"/>
      <c r="JUL42" s="44"/>
      <c r="JUM42" s="44"/>
      <c r="JUN42" s="44"/>
      <c r="JUO42" s="44"/>
      <c r="JUP42" s="44"/>
      <c r="JUQ42" s="44"/>
      <c r="JUR42" s="44"/>
      <c r="JUS42" s="44"/>
      <c r="JUT42" s="44"/>
      <c r="JUU42" s="44"/>
      <c r="JUV42" s="44"/>
      <c r="JUW42" s="44"/>
      <c r="JUX42" s="44"/>
      <c r="JUY42" s="44"/>
      <c r="JUZ42" s="44"/>
      <c r="JVA42" s="44"/>
      <c r="JVB42" s="44"/>
      <c r="JVC42" s="44"/>
      <c r="JVD42" s="44"/>
      <c r="JVE42" s="44"/>
      <c r="JVF42" s="44"/>
      <c r="JVG42" s="44"/>
      <c r="JVH42" s="44"/>
      <c r="JVI42" s="44"/>
      <c r="JVJ42" s="44"/>
      <c r="JVK42" s="44"/>
      <c r="JVL42" s="44"/>
      <c r="JVM42" s="44"/>
      <c r="JVN42" s="44"/>
      <c r="JVO42" s="44"/>
      <c r="JVP42" s="44"/>
      <c r="JVQ42" s="44"/>
      <c r="JVR42" s="44"/>
      <c r="JVS42" s="44"/>
      <c r="JVT42" s="44"/>
      <c r="JVU42" s="44"/>
      <c r="JVV42" s="44"/>
      <c r="JVW42" s="44"/>
      <c r="JVX42" s="44"/>
      <c r="JVY42" s="44"/>
      <c r="JVZ42" s="44"/>
      <c r="JWA42" s="44"/>
      <c r="JWB42" s="44"/>
      <c r="JWC42" s="44"/>
      <c r="JWD42" s="44"/>
      <c r="JWE42" s="44"/>
      <c r="JWF42" s="44"/>
      <c r="JWG42" s="44"/>
      <c r="JWH42" s="44"/>
      <c r="JWI42" s="44"/>
      <c r="JWJ42" s="44"/>
      <c r="JWK42" s="44"/>
      <c r="JWL42" s="44"/>
      <c r="JWM42" s="44"/>
      <c r="JWN42" s="44"/>
      <c r="JWO42" s="44"/>
      <c r="JWP42" s="44"/>
      <c r="JWQ42" s="44"/>
      <c r="JWR42" s="44"/>
      <c r="JWS42" s="44"/>
      <c r="JWT42" s="44"/>
      <c r="JWU42" s="44"/>
      <c r="JWV42" s="44"/>
      <c r="JWW42" s="44"/>
      <c r="JWX42" s="44"/>
      <c r="JWY42" s="44"/>
      <c r="JWZ42" s="44"/>
      <c r="JXA42" s="44"/>
      <c r="JXB42" s="44"/>
      <c r="JXC42" s="44"/>
      <c r="JXD42" s="44"/>
      <c r="JXE42" s="44"/>
      <c r="JXF42" s="44"/>
      <c r="JXG42" s="44"/>
      <c r="JXH42" s="44"/>
      <c r="JXI42" s="44"/>
      <c r="JXJ42" s="44"/>
      <c r="JXK42" s="44"/>
      <c r="JXL42" s="44"/>
      <c r="JXM42" s="44"/>
      <c r="JXN42" s="44"/>
      <c r="JXO42" s="44"/>
      <c r="JXP42" s="44"/>
      <c r="JXQ42" s="44"/>
      <c r="JXR42" s="44"/>
      <c r="JXS42" s="44"/>
      <c r="JXT42" s="44"/>
      <c r="JXU42" s="44"/>
      <c r="JXV42" s="44"/>
      <c r="JXW42" s="44"/>
      <c r="JXX42" s="44"/>
      <c r="JXY42" s="44"/>
      <c r="JXZ42" s="44"/>
      <c r="JYA42" s="44"/>
      <c r="JYB42" s="44"/>
      <c r="JYC42" s="44"/>
      <c r="JYD42" s="44"/>
      <c r="JYE42" s="44"/>
      <c r="JYF42" s="44"/>
      <c r="JYG42" s="44"/>
      <c r="JYH42" s="44"/>
      <c r="JYI42" s="44"/>
      <c r="JYJ42" s="44"/>
      <c r="JYK42" s="44"/>
      <c r="JYL42" s="44"/>
      <c r="JYM42" s="44"/>
      <c r="JYN42" s="44"/>
      <c r="JYO42" s="44"/>
      <c r="JYP42" s="44"/>
      <c r="JYQ42" s="44"/>
      <c r="JYR42" s="44"/>
      <c r="JYS42" s="44"/>
      <c r="JYT42" s="44"/>
      <c r="JYU42" s="44"/>
      <c r="JYV42" s="44"/>
      <c r="JYW42" s="44"/>
      <c r="JYX42" s="44"/>
      <c r="JYY42" s="44"/>
      <c r="JYZ42" s="44"/>
      <c r="JZA42" s="44"/>
      <c r="JZB42" s="44"/>
      <c r="JZC42" s="44"/>
      <c r="JZD42" s="44"/>
      <c r="JZE42" s="44"/>
      <c r="JZF42" s="44"/>
      <c r="JZG42" s="44"/>
      <c r="JZH42" s="44"/>
      <c r="JZI42" s="44"/>
      <c r="JZJ42" s="44"/>
      <c r="JZK42" s="44"/>
      <c r="JZL42" s="44"/>
      <c r="JZM42" s="44"/>
      <c r="JZN42" s="44"/>
      <c r="JZO42" s="44"/>
      <c r="JZP42" s="44"/>
      <c r="JZQ42" s="44"/>
      <c r="JZR42" s="44"/>
      <c r="JZS42" s="44"/>
      <c r="JZT42" s="44"/>
      <c r="JZU42" s="44"/>
      <c r="JZV42" s="44"/>
      <c r="JZW42" s="44"/>
      <c r="JZX42" s="44"/>
      <c r="JZY42" s="44"/>
      <c r="JZZ42" s="44"/>
      <c r="KAA42" s="44"/>
      <c r="KAB42" s="44"/>
      <c r="KAC42" s="44"/>
      <c r="KAD42" s="44"/>
      <c r="KAE42" s="44"/>
      <c r="KAF42" s="44"/>
      <c r="KAG42" s="44"/>
      <c r="KAH42" s="44"/>
      <c r="KAI42" s="44"/>
      <c r="KAJ42" s="44"/>
      <c r="KAK42" s="44"/>
      <c r="KAL42" s="44"/>
      <c r="KAM42" s="44"/>
      <c r="KAN42" s="44"/>
      <c r="KAO42" s="44"/>
      <c r="KAP42" s="44"/>
      <c r="KAQ42" s="44"/>
      <c r="KAR42" s="44"/>
      <c r="KAS42" s="44"/>
      <c r="KAT42" s="44"/>
      <c r="KAU42" s="44"/>
      <c r="KAV42" s="44"/>
      <c r="KAW42" s="44"/>
      <c r="KAX42" s="44"/>
      <c r="KAY42" s="44"/>
      <c r="KAZ42" s="44"/>
      <c r="KBA42" s="44"/>
      <c r="KBB42" s="44"/>
      <c r="KBC42" s="44"/>
      <c r="KBD42" s="44"/>
      <c r="KBE42" s="44"/>
      <c r="KBF42" s="44"/>
      <c r="KBG42" s="44"/>
      <c r="KBH42" s="44"/>
      <c r="KBI42" s="44"/>
      <c r="KBJ42" s="44"/>
      <c r="KBK42" s="44"/>
      <c r="KBL42" s="44"/>
      <c r="KBM42" s="44"/>
      <c r="KBN42" s="44"/>
      <c r="KBO42" s="44"/>
      <c r="KBP42" s="44"/>
      <c r="KBQ42" s="44"/>
      <c r="KBR42" s="44"/>
      <c r="KBS42" s="44"/>
      <c r="KBT42" s="44"/>
      <c r="KBU42" s="44"/>
      <c r="KBV42" s="44"/>
      <c r="KBW42" s="44"/>
      <c r="KBX42" s="44"/>
      <c r="KBY42" s="44"/>
      <c r="KBZ42" s="44"/>
      <c r="KCA42" s="44"/>
      <c r="KCB42" s="44"/>
      <c r="KCC42" s="44"/>
      <c r="KCD42" s="44"/>
      <c r="KCE42" s="44"/>
      <c r="KCF42" s="44"/>
      <c r="KCG42" s="44"/>
      <c r="KCH42" s="44"/>
      <c r="KCI42" s="44"/>
      <c r="KCJ42" s="44"/>
      <c r="KCK42" s="44"/>
      <c r="KCL42" s="44"/>
      <c r="KCM42" s="44"/>
      <c r="KCN42" s="44"/>
      <c r="KCO42" s="44"/>
      <c r="KCP42" s="44"/>
      <c r="KCQ42" s="44"/>
      <c r="KCR42" s="44"/>
      <c r="KCS42" s="44"/>
      <c r="KCT42" s="44"/>
      <c r="KCU42" s="44"/>
      <c r="KCV42" s="44"/>
      <c r="KCW42" s="44"/>
      <c r="KCX42" s="44"/>
      <c r="KCY42" s="44"/>
      <c r="KCZ42" s="44"/>
      <c r="KDA42" s="44"/>
      <c r="KDB42" s="44"/>
      <c r="KDC42" s="44"/>
      <c r="KDD42" s="44"/>
      <c r="KDE42" s="44"/>
      <c r="KDF42" s="44"/>
      <c r="KDG42" s="44"/>
      <c r="KDH42" s="44"/>
      <c r="KDI42" s="44"/>
      <c r="KDJ42" s="44"/>
      <c r="KDK42" s="44"/>
      <c r="KDL42" s="44"/>
      <c r="KDM42" s="44"/>
      <c r="KDN42" s="44"/>
      <c r="KDO42" s="44"/>
      <c r="KDP42" s="44"/>
      <c r="KDQ42" s="44"/>
      <c r="KDR42" s="44"/>
      <c r="KDS42" s="44"/>
      <c r="KDT42" s="44"/>
      <c r="KDU42" s="44"/>
      <c r="KDV42" s="44"/>
      <c r="KDW42" s="44"/>
      <c r="KDX42" s="44"/>
      <c r="KDY42" s="44"/>
      <c r="KDZ42" s="44"/>
      <c r="KEA42" s="44"/>
      <c r="KEB42" s="44"/>
      <c r="KEC42" s="44"/>
      <c r="KED42" s="44"/>
      <c r="KEE42" s="44"/>
      <c r="KEF42" s="44"/>
      <c r="KEG42" s="44"/>
      <c r="KEH42" s="44"/>
      <c r="KEI42" s="44"/>
      <c r="KEJ42" s="44"/>
      <c r="KEK42" s="44"/>
      <c r="KEL42" s="44"/>
      <c r="KEM42" s="44"/>
      <c r="KEN42" s="44"/>
      <c r="KEO42" s="44"/>
      <c r="KEP42" s="44"/>
      <c r="KEQ42" s="44"/>
      <c r="KER42" s="44"/>
      <c r="KES42" s="44"/>
      <c r="KET42" s="44"/>
      <c r="KEU42" s="44"/>
      <c r="KEV42" s="44"/>
      <c r="KEW42" s="44"/>
      <c r="KEX42" s="44"/>
      <c r="KEY42" s="44"/>
      <c r="KEZ42" s="44"/>
      <c r="KFA42" s="44"/>
      <c r="KFB42" s="44"/>
      <c r="KFC42" s="44"/>
      <c r="KFD42" s="44"/>
      <c r="KFE42" s="44"/>
      <c r="KFF42" s="44"/>
      <c r="KFG42" s="44"/>
      <c r="KFH42" s="44"/>
      <c r="KFI42" s="44"/>
      <c r="KFJ42" s="44"/>
      <c r="KFK42" s="44"/>
      <c r="KFL42" s="44"/>
      <c r="KFM42" s="44"/>
      <c r="KFN42" s="44"/>
      <c r="KFO42" s="44"/>
      <c r="KFP42" s="44"/>
      <c r="KFQ42" s="44"/>
      <c r="KFR42" s="44"/>
      <c r="KFS42" s="44"/>
      <c r="KFT42" s="44"/>
      <c r="KFU42" s="44"/>
      <c r="KFV42" s="44"/>
      <c r="KFW42" s="44"/>
      <c r="KFX42" s="44"/>
      <c r="KFY42" s="44"/>
      <c r="KFZ42" s="44"/>
      <c r="KGA42" s="44"/>
      <c r="KGB42" s="44"/>
      <c r="KGC42" s="44"/>
      <c r="KGD42" s="44"/>
      <c r="KGE42" s="44"/>
      <c r="KGF42" s="44"/>
      <c r="KGG42" s="44"/>
      <c r="KGH42" s="44"/>
      <c r="KGI42" s="44"/>
      <c r="KGJ42" s="44"/>
      <c r="KGK42" s="44"/>
      <c r="KGL42" s="44"/>
      <c r="KGM42" s="44"/>
      <c r="KGN42" s="44"/>
      <c r="KGO42" s="44"/>
      <c r="KGP42" s="44"/>
      <c r="KGQ42" s="44"/>
      <c r="KGR42" s="44"/>
      <c r="KGS42" s="44"/>
      <c r="KGT42" s="44"/>
      <c r="KGU42" s="44"/>
      <c r="KGV42" s="44"/>
      <c r="KGW42" s="44"/>
      <c r="KGX42" s="44"/>
      <c r="KGY42" s="44"/>
      <c r="KGZ42" s="44"/>
      <c r="KHA42" s="44"/>
      <c r="KHB42" s="44"/>
      <c r="KHC42" s="44"/>
      <c r="KHD42" s="44"/>
      <c r="KHE42" s="44"/>
      <c r="KHF42" s="44"/>
      <c r="KHG42" s="44"/>
      <c r="KHH42" s="44"/>
      <c r="KHI42" s="44"/>
      <c r="KHJ42" s="44"/>
      <c r="KHK42" s="44"/>
      <c r="KHL42" s="44"/>
      <c r="KHM42" s="44"/>
      <c r="KHN42" s="44"/>
      <c r="KHO42" s="44"/>
      <c r="KHP42" s="44"/>
      <c r="KHQ42" s="44"/>
      <c r="KHR42" s="44"/>
      <c r="KHS42" s="44"/>
      <c r="KHT42" s="44"/>
      <c r="KHU42" s="44"/>
      <c r="KHV42" s="44"/>
      <c r="KHW42" s="44"/>
      <c r="KHX42" s="44"/>
      <c r="KHY42" s="44"/>
      <c r="KHZ42" s="44"/>
      <c r="KIA42" s="44"/>
      <c r="KIB42" s="44"/>
      <c r="KIC42" s="44"/>
      <c r="KID42" s="44"/>
      <c r="KIE42" s="44"/>
      <c r="KIF42" s="44"/>
      <c r="KIG42" s="44"/>
      <c r="KIH42" s="44"/>
      <c r="KII42" s="44"/>
      <c r="KIJ42" s="44"/>
      <c r="KIK42" s="44"/>
      <c r="KIL42" s="44"/>
      <c r="KIM42" s="44"/>
      <c r="KIN42" s="44"/>
      <c r="KIO42" s="44"/>
      <c r="KIP42" s="44"/>
      <c r="KIQ42" s="44"/>
      <c r="KIR42" s="44"/>
      <c r="KIS42" s="44"/>
      <c r="KIT42" s="44"/>
      <c r="KIU42" s="44"/>
      <c r="KIV42" s="44"/>
      <c r="KIW42" s="44"/>
      <c r="KIX42" s="44"/>
      <c r="KIY42" s="44"/>
      <c r="KIZ42" s="44"/>
      <c r="KJA42" s="44"/>
      <c r="KJB42" s="44"/>
      <c r="KJC42" s="44"/>
      <c r="KJD42" s="44"/>
      <c r="KJE42" s="44"/>
      <c r="KJF42" s="44"/>
      <c r="KJG42" s="44"/>
      <c r="KJH42" s="44"/>
      <c r="KJI42" s="44"/>
      <c r="KJJ42" s="44"/>
      <c r="KJK42" s="44"/>
      <c r="KJL42" s="44"/>
      <c r="KJM42" s="44"/>
      <c r="KJN42" s="44"/>
      <c r="KJO42" s="44"/>
      <c r="KJP42" s="44"/>
      <c r="KJQ42" s="44"/>
      <c r="KJR42" s="44"/>
      <c r="KJS42" s="44"/>
      <c r="KJT42" s="44"/>
      <c r="KJU42" s="44"/>
      <c r="KJV42" s="44"/>
      <c r="KJW42" s="44"/>
      <c r="KJX42" s="44"/>
      <c r="KJY42" s="44"/>
      <c r="KJZ42" s="44"/>
      <c r="KKA42" s="44"/>
      <c r="KKB42" s="44"/>
      <c r="KKC42" s="44"/>
      <c r="KKD42" s="44"/>
      <c r="KKE42" s="44"/>
      <c r="KKF42" s="44"/>
      <c r="KKG42" s="44"/>
      <c r="KKH42" s="44"/>
      <c r="KKI42" s="44"/>
      <c r="KKJ42" s="44"/>
      <c r="KKK42" s="44"/>
      <c r="KKL42" s="44"/>
      <c r="KKM42" s="44"/>
      <c r="KKN42" s="44"/>
      <c r="KKO42" s="44"/>
      <c r="KKP42" s="44"/>
      <c r="KKQ42" s="44"/>
      <c r="KKR42" s="44"/>
      <c r="KKS42" s="44"/>
      <c r="KKT42" s="44"/>
      <c r="KKU42" s="44"/>
      <c r="KKV42" s="44"/>
      <c r="KKW42" s="44"/>
      <c r="KKX42" s="44"/>
      <c r="KKY42" s="44"/>
      <c r="KKZ42" s="44"/>
      <c r="KLA42" s="44"/>
      <c r="KLB42" s="44"/>
      <c r="KLC42" s="44"/>
      <c r="KLD42" s="44"/>
      <c r="KLE42" s="44"/>
      <c r="KLF42" s="44"/>
      <c r="KLG42" s="44"/>
      <c r="KLH42" s="44"/>
      <c r="KLI42" s="44"/>
      <c r="KLJ42" s="44"/>
      <c r="KLK42" s="44"/>
      <c r="KLL42" s="44"/>
      <c r="KLM42" s="44"/>
      <c r="KLN42" s="44"/>
      <c r="KLO42" s="44"/>
      <c r="KLP42" s="44"/>
      <c r="KLQ42" s="44"/>
      <c r="KLR42" s="44"/>
      <c r="KLS42" s="44"/>
      <c r="KLT42" s="44"/>
      <c r="KLU42" s="44"/>
      <c r="KLV42" s="44"/>
      <c r="KLW42" s="44"/>
      <c r="KLX42" s="44"/>
      <c r="KLY42" s="44"/>
      <c r="KLZ42" s="44"/>
      <c r="KMA42" s="44"/>
      <c r="KMB42" s="44"/>
      <c r="KMC42" s="44"/>
      <c r="KMD42" s="44"/>
      <c r="KME42" s="44"/>
      <c r="KMF42" s="44"/>
      <c r="KMG42" s="44"/>
      <c r="KMH42" s="44"/>
      <c r="KMI42" s="44"/>
      <c r="KMJ42" s="44"/>
      <c r="KMK42" s="44"/>
      <c r="KML42" s="44"/>
      <c r="KMM42" s="44"/>
      <c r="KMN42" s="44"/>
      <c r="KMO42" s="44"/>
      <c r="KMP42" s="44"/>
      <c r="KMQ42" s="44"/>
      <c r="KMR42" s="44"/>
      <c r="KMS42" s="44"/>
      <c r="KMT42" s="44"/>
      <c r="KMU42" s="44"/>
      <c r="KMV42" s="44"/>
      <c r="KMW42" s="44"/>
      <c r="KMX42" s="44"/>
      <c r="KMY42" s="44"/>
      <c r="KMZ42" s="44"/>
      <c r="KNA42" s="44"/>
      <c r="KNB42" s="44"/>
      <c r="KNC42" s="44"/>
      <c r="KND42" s="44"/>
      <c r="KNE42" s="44"/>
      <c r="KNF42" s="44"/>
      <c r="KNG42" s="44"/>
      <c r="KNH42" s="44"/>
      <c r="KNI42" s="44"/>
      <c r="KNJ42" s="44"/>
      <c r="KNK42" s="44"/>
      <c r="KNL42" s="44"/>
      <c r="KNM42" s="44"/>
      <c r="KNN42" s="44"/>
      <c r="KNO42" s="44"/>
      <c r="KNP42" s="44"/>
      <c r="KNQ42" s="44"/>
      <c r="KNR42" s="44"/>
      <c r="KNS42" s="44"/>
      <c r="KNT42" s="44"/>
      <c r="KNU42" s="44"/>
      <c r="KNV42" s="44"/>
      <c r="KNW42" s="44"/>
      <c r="KNX42" s="44"/>
      <c r="KNY42" s="44"/>
      <c r="KNZ42" s="44"/>
      <c r="KOA42" s="44"/>
      <c r="KOB42" s="44"/>
      <c r="KOC42" s="44"/>
      <c r="KOD42" s="44"/>
      <c r="KOE42" s="44"/>
      <c r="KOF42" s="44"/>
      <c r="KOG42" s="44"/>
      <c r="KOH42" s="44"/>
      <c r="KOI42" s="44"/>
      <c r="KOJ42" s="44"/>
      <c r="KOK42" s="44"/>
      <c r="KOL42" s="44"/>
      <c r="KOM42" s="44"/>
      <c r="KON42" s="44"/>
      <c r="KOO42" s="44"/>
      <c r="KOP42" s="44"/>
      <c r="KOQ42" s="44"/>
      <c r="KOR42" s="44"/>
      <c r="KOS42" s="44"/>
      <c r="KOT42" s="44"/>
      <c r="KOU42" s="44"/>
      <c r="KOV42" s="44"/>
      <c r="KOW42" s="44"/>
      <c r="KOX42" s="44"/>
      <c r="KOY42" s="44"/>
      <c r="KOZ42" s="44"/>
      <c r="KPA42" s="44"/>
      <c r="KPB42" s="44"/>
      <c r="KPC42" s="44"/>
      <c r="KPD42" s="44"/>
      <c r="KPE42" s="44"/>
      <c r="KPF42" s="44"/>
      <c r="KPG42" s="44"/>
      <c r="KPH42" s="44"/>
      <c r="KPI42" s="44"/>
      <c r="KPJ42" s="44"/>
      <c r="KPK42" s="44"/>
      <c r="KPL42" s="44"/>
      <c r="KPM42" s="44"/>
      <c r="KPN42" s="44"/>
      <c r="KPO42" s="44"/>
      <c r="KPP42" s="44"/>
      <c r="KPQ42" s="44"/>
      <c r="KPR42" s="44"/>
      <c r="KPS42" s="44"/>
      <c r="KPT42" s="44"/>
      <c r="KPU42" s="44"/>
      <c r="KPV42" s="44"/>
      <c r="KPW42" s="44"/>
      <c r="KPX42" s="44"/>
      <c r="KPY42" s="44"/>
      <c r="KPZ42" s="44"/>
      <c r="KQA42" s="44"/>
      <c r="KQB42" s="44"/>
      <c r="KQC42" s="44"/>
      <c r="KQD42" s="44"/>
      <c r="KQE42" s="44"/>
      <c r="KQF42" s="44"/>
      <c r="KQG42" s="44"/>
      <c r="KQH42" s="44"/>
      <c r="KQI42" s="44"/>
      <c r="KQJ42" s="44"/>
      <c r="KQK42" s="44"/>
      <c r="KQL42" s="44"/>
      <c r="KQM42" s="44"/>
      <c r="KQN42" s="44"/>
      <c r="KQO42" s="44"/>
      <c r="KQP42" s="44"/>
      <c r="KQQ42" s="44"/>
      <c r="KQR42" s="44"/>
      <c r="KQS42" s="44"/>
      <c r="KQT42" s="44"/>
      <c r="KQU42" s="44"/>
      <c r="KQV42" s="44"/>
      <c r="KQW42" s="44"/>
      <c r="KQX42" s="44"/>
      <c r="KQY42" s="44"/>
      <c r="KQZ42" s="44"/>
      <c r="KRA42" s="44"/>
      <c r="KRB42" s="44"/>
      <c r="KRC42" s="44"/>
      <c r="KRD42" s="44"/>
      <c r="KRE42" s="44"/>
      <c r="KRF42" s="44"/>
      <c r="KRG42" s="44"/>
      <c r="KRH42" s="44"/>
      <c r="KRI42" s="44"/>
      <c r="KRJ42" s="44"/>
      <c r="KRK42" s="44"/>
      <c r="KRL42" s="44"/>
      <c r="KRM42" s="44"/>
      <c r="KRN42" s="44"/>
      <c r="KRO42" s="44"/>
      <c r="KRP42" s="44"/>
      <c r="KRQ42" s="44"/>
      <c r="KRR42" s="44"/>
      <c r="KRS42" s="44"/>
      <c r="KRT42" s="44"/>
      <c r="KRU42" s="44"/>
      <c r="KRV42" s="44"/>
      <c r="KRW42" s="44"/>
      <c r="KRX42" s="44"/>
      <c r="KRY42" s="44"/>
      <c r="KRZ42" s="44"/>
      <c r="KSA42" s="44"/>
      <c r="KSB42" s="44"/>
      <c r="KSC42" s="44"/>
      <c r="KSD42" s="44"/>
      <c r="KSE42" s="44"/>
      <c r="KSF42" s="44"/>
      <c r="KSG42" s="44"/>
      <c r="KSH42" s="44"/>
      <c r="KSI42" s="44"/>
      <c r="KSJ42" s="44"/>
      <c r="KSK42" s="44"/>
      <c r="KSL42" s="44"/>
      <c r="KSM42" s="44"/>
      <c r="KSN42" s="44"/>
      <c r="KSO42" s="44"/>
      <c r="KSP42" s="44"/>
      <c r="KSQ42" s="44"/>
      <c r="KSR42" s="44"/>
      <c r="KSS42" s="44"/>
      <c r="KST42" s="44"/>
      <c r="KSU42" s="44"/>
      <c r="KSV42" s="44"/>
      <c r="KSW42" s="44"/>
      <c r="KSX42" s="44"/>
      <c r="KSY42" s="44"/>
      <c r="KSZ42" s="44"/>
      <c r="KTA42" s="44"/>
      <c r="KTB42" s="44"/>
      <c r="KTC42" s="44"/>
      <c r="KTD42" s="44"/>
      <c r="KTE42" s="44"/>
      <c r="KTF42" s="44"/>
      <c r="KTG42" s="44"/>
      <c r="KTH42" s="44"/>
      <c r="KTI42" s="44"/>
      <c r="KTJ42" s="44"/>
      <c r="KTK42" s="44"/>
      <c r="KTL42" s="44"/>
      <c r="KTM42" s="44"/>
      <c r="KTN42" s="44"/>
      <c r="KTO42" s="44"/>
      <c r="KTP42" s="44"/>
      <c r="KTQ42" s="44"/>
      <c r="KTR42" s="44"/>
      <c r="KTS42" s="44"/>
      <c r="KTT42" s="44"/>
      <c r="KTU42" s="44"/>
      <c r="KTV42" s="44"/>
      <c r="KTW42" s="44"/>
      <c r="KTX42" s="44"/>
      <c r="KTY42" s="44"/>
      <c r="KTZ42" s="44"/>
      <c r="KUA42" s="44"/>
      <c r="KUB42" s="44"/>
      <c r="KUC42" s="44"/>
      <c r="KUD42" s="44"/>
      <c r="KUE42" s="44"/>
      <c r="KUF42" s="44"/>
      <c r="KUG42" s="44"/>
      <c r="KUH42" s="44"/>
      <c r="KUI42" s="44"/>
      <c r="KUJ42" s="44"/>
      <c r="KUK42" s="44"/>
      <c r="KUL42" s="44"/>
      <c r="KUM42" s="44"/>
      <c r="KUN42" s="44"/>
      <c r="KUO42" s="44"/>
      <c r="KUP42" s="44"/>
      <c r="KUQ42" s="44"/>
      <c r="KUR42" s="44"/>
      <c r="KUS42" s="44"/>
      <c r="KUT42" s="44"/>
      <c r="KUU42" s="44"/>
      <c r="KUV42" s="44"/>
      <c r="KUW42" s="44"/>
      <c r="KUX42" s="44"/>
      <c r="KUY42" s="44"/>
      <c r="KUZ42" s="44"/>
      <c r="KVA42" s="44"/>
      <c r="KVB42" s="44"/>
      <c r="KVC42" s="44"/>
      <c r="KVD42" s="44"/>
      <c r="KVE42" s="44"/>
      <c r="KVF42" s="44"/>
      <c r="KVG42" s="44"/>
      <c r="KVH42" s="44"/>
      <c r="KVI42" s="44"/>
      <c r="KVJ42" s="44"/>
      <c r="KVK42" s="44"/>
      <c r="KVL42" s="44"/>
      <c r="KVM42" s="44"/>
      <c r="KVN42" s="44"/>
      <c r="KVO42" s="44"/>
      <c r="KVP42" s="44"/>
      <c r="KVQ42" s="44"/>
      <c r="KVR42" s="44"/>
      <c r="KVS42" s="44"/>
      <c r="KVT42" s="44"/>
      <c r="KVU42" s="44"/>
      <c r="KVV42" s="44"/>
      <c r="KVW42" s="44"/>
      <c r="KVX42" s="44"/>
      <c r="KVY42" s="44"/>
      <c r="KVZ42" s="44"/>
      <c r="KWA42" s="44"/>
      <c r="KWB42" s="44"/>
      <c r="KWC42" s="44"/>
      <c r="KWD42" s="44"/>
      <c r="KWE42" s="44"/>
      <c r="KWF42" s="44"/>
      <c r="KWG42" s="44"/>
      <c r="KWH42" s="44"/>
      <c r="KWI42" s="44"/>
      <c r="KWJ42" s="44"/>
      <c r="KWK42" s="44"/>
      <c r="KWL42" s="44"/>
      <c r="KWM42" s="44"/>
      <c r="KWN42" s="44"/>
      <c r="KWO42" s="44"/>
      <c r="KWP42" s="44"/>
      <c r="KWQ42" s="44"/>
      <c r="KWR42" s="44"/>
      <c r="KWS42" s="44"/>
      <c r="KWT42" s="44"/>
      <c r="KWU42" s="44"/>
      <c r="KWV42" s="44"/>
      <c r="KWW42" s="44"/>
      <c r="KWX42" s="44"/>
      <c r="KWY42" s="44"/>
      <c r="KWZ42" s="44"/>
      <c r="KXA42" s="44"/>
      <c r="KXB42" s="44"/>
      <c r="KXC42" s="44"/>
      <c r="KXD42" s="44"/>
      <c r="KXE42" s="44"/>
      <c r="KXF42" s="44"/>
      <c r="KXG42" s="44"/>
      <c r="KXH42" s="44"/>
      <c r="KXI42" s="44"/>
      <c r="KXJ42" s="44"/>
      <c r="KXK42" s="44"/>
      <c r="KXL42" s="44"/>
      <c r="KXM42" s="44"/>
      <c r="KXN42" s="44"/>
      <c r="KXO42" s="44"/>
      <c r="KXP42" s="44"/>
      <c r="KXQ42" s="44"/>
      <c r="KXR42" s="44"/>
      <c r="KXS42" s="44"/>
      <c r="KXT42" s="44"/>
      <c r="KXU42" s="44"/>
      <c r="KXV42" s="44"/>
      <c r="KXW42" s="44"/>
      <c r="KXX42" s="44"/>
      <c r="KXY42" s="44"/>
      <c r="KXZ42" s="44"/>
      <c r="KYA42" s="44"/>
      <c r="KYB42" s="44"/>
      <c r="KYC42" s="44"/>
      <c r="KYD42" s="44"/>
      <c r="KYE42" s="44"/>
      <c r="KYF42" s="44"/>
      <c r="KYG42" s="44"/>
      <c r="KYH42" s="44"/>
      <c r="KYI42" s="44"/>
      <c r="KYJ42" s="44"/>
      <c r="KYK42" s="44"/>
      <c r="KYL42" s="44"/>
      <c r="KYM42" s="44"/>
      <c r="KYN42" s="44"/>
      <c r="KYO42" s="44"/>
      <c r="KYP42" s="44"/>
      <c r="KYQ42" s="44"/>
      <c r="KYR42" s="44"/>
      <c r="KYS42" s="44"/>
      <c r="KYT42" s="44"/>
      <c r="KYU42" s="44"/>
      <c r="KYV42" s="44"/>
      <c r="KYW42" s="44"/>
      <c r="KYX42" s="44"/>
      <c r="KYY42" s="44"/>
      <c r="KYZ42" s="44"/>
      <c r="KZA42" s="44"/>
      <c r="KZB42" s="44"/>
      <c r="KZC42" s="44"/>
      <c r="KZD42" s="44"/>
      <c r="KZE42" s="44"/>
      <c r="KZF42" s="44"/>
      <c r="KZG42" s="44"/>
      <c r="KZH42" s="44"/>
      <c r="KZI42" s="44"/>
      <c r="KZJ42" s="44"/>
      <c r="KZK42" s="44"/>
      <c r="KZL42" s="44"/>
      <c r="KZM42" s="44"/>
      <c r="KZN42" s="44"/>
      <c r="KZO42" s="44"/>
      <c r="KZP42" s="44"/>
      <c r="KZQ42" s="44"/>
      <c r="KZR42" s="44"/>
      <c r="KZS42" s="44"/>
      <c r="KZT42" s="44"/>
      <c r="KZU42" s="44"/>
      <c r="KZV42" s="44"/>
      <c r="KZW42" s="44"/>
      <c r="KZX42" s="44"/>
      <c r="KZY42" s="44"/>
      <c r="KZZ42" s="44"/>
      <c r="LAA42" s="44"/>
      <c r="LAB42" s="44"/>
      <c r="LAC42" s="44"/>
      <c r="LAD42" s="44"/>
      <c r="LAE42" s="44"/>
      <c r="LAF42" s="44"/>
      <c r="LAG42" s="44"/>
      <c r="LAH42" s="44"/>
      <c r="LAI42" s="44"/>
      <c r="LAJ42" s="44"/>
      <c r="LAK42" s="44"/>
      <c r="LAL42" s="44"/>
      <c r="LAM42" s="44"/>
      <c r="LAN42" s="44"/>
      <c r="LAO42" s="44"/>
      <c r="LAP42" s="44"/>
      <c r="LAQ42" s="44"/>
      <c r="LAR42" s="44"/>
      <c r="LAS42" s="44"/>
      <c r="LAT42" s="44"/>
      <c r="LAU42" s="44"/>
      <c r="LAV42" s="44"/>
      <c r="LAW42" s="44"/>
      <c r="LAX42" s="44"/>
      <c r="LAY42" s="44"/>
      <c r="LAZ42" s="44"/>
      <c r="LBA42" s="44"/>
      <c r="LBB42" s="44"/>
      <c r="LBC42" s="44"/>
      <c r="LBD42" s="44"/>
      <c r="LBE42" s="44"/>
      <c r="LBF42" s="44"/>
      <c r="LBG42" s="44"/>
      <c r="LBH42" s="44"/>
      <c r="LBI42" s="44"/>
      <c r="LBJ42" s="44"/>
      <c r="LBK42" s="44"/>
      <c r="LBL42" s="44"/>
      <c r="LBM42" s="44"/>
      <c r="LBN42" s="44"/>
      <c r="LBO42" s="44"/>
      <c r="LBP42" s="44"/>
      <c r="LBQ42" s="44"/>
      <c r="LBR42" s="44"/>
      <c r="LBS42" s="44"/>
      <c r="LBT42" s="44"/>
      <c r="LBU42" s="44"/>
      <c r="LBV42" s="44"/>
      <c r="LBW42" s="44"/>
      <c r="LBX42" s="44"/>
      <c r="LBY42" s="44"/>
      <c r="LBZ42" s="44"/>
      <c r="LCA42" s="44"/>
      <c r="LCB42" s="44"/>
      <c r="LCC42" s="44"/>
      <c r="LCD42" s="44"/>
      <c r="LCE42" s="44"/>
      <c r="LCF42" s="44"/>
      <c r="LCG42" s="44"/>
      <c r="LCH42" s="44"/>
      <c r="LCI42" s="44"/>
      <c r="LCJ42" s="44"/>
      <c r="LCK42" s="44"/>
      <c r="LCL42" s="44"/>
      <c r="LCM42" s="44"/>
      <c r="LCN42" s="44"/>
      <c r="LCO42" s="44"/>
      <c r="LCP42" s="44"/>
      <c r="LCQ42" s="44"/>
      <c r="LCR42" s="44"/>
      <c r="LCS42" s="44"/>
      <c r="LCT42" s="44"/>
      <c r="LCU42" s="44"/>
      <c r="LCV42" s="44"/>
      <c r="LCW42" s="44"/>
      <c r="LCX42" s="44"/>
      <c r="LCY42" s="44"/>
      <c r="LCZ42" s="44"/>
      <c r="LDA42" s="44"/>
      <c r="LDB42" s="44"/>
      <c r="LDC42" s="44"/>
      <c r="LDD42" s="44"/>
      <c r="LDE42" s="44"/>
      <c r="LDF42" s="44"/>
      <c r="LDG42" s="44"/>
      <c r="LDH42" s="44"/>
      <c r="LDI42" s="44"/>
      <c r="LDJ42" s="44"/>
      <c r="LDK42" s="44"/>
      <c r="LDL42" s="44"/>
      <c r="LDM42" s="44"/>
      <c r="LDN42" s="44"/>
      <c r="LDO42" s="44"/>
      <c r="LDP42" s="44"/>
      <c r="LDQ42" s="44"/>
      <c r="LDR42" s="44"/>
      <c r="LDS42" s="44"/>
      <c r="LDT42" s="44"/>
      <c r="LDU42" s="44"/>
      <c r="LDV42" s="44"/>
      <c r="LDW42" s="44"/>
      <c r="LDX42" s="44"/>
      <c r="LDY42" s="44"/>
      <c r="LDZ42" s="44"/>
      <c r="LEA42" s="44"/>
      <c r="LEB42" s="44"/>
      <c r="LEC42" s="44"/>
      <c r="LED42" s="44"/>
      <c r="LEE42" s="44"/>
      <c r="LEF42" s="44"/>
      <c r="LEG42" s="44"/>
      <c r="LEH42" s="44"/>
      <c r="LEI42" s="44"/>
      <c r="LEJ42" s="44"/>
      <c r="LEK42" s="44"/>
      <c r="LEL42" s="44"/>
      <c r="LEM42" s="44"/>
      <c r="LEN42" s="44"/>
      <c r="LEO42" s="44"/>
      <c r="LEP42" s="44"/>
      <c r="LEQ42" s="44"/>
      <c r="LER42" s="44"/>
      <c r="LES42" s="44"/>
      <c r="LET42" s="44"/>
      <c r="LEU42" s="44"/>
      <c r="LEV42" s="44"/>
      <c r="LEW42" s="44"/>
      <c r="LEX42" s="44"/>
      <c r="LEY42" s="44"/>
      <c r="LEZ42" s="44"/>
      <c r="LFA42" s="44"/>
      <c r="LFB42" s="44"/>
      <c r="LFC42" s="44"/>
      <c r="LFD42" s="44"/>
      <c r="LFE42" s="44"/>
      <c r="LFF42" s="44"/>
      <c r="LFG42" s="44"/>
      <c r="LFH42" s="44"/>
      <c r="LFI42" s="44"/>
      <c r="LFJ42" s="44"/>
      <c r="LFK42" s="44"/>
      <c r="LFL42" s="44"/>
      <c r="LFM42" s="44"/>
      <c r="LFN42" s="44"/>
      <c r="LFO42" s="44"/>
      <c r="LFP42" s="44"/>
      <c r="LFQ42" s="44"/>
      <c r="LFR42" s="44"/>
      <c r="LFS42" s="44"/>
      <c r="LFT42" s="44"/>
      <c r="LFU42" s="44"/>
      <c r="LFV42" s="44"/>
      <c r="LFW42" s="44"/>
      <c r="LFX42" s="44"/>
      <c r="LFY42" s="44"/>
      <c r="LFZ42" s="44"/>
      <c r="LGA42" s="44"/>
      <c r="LGB42" s="44"/>
      <c r="LGC42" s="44"/>
      <c r="LGD42" s="44"/>
      <c r="LGE42" s="44"/>
      <c r="LGF42" s="44"/>
      <c r="LGG42" s="44"/>
      <c r="LGH42" s="44"/>
      <c r="LGI42" s="44"/>
      <c r="LGJ42" s="44"/>
      <c r="LGK42" s="44"/>
      <c r="LGL42" s="44"/>
      <c r="LGM42" s="44"/>
      <c r="LGN42" s="44"/>
      <c r="LGO42" s="44"/>
      <c r="LGP42" s="44"/>
      <c r="LGQ42" s="44"/>
      <c r="LGR42" s="44"/>
      <c r="LGS42" s="44"/>
      <c r="LGT42" s="44"/>
      <c r="LGU42" s="44"/>
      <c r="LGV42" s="44"/>
      <c r="LGW42" s="44"/>
      <c r="LGX42" s="44"/>
      <c r="LGY42" s="44"/>
      <c r="LGZ42" s="44"/>
      <c r="LHA42" s="44"/>
      <c r="LHB42" s="44"/>
      <c r="LHC42" s="44"/>
      <c r="LHD42" s="44"/>
      <c r="LHE42" s="44"/>
      <c r="LHF42" s="44"/>
      <c r="LHG42" s="44"/>
      <c r="LHH42" s="44"/>
      <c r="LHI42" s="44"/>
      <c r="LHJ42" s="44"/>
      <c r="LHK42" s="44"/>
      <c r="LHL42" s="44"/>
      <c r="LHM42" s="44"/>
      <c r="LHN42" s="44"/>
      <c r="LHO42" s="44"/>
      <c r="LHP42" s="44"/>
      <c r="LHQ42" s="44"/>
      <c r="LHR42" s="44"/>
      <c r="LHS42" s="44"/>
      <c r="LHT42" s="44"/>
      <c r="LHU42" s="44"/>
      <c r="LHV42" s="44"/>
      <c r="LHW42" s="44"/>
      <c r="LHX42" s="44"/>
      <c r="LHY42" s="44"/>
      <c r="LHZ42" s="44"/>
      <c r="LIA42" s="44"/>
      <c r="LIB42" s="44"/>
      <c r="LIC42" s="44"/>
      <c r="LID42" s="44"/>
      <c r="LIE42" s="44"/>
      <c r="LIF42" s="44"/>
      <c r="LIG42" s="44"/>
      <c r="LIH42" s="44"/>
      <c r="LII42" s="44"/>
      <c r="LIJ42" s="44"/>
      <c r="LIK42" s="44"/>
      <c r="LIL42" s="44"/>
      <c r="LIM42" s="44"/>
      <c r="LIN42" s="44"/>
      <c r="LIO42" s="44"/>
      <c r="LIP42" s="44"/>
      <c r="LIQ42" s="44"/>
      <c r="LIR42" s="44"/>
      <c r="LIS42" s="44"/>
      <c r="LIT42" s="44"/>
      <c r="LIU42" s="44"/>
      <c r="LIV42" s="44"/>
      <c r="LIW42" s="44"/>
      <c r="LIX42" s="44"/>
      <c r="LIY42" s="44"/>
      <c r="LIZ42" s="44"/>
      <c r="LJA42" s="44"/>
      <c r="LJB42" s="44"/>
      <c r="LJC42" s="44"/>
      <c r="LJD42" s="44"/>
      <c r="LJE42" s="44"/>
      <c r="LJF42" s="44"/>
      <c r="LJG42" s="44"/>
      <c r="LJH42" s="44"/>
      <c r="LJI42" s="44"/>
      <c r="LJJ42" s="44"/>
      <c r="LJK42" s="44"/>
      <c r="LJL42" s="44"/>
      <c r="LJM42" s="44"/>
      <c r="LJN42" s="44"/>
      <c r="LJO42" s="44"/>
      <c r="LJP42" s="44"/>
      <c r="LJQ42" s="44"/>
      <c r="LJR42" s="44"/>
      <c r="LJS42" s="44"/>
      <c r="LJT42" s="44"/>
      <c r="LJU42" s="44"/>
      <c r="LJV42" s="44"/>
      <c r="LJW42" s="44"/>
      <c r="LJX42" s="44"/>
      <c r="LJY42" s="44"/>
      <c r="LJZ42" s="44"/>
      <c r="LKA42" s="44"/>
      <c r="LKB42" s="44"/>
      <c r="LKC42" s="44"/>
      <c r="LKD42" s="44"/>
      <c r="LKE42" s="44"/>
      <c r="LKF42" s="44"/>
      <c r="LKG42" s="44"/>
      <c r="LKH42" s="44"/>
      <c r="LKI42" s="44"/>
      <c r="LKJ42" s="44"/>
      <c r="LKK42" s="44"/>
      <c r="LKL42" s="44"/>
      <c r="LKM42" s="44"/>
      <c r="LKN42" s="44"/>
      <c r="LKO42" s="44"/>
      <c r="LKP42" s="44"/>
      <c r="LKQ42" s="44"/>
      <c r="LKR42" s="44"/>
      <c r="LKS42" s="44"/>
      <c r="LKT42" s="44"/>
      <c r="LKU42" s="44"/>
      <c r="LKV42" s="44"/>
      <c r="LKW42" s="44"/>
      <c r="LKX42" s="44"/>
      <c r="LKY42" s="44"/>
      <c r="LKZ42" s="44"/>
      <c r="LLA42" s="44"/>
      <c r="LLB42" s="44"/>
      <c r="LLC42" s="44"/>
      <c r="LLD42" s="44"/>
      <c r="LLE42" s="44"/>
      <c r="LLF42" s="44"/>
      <c r="LLG42" s="44"/>
      <c r="LLH42" s="44"/>
      <c r="LLI42" s="44"/>
      <c r="LLJ42" s="44"/>
      <c r="LLK42" s="44"/>
      <c r="LLL42" s="44"/>
      <c r="LLM42" s="44"/>
      <c r="LLN42" s="44"/>
      <c r="LLO42" s="44"/>
      <c r="LLP42" s="44"/>
      <c r="LLQ42" s="44"/>
      <c r="LLR42" s="44"/>
      <c r="LLS42" s="44"/>
      <c r="LLT42" s="44"/>
      <c r="LLU42" s="44"/>
      <c r="LLV42" s="44"/>
      <c r="LLW42" s="44"/>
      <c r="LLX42" s="44"/>
      <c r="LLY42" s="44"/>
      <c r="LLZ42" s="44"/>
      <c r="LMA42" s="44"/>
      <c r="LMB42" s="44"/>
      <c r="LMC42" s="44"/>
      <c r="LMD42" s="44"/>
      <c r="LME42" s="44"/>
      <c r="LMF42" s="44"/>
      <c r="LMG42" s="44"/>
      <c r="LMH42" s="44"/>
      <c r="LMI42" s="44"/>
      <c r="LMJ42" s="44"/>
      <c r="LMK42" s="44"/>
      <c r="LML42" s="44"/>
      <c r="LMM42" s="44"/>
      <c r="LMN42" s="44"/>
      <c r="LMO42" s="44"/>
      <c r="LMP42" s="44"/>
      <c r="LMQ42" s="44"/>
      <c r="LMR42" s="44"/>
      <c r="LMS42" s="44"/>
      <c r="LMT42" s="44"/>
      <c r="LMU42" s="44"/>
      <c r="LMV42" s="44"/>
      <c r="LMW42" s="44"/>
      <c r="LMX42" s="44"/>
      <c r="LMY42" s="44"/>
      <c r="LMZ42" s="44"/>
      <c r="LNA42" s="44"/>
      <c r="LNB42" s="44"/>
      <c r="LNC42" s="44"/>
      <c r="LND42" s="44"/>
      <c r="LNE42" s="44"/>
      <c r="LNF42" s="44"/>
      <c r="LNG42" s="44"/>
      <c r="LNH42" s="44"/>
      <c r="LNI42" s="44"/>
      <c r="LNJ42" s="44"/>
      <c r="LNK42" s="44"/>
      <c r="LNL42" s="44"/>
      <c r="LNM42" s="44"/>
      <c r="LNN42" s="44"/>
      <c r="LNO42" s="44"/>
      <c r="LNP42" s="44"/>
      <c r="LNQ42" s="44"/>
      <c r="LNR42" s="44"/>
      <c r="LNS42" s="44"/>
      <c r="LNT42" s="44"/>
      <c r="LNU42" s="44"/>
      <c r="LNV42" s="44"/>
      <c r="LNW42" s="44"/>
      <c r="LNX42" s="44"/>
      <c r="LNY42" s="44"/>
      <c r="LNZ42" s="44"/>
      <c r="LOA42" s="44"/>
      <c r="LOB42" s="44"/>
      <c r="LOC42" s="44"/>
      <c r="LOD42" s="44"/>
      <c r="LOE42" s="44"/>
      <c r="LOF42" s="44"/>
      <c r="LOG42" s="44"/>
      <c r="LOH42" s="44"/>
      <c r="LOI42" s="44"/>
      <c r="LOJ42" s="44"/>
      <c r="LOK42" s="44"/>
      <c r="LOL42" s="44"/>
      <c r="LOM42" s="44"/>
      <c r="LON42" s="44"/>
      <c r="LOO42" s="44"/>
      <c r="LOP42" s="44"/>
      <c r="LOQ42" s="44"/>
      <c r="LOR42" s="44"/>
      <c r="LOS42" s="44"/>
      <c r="LOT42" s="44"/>
      <c r="LOU42" s="44"/>
      <c r="LOV42" s="44"/>
      <c r="LOW42" s="44"/>
      <c r="LOX42" s="44"/>
      <c r="LOY42" s="44"/>
      <c r="LOZ42" s="44"/>
      <c r="LPA42" s="44"/>
      <c r="LPB42" s="44"/>
      <c r="LPC42" s="44"/>
      <c r="LPD42" s="44"/>
      <c r="LPE42" s="44"/>
      <c r="LPF42" s="44"/>
      <c r="LPG42" s="44"/>
      <c r="LPH42" s="44"/>
      <c r="LPI42" s="44"/>
      <c r="LPJ42" s="44"/>
      <c r="LPK42" s="44"/>
      <c r="LPL42" s="44"/>
      <c r="LPM42" s="44"/>
      <c r="LPN42" s="44"/>
      <c r="LPO42" s="44"/>
      <c r="LPP42" s="44"/>
      <c r="LPQ42" s="44"/>
      <c r="LPR42" s="44"/>
      <c r="LPS42" s="44"/>
      <c r="LPT42" s="44"/>
      <c r="LPU42" s="44"/>
      <c r="LPV42" s="44"/>
      <c r="LPW42" s="44"/>
      <c r="LPX42" s="44"/>
      <c r="LPY42" s="44"/>
      <c r="LPZ42" s="44"/>
      <c r="LQA42" s="44"/>
      <c r="LQB42" s="44"/>
      <c r="LQC42" s="44"/>
      <c r="LQD42" s="44"/>
      <c r="LQE42" s="44"/>
      <c r="LQF42" s="44"/>
      <c r="LQG42" s="44"/>
      <c r="LQH42" s="44"/>
      <c r="LQI42" s="44"/>
      <c r="LQJ42" s="44"/>
      <c r="LQK42" s="44"/>
      <c r="LQL42" s="44"/>
      <c r="LQM42" s="44"/>
      <c r="LQN42" s="44"/>
      <c r="LQO42" s="44"/>
      <c r="LQP42" s="44"/>
      <c r="LQQ42" s="44"/>
      <c r="LQR42" s="44"/>
      <c r="LQS42" s="44"/>
      <c r="LQT42" s="44"/>
      <c r="LQU42" s="44"/>
      <c r="LQV42" s="44"/>
      <c r="LQW42" s="44"/>
      <c r="LQX42" s="44"/>
      <c r="LQY42" s="44"/>
      <c r="LQZ42" s="44"/>
      <c r="LRA42" s="44"/>
      <c r="LRB42" s="44"/>
      <c r="LRC42" s="44"/>
      <c r="LRD42" s="44"/>
      <c r="LRE42" s="44"/>
      <c r="LRF42" s="44"/>
      <c r="LRG42" s="44"/>
      <c r="LRH42" s="44"/>
      <c r="LRI42" s="44"/>
      <c r="LRJ42" s="44"/>
      <c r="LRK42" s="44"/>
      <c r="LRL42" s="44"/>
      <c r="LRM42" s="44"/>
      <c r="LRN42" s="44"/>
      <c r="LRO42" s="44"/>
      <c r="LRP42" s="44"/>
      <c r="LRQ42" s="44"/>
      <c r="LRR42" s="44"/>
      <c r="LRS42" s="44"/>
      <c r="LRT42" s="44"/>
      <c r="LRU42" s="44"/>
      <c r="LRV42" s="44"/>
      <c r="LRW42" s="44"/>
      <c r="LRX42" s="44"/>
      <c r="LRY42" s="44"/>
      <c r="LRZ42" s="44"/>
      <c r="LSA42" s="44"/>
      <c r="LSB42" s="44"/>
      <c r="LSC42" s="44"/>
      <c r="LSD42" s="44"/>
      <c r="LSE42" s="44"/>
      <c r="LSF42" s="44"/>
      <c r="LSG42" s="44"/>
      <c r="LSH42" s="44"/>
      <c r="LSI42" s="44"/>
      <c r="LSJ42" s="44"/>
      <c r="LSK42" s="44"/>
      <c r="LSL42" s="44"/>
      <c r="LSM42" s="44"/>
      <c r="LSN42" s="44"/>
      <c r="LSO42" s="44"/>
      <c r="LSP42" s="44"/>
      <c r="LSQ42" s="44"/>
      <c r="LSR42" s="44"/>
      <c r="LSS42" s="44"/>
      <c r="LST42" s="44"/>
      <c r="LSU42" s="44"/>
      <c r="LSV42" s="44"/>
      <c r="LSW42" s="44"/>
      <c r="LSX42" s="44"/>
      <c r="LSY42" s="44"/>
      <c r="LSZ42" s="44"/>
      <c r="LTA42" s="44"/>
      <c r="LTB42" s="44"/>
      <c r="LTC42" s="44"/>
      <c r="LTD42" s="44"/>
      <c r="LTE42" s="44"/>
      <c r="LTF42" s="44"/>
      <c r="LTG42" s="44"/>
      <c r="LTH42" s="44"/>
      <c r="LTI42" s="44"/>
      <c r="LTJ42" s="44"/>
      <c r="LTK42" s="44"/>
      <c r="LTL42" s="44"/>
      <c r="LTM42" s="44"/>
      <c r="LTN42" s="44"/>
      <c r="LTO42" s="44"/>
      <c r="LTP42" s="44"/>
      <c r="LTQ42" s="44"/>
      <c r="LTR42" s="44"/>
      <c r="LTS42" s="44"/>
      <c r="LTT42" s="44"/>
      <c r="LTU42" s="44"/>
      <c r="LTV42" s="44"/>
      <c r="LTW42" s="44"/>
      <c r="LTX42" s="44"/>
      <c r="LTY42" s="44"/>
      <c r="LTZ42" s="44"/>
      <c r="LUA42" s="44"/>
      <c r="LUB42" s="44"/>
      <c r="LUC42" s="44"/>
      <c r="LUD42" s="44"/>
      <c r="LUE42" s="44"/>
      <c r="LUF42" s="44"/>
      <c r="LUG42" s="44"/>
      <c r="LUH42" s="44"/>
      <c r="LUI42" s="44"/>
      <c r="LUJ42" s="44"/>
      <c r="LUK42" s="44"/>
      <c r="LUL42" s="44"/>
      <c r="LUM42" s="44"/>
      <c r="LUN42" s="44"/>
      <c r="LUO42" s="44"/>
      <c r="LUP42" s="44"/>
      <c r="LUQ42" s="44"/>
      <c r="LUR42" s="44"/>
      <c r="LUS42" s="44"/>
      <c r="LUT42" s="44"/>
      <c r="LUU42" s="44"/>
      <c r="LUV42" s="44"/>
      <c r="LUW42" s="44"/>
      <c r="LUX42" s="44"/>
      <c r="LUY42" s="44"/>
      <c r="LUZ42" s="44"/>
      <c r="LVA42" s="44"/>
      <c r="LVB42" s="44"/>
      <c r="LVC42" s="44"/>
      <c r="LVD42" s="44"/>
      <c r="LVE42" s="44"/>
      <c r="LVF42" s="44"/>
      <c r="LVG42" s="44"/>
      <c r="LVH42" s="44"/>
      <c r="LVI42" s="44"/>
      <c r="LVJ42" s="44"/>
      <c r="LVK42" s="44"/>
      <c r="LVL42" s="44"/>
      <c r="LVM42" s="44"/>
      <c r="LVN42" s="44"/>
      <c r="LVO42" s="44"/>
      <c r="LVP42" s="44"/>
      <c r="LVQ42" s="44"/>
      <c r="LVR42" s="44"/>
      <c r="LVS42" s="44"/>
      <c r="LVT42" s="44"/>
      <c r="LVU42" s="44"/>
      <c r="LVV42" s="44"/>
      <c r="LVW42" s="44"/>
      <c r="LVX42" s="44"/>
      <c r="LVY42" s="44"/>
      <c r="LVZ42" s="44"/>
      <c r="LWA42" s="44"/>
      <c r="LWB42" s="44"/>
      <c r="LWC42" s="44"/>
      <c r="LWD42" s="44"/>
      <c r="LWE42" s="44"/>
      <c r="LWF42" s="44"/>
      <c r="LWG42" s="44"/>
      <c r="LWH42" s="44"/>
      <c r="LWI42" s="44"/>
      <c r="LWJ42" s="44"/>
      <c r="LWK42" s="44"/>
      <c r="LWL42" s="44"/>
      <c r="LWM42" s="44"/>
      <c r="LWN42" s="44"/>
      <c r="LWO42" s="44"/>
      <c r="LWP42" s="44"/>
      <c r="LWQ42" s="44"/>
      <c r="LWR42" s="44"/>
      <c r="LWS42" s="44"/>
      <c r="LWT42" s="44"/>
      <c r="LWU42" s="44"/>
      <c r="LWV42" s="44"/>
      <c r="LWW42" s="44"/>
      <c r="LWX42" s="44"/>
      <c r="LWY42" s="44"/>
      <c r="LWZ42" s="44"/>
      <c r="LXA42" s="44"/>
      <c r="LXB42" s="44"/>
      <c r="LXC42" s="44"/>
      <c r="LXD42" s="44"/>
      <c r="LXE42" s="44"/>
      <c r="LXF42" s="44"/>
      <c r="LXG42" s="44"/>
      <c r="LXH42" s="44"/>
      <c r="LXI42" s="44"/>
      <c r="LXJ42" s="44"/>
      <c r="LXK42" s="44"/>
      <c r="LXL42" s="44"/>
      <c r="LXM42" s="44"/>
      <c r="LXN42" s="44"/>
      <c r="LXO42" s="44"/>
      <c r="LXP42" s="44"/>
      <c r="LXQ42" s="44"/>
      <c r="LXR42" s="44"/>
      <c r="LXS42" s="44"/>
      <c r="LXT42" s="44"/>
      <c r="LXU42" s="44"/>
      <c r="LXV42" s="44"/>
      <c r="LXW42" s="44"/>
      <c r="LXX42" s="44"/>
      <c r="LXY42" s="44"/>
      <c r="LXZ42" s="44"/>
      <c r="LYA42" s="44"/>
      <c r="LYB42" s="44"/>
      <c r="LYC42" s="44"/>
      <c r="LYD42" s="44"/>
      <c r="LYE42" s="44"/>
      <c r="LYF42" s="44"/>
      <c r="LYG42" s="44"/>
      <c r="LYH42" s="44"/>
      <c r="LYI42" s="44"/>
      <c r="LYJ42" s="44"/>
      <c r="LYK42" s="44"/>
      <c r="LYL42" s="44"/>
      <c r="LYM42" s="44"/>
      <c r="LYN42" s="44"/>
      <c r="LYO42" s="44"/>
      <c r="LYP42" s="44"/>
      <c r="LYQ42" s="44"/>
      <c r="LYR42" s="44"/>
      <c r="LYS42" s="44"/>
      <c r="LYT42" s="44"/>
      <c r="LYU42" s="44"/>
      <c r="LYV42" s="44"/>
      <c r="LYW42" s="44"/>
      <c r="LYX42" s="44"/>
      <c r="LYY42" s="44"/>
      <c r="LYZ42" s="44"/>
      <c r="LZA42" s="44"/>
      <c r="LZB42" s="44"/>
      <c r="LZC42" s="44"/>
      <c r="LZD42" s="44"/>
      <c r="LZE42" s="44"/>
      <c r="LZF42" s="44"/>
      <c r="LZG42" s="44"/>
      <c r="LZH42" s="44"/>
      <c r="LZI42" s="44"/>
      <c r="LZJ42" s="44"/>
      <c r="LZK42" s="44"/>
      <c r="LZL42" s="44"/>
      <c r="LZM42" s="44"/>
      <c r="LZN42" s="44"/>
      <c r="LZO42" s="44"/>
      <c r="LZP42" s="44"/>
      <c r="LZQ42" s="44"/>
      <c r="LZR42" s="44"/>
      <c r="LZS42" s="44"/>
      <c r="LZT42" s="44"/>
      <c r="LZU42" s="44"/>
      <c r="LZV42" s="44"/>
      <c r="LZW42" s="44"/>
      <c r="LZX42" s="44"/>
      <c r="LZY42" s="44"/>
      <c r="LZZ42" s="44"/>
      <c r="MAA42" s="44"/>
      <c r="MAB42" s="44"/>
      <c r="MAC42" s="44"/>
      <c r="MAD42" s="44"/>
      <c r="MAE42" s="44"/>
      <c r="MAF42" s="44"/>
      <c r="MAG42" s="44"/>
      <c r="MAH42" s="44"/>
      <c r="MAI42" s="44"/>
      <c r="MAJ42" s="44"/>
      <c r="MAK42" s="44"/>
      <c r="MAL42" s="44"/>
      <c r="MAM42" s="44"/>
      <c r="MAN42" s="44"/>
      <c r="MAO42" s="44"/>
      <c r="MAP42" s="44"/>
      <c r="MAQ42" s="44"/>
      <c r="MAR42" s="44"/>
      <c r="MAS42" s="44"/>
      <c r="MAT42" s="44"/>
      <c r="MAU42" s="44"/>
      <c r="MAV42" s="44"/>
      <c r="MAW42" s="44"/>
      <c r="MAX42" s="44"/>
      <c r="MAY42" s="44"/>
      <c r="MAZ42" s="44"/>
      <c r="MBA42" s="44"/>
      <c r="MBB42" s="44"/>
      <c r="MBC42" s="44"/>
      <c r="MBD42" s="44"/>
      <c r="MBE42" s="44"/>
      <c r="MBF42" s="44"/>
      <c r="MBG42" s="44"/>
      <c r="MBH42" s="44"/>
      <c r="MBI42" s="44"/>
      <c r="MBJ42" s="44"/>
      <c r="MBK42" s="44"/>
      <c r="MBL42" s="44"/>
      <c r="MBM42" s="44"/>
      <c r="MBN42" s="44"/>
      <c r="MBO42" s="44"/>
      <c r="MBP42" s="44"/>
      <c r="MBQ42" s="44"/>
      <c r="MBR42" s="44"/>
      <c r="MBS42" s="44"/>
      <c r="MBT42" s="44"/>
      <c r="MBU42" s="44"/>
      <c r="MBV42" s="44"/>
      <c r="MBW42" s="44"/>
      <c r="MBX42" s="44"/>
      <c r="MBY42" s="44"/>
      <c r="MBZ42" s="44"/>
      <c r="MCA42" s="44"/>
      <c r="MCB42" s="44"/>
      <c r="MCC42" s="44"/>
      <c r="MCD42" s="44"/>
      <c r="MCE42" s="44"/>
      <c r="MCF42" s="44"/>
      <c r="MCG42" s="44"/>
      <c r="MCH42" s="44"/>
      <c r="MCI42" s="44"/>
      <c r="MCJ42" s="44"/>
      <c r="MCK42" s="44"/>
      <c r="MCL42" s="44"/>
      <c r="MCM42" s="44"/>
      <c r="MCN42" s="44"/>
      <c r="MCO42" s="44"/>
      <c r="MCP42" s="44"/>
      <c r="MCQ42" s="44"/>
      <c r="MCR42" s="44"/>
      <c r="MCS42" s="44"/>
      <c r="MCT42" s="44"/>
      <c r="MCU42" s="44"/>
      <c r="MCV42" s="44"/>
      <c r="MCW42" s="44"/>
      <c r="MCX42" s="44"/>
      <c r="MCY42" s="44"/>
      <c r="MCZ42" s="44"/>
      <c r="MDA42" s="44"/>
      <c r="MDB42" s="44"/>
      <c r="MDC42" s="44"/>
      <c r="MDD42" s="44"/>
      <c r="MDE42" s="44"/>
      <c r="MDF42" s="44"/>
      <c r="MDG42" s="44"/>
      <c r="MDH42" s="44"/>
      <c r="MDI42" s="44"/>
      <c r="MDJ42" s="44"/>
      <c r="MDK42" s="44"/>
      <c r="MDL42" s="44"/>
      <c r="MDM42" s="44"/>
      <c r="MDN42" s="44"/>
      <c r="MDO42" s="44"/>
      <c r="MDP42" s="44"/>
      <c r="MDQ42" s="44"/>
      <c r="MDR42" s="44"/>
      <c r="MDS42" s="44"/>
      <c r="MDT42" s="44"/>
      <c r="MDU42" s="44"/>
      <c r="MDV42" s="44"/>
      <c r="MDW42" s="44"/>
      <c r="MDX42" s="44"/>
      <c r="MDY42" s="44"/>
      <c r="MDZ42" s="44"/>
      <c r="MEA42" s="44"/>
      <c r="MEB42" s="44"/>
      <c r="MEC42" s="44"/>
      <c r="MED42" s="44"/>
      <c r="MEE42" s="44"/>
      <c r="MEF42" s="44"/>
      <c r="MEG42" s="44"/>
      <c r="MEH42" s="44"/>
      <c r="MEI42" s="44"/>
      <c r="MEJ42" s="44"/>
      <c r="MEK42" s="44"/>
      <c r="MEL42" s="44"/>
      <c r="MEM42" s="44"/>
      <c r="MEN42" s="44"/>
      <c r="MEO42" s="44"/>
      <c r="MEP42" s="44"/>
      <c r="MEQ42" s="44"/>
      <c r="MER42" s="44"/>
      <c r="MES42" s="44"/>
      <c r="MET42" s="44"/>
      <c r="MEU42" s="44"/>
      <c r="MEV42" s="44"/>
      <c r="MEW42" s="44"/>
      <c r="MEX42" s="44"/>
      <c r="MEY42" s="44"/>
      <c r="MEZ42" s="44"/>
      <c r="MFA42" s="44"/>
      <c r="MFB42" s="44"/>
      <c r="MFC42" s="44"/>
      <c r="MFD42" s="44"/>
      <c r="MFE42" s="44"/>
      <c r="MFF42" s="44"/>
      <c r="MFG42" s="44"/>
      <c r="MFH42" s="44"/>
      <c r="MFI42" s="44"/>
      <c r="MFJ42" s="44"/>
      <c r="MFK42" s="44"/>
      <c r="MFL42" s="44"/>
      <c r="MFM42" s="44"/>
      <c r="MFN42" s="44"/>
      <c r="MFO42" s="44"/>
      <c r="MFP42" s="44"/>
      <c r="MFQ42" s="44"/>
      <c r="MFR42" s="44"/>
      <c r="MFS42" s="44"/>
      <c r="MFT42" s="44"/>
      <c r="MFU42" s="44"/>
      <c r="MFV42" s="44"/>
      <c r="MFW42" s="44"/>
      <c r="MFX42" s="44"/>
      <c r="MFY42" s="44"/>
      <c r="MFZ42" s="44"/>
      <c r="MGA42" s="44"/>
      <c r="MGB42" s="44"/>
      <c r="MGC42" s="44"/>
      <c r="MGD42" s="44"/>
      <c r="MGE42" s="44"/>
      <c r="MGF42" s="44"/>
      <c r="MGG42" s="44"/>
      <c r="MGH42" s="44"/>
      <c r="MGI42" s="44"/>
      <c r="MGJ42" s="44"/>
      <c r="MGK42" s="44"/>
      <c r="MGL42" s="44"/>
      <c r="MGM42" s="44"/>
      <c r="MGN42" s="44"/>
      <c r="MGO42" s="44"/>
      <c r="MGP42" s="44"/>
      <c r="MGQ42" s="44"/>
      <c r="MGR42" s="44"/>
      <c r="MGS42" s="44"/>
      <c r="MGT42" s="44"/>
      <c r="MGU42" s="44"/>
      <c r="MGV42" s="44"/>
      <c r="MGW42" s="44"/>
      <c r="MGX42" s="44"/>
      <c r="MGY42" s="44"/>
      <c r="MGZ42" s="44"/>
      <c r="MHA42" s="44"/>
      <c r="MHB42" s="44"/>
      <c r="MHC42" s="44"/>
      <c r="MHD42" s="44"/>
      <c r="MHE42" s="44"/>
      <c r="MHF42" s="44"/>
      <c r="MHG42" s="44"/>
      <c r="MHH42" s="44"/>
      <c r="MHI42" s="44"/>
      <c r="MHJ42" s="44"/>
      <c r="MHK42" s="44"/>
      <c r="MHL42" s="44"/>
      <c r="MHM42" s="44"/>
      <c r="MHN42" s="44"/>
      <c r="MHO42" s="44"/>
      <c r="MHP42" s="44"/>
      <c r="MHQ42" s="44"/>
      <c r="MHR42" s="44"/>
      <c r="MHS42" s="44"/>
      <c r="MHT42" s="44"/>
      <c r="MHU42" s="44"/>
      <c r="MHV42" s="44"/>
      <c r="MHW42" s="44"/>
      <c r="MHX42" s="44"/>
      <c r="MHY42" s="44"/>
      <c r="MHZ42" s="44"/>
      <c r="MIA42" s="44"/>
      <c r="MIB42" s="44"/>
      <c r="MIC42" s="44"/>
      <c r="MID42" s="44"/>
      <c r="MIE42" s="44"/>
      <c r="MIF42" s="44"/>
      <c r="MIG42" s="44"/>
      <c r="MIH42" s="44"/>
      <c r="MII42" s="44"/>
      <c r="MIJ42" s="44"/>
      <c r="MIK42" s="44"/>
      <c r="MIL42" s="44"/>
      <c r="MIM42" s="44"/>
      <c r="MIN42" s="44"/>
      <c r="MIO42" s="44"/>
      <c r="MIP42" s="44"/>
      <c r="MIQ42" s="44"/>
      <c r="MIR42" s="44"/>
      <c r="MIS42" s="44"/>
      <c r="MIT42" s="44"/>
      <c r="MIU42" s="44"/>
      <c r="MIV42" s="44"/>
      <c r="MIW42" s="44"/>
      <c r="MIX42" s="44"/>
      <c r="MIY42" s="44"/>
      <c r="MIZ42" s="44"/>
      <c r="MJA42" s="44"/>
      <c r="MJB42" s="44"/>
      <c r="MJC42" s="44"/>
      <c r="MJD42" s="44"/>
      <c r="MJE42" s="44"/>
      <c r="MJF42" s="44"/>
      <c r="MJG42" s="44"/>
      <c r="MJH42" s="44"/>
      <c r="MJI42" s="44"/>
      <c r="MJJ42" s="44"/>
      <c r="MJK42" s="44"/>
      <c r="MJL42" s="44"/>
      <c r="MJM42" s="44"/>
      <c r="MJN42" s="44"/>
      <c r="MJO42" s="44"/>
      <c r="MJP42" s="44"/>
      <c r="MJQ42" s="44"/>
      <c r="MJR42" s="44"/>
      <c r="MJS42" s="44"/>
      <c r="MJT42" s="44"/>
      <c r="MJU42" s="44"/>
      <c r="MJV42" s="44"/>
      <c r="MJW42" s="44"/>
      <c r="MJX42" s="44"/>
      <c r="MJY42" s="44"/>
      <c r="MJZ42" s="44"/>
      <c r="MKA42" s="44"/>
      <c r="MKB42" s="44"/>
      <c r="MKC42" s="44"/>
      <c r="MKD42" s="44"/>
      <c r="MKE42" s="44"/>
      <c r="MKF42" s="44"/>
      <c r="MKG42" s="44"/>
      <c r="MKH42" s="44"/>
      <c r="MKI42" s="44"/>
      <c r="MKJ42" s="44"/>
      <c r="MKK42" s="44"/>
      <c r="MKL42" s="44"/>
      <c r="MKM42" s="44"/>
      <c r="MKN42" s="44"/>
      <c r="MKO42" s="44"/>
      <c r="MKP42" s="44"/>
      <c r="MKQ42" s="44"/>
      <c r="MKR42" s="44"/>
      <c r="MKS42" s="44"/>
      <c r="MKT42" s="44"/>
      <c r="MKU42" s="44"/>
      <c r="MKV42" s="44"/>
      <c r="MKW42" s="44"/>
      <c r="MKX42" s="44"/>
      <c r="MKY42" s="44"/>
      <c r="MKZ42" s="44"/>
      <c r="MLA42" s="44"/>
      <c r="MLB42" s="44"/>
      <c r="MLC42" s="44"/>
      <c r="MLD42" s="44"/>
      <c r="MLE42" s="44"/>
      <c r="MLF42" s="44"/>
      <c r="MLG42" s="44"/>
      <c r="MLH42" s="44"/>
      <c r="MLI42" s="44"/>
      <c r="MLJ42" s="44"/>
      <c r="MLK42" s="44"/>
      <c r="MLL42" s="44"/>
      <c r="MLM42" s="44"/>
      <c r="MLN42" s="44"/>
      <c r="MLO42" s="44"/>
      <c r="MLP42" s="44"/>
      <c r="MLQ42" s="44"/>
      <c r="MLR42" s="44"/>
      <c r="MLS42" s="44"/>
      <c r="MLT42" s="44"/>
      <c r="MLU42" s="44"/>
      <c r="MLV42" s="44"/>
      <c r="MLW42" s="44"/>
      <c r="MLX42" s="44"/>
      <c r="MLY42" s="44"/>
      <c r="MLZ42" s="44"/>
      <c r="MMA42" s="44"/>
      <c r="MMB42" s="44"/>
      <c r="MMC42" s="44"/>
      <c r="MMD42" s="44"/>
      <c r="MME42" s="44"/>
      <c r="MMF42" s="44"/>
      <c r="MMG42" s="44"/>
      <c r="MMH42" s="44"/>
      <c r="MMI42" s="44"/>
      <c r="MMJ42" s="44"/>
      <c r="MMK42" s="44"/>
      <c r="MML42" s="44"/>
      <c r="MMM42" s="44"/>
      <c r="MMN42" s="44"/>
      <c r="MMO42" s="44"/>
      <c r="MMP42" s="44"/>
      <c r="MMQ42" s="44"/>
      <c r="MMR42" s="44"/>
      <c r="MMS42" s="44"/>
      <c r="MMT42" s="44"/>
      <c r="MMU42" s="44"/>
      <c r="MMV42" s="44"/>
      <c r="MMW42" s="44"/>
      <c r="MMX42" s="44"/>
      <c r="MMY42" s="44"/>
      <c r="MMZ42" s="44"/>
      <c r="MNA42" s="44"/>
      <c r="MNB42" s="44"/>
      <c r="MNC42" s="44"/>
      <c r="MND42" s="44"/>
      <c r="MNE42" s="44"/>
      <c r="MNF42" s="44"/>
      <c r="MNG42" s="44"/>
      <c r="MNH42" s="44"/>
      <c r="MNI42" s="44"/>
      <c r="MNJ42" s="44"/>
      <c r="MNK42" s="44"/>
      <c r="MNL42" s="44"/>
      <c r="MNM42" s="44"/>
      <c r="MNN42" s="44"/>
      <c r="MNO42" s="44"/>
      <c r="MNP42" s="44"/>
      <c r="MNQ42" s="44"/>
      <c r="MNR42" s="44"/>
      <c r="MNS42" s="44"/>
      <c r="MNT42" s="44"/>
      <c r="MNU42" s="44"/>
      <c r="MNV42" s="44"/>
      <c r="MNW42" s="44"/>
      <c r="MNX42" s="44"/>
      <c r="MNY42" s="44"/>
      <c r="MNZ42" s="44"/>
      <c r="MOA42" s="44"/>
      <c r="MOB42" s="44"/>
      <c r="MOC42" s="44"/>
      <c r="MOD42" s="44"/>
      <c r="MOE42" s="44"/>
      <c r="MOF42" s="44"/>
      <c r="MOG42" s="44"/>
      <c r="MOH42" s="44"/>
      <c r="MOI42" s="44"/>
      <c r="MOJ42" s="44"/>
      <c r="MOK42" s="44"/>
      <c r="MOL42" s="44"/>
      <c r="MOM42" s="44"/>
      <c r="MON42" s="44"/>
      <c r="MOO42" s="44"/>
      <c r="MOP42" s="44"/>
      <c r="MOQ42" s="44"/>
      <c r="MOR42" s="44"/>
      <c r="MOS42" s="44"/>
      <c r="MOT42" s="44"/>
      <c r="MOU42" s="44"/>
      <c r="MOV42" s="44"/>
      <c r="MOW42" s="44"/>
      <c r="MOX42" s="44"/>
      <c r="MOY42" s="44"/>
      <c r="MOZ42" s="44"/>
      <c r="MPA42" s="44"/>
      <c r="MPB42" s="44"/>
      <c r="MPC42" s="44"/>
      <c r="MPD42" s="44"/>
      <c r="MPE42" s="44"/>
      <c r="MPF42" s="44"/>
      <c r="MPG42" s="44"/>
      <c r="MPH42" s="44"/>
      <c r="MPI42" s="44"/>
      <c r="MPJ42" s="44"/>
      <c r="MPK42" s="44"/>
      <c r="MPL42" s="44"/>
      <c r="MPM42" s="44"/>
      <c r="MPN42" s="44"/>
      <c r="MPO42" s="44"/>
      <c r="MPP42" s="44"/>
      <c r="MPQ42" s="44"/>
      <c r="MPR42" s="44"/>
      <c r="MPS42" s="44"/>
      <c r="MPT42" s="44"/>
      <c r="MPU42" s="44"/>
      <c r="MPV42" s="44"/>
      <c r="MPW42" s="44"/>
      <c r="MPX42" s="44"/>
      <c r="MPY42" s="44"/>
      <c r="MPZ42" s="44"/>
      <c r="MQA42" s="44"/>
      <c r="MQB42" s="44"/>
      <c r="MQC42" s="44"/>
      <c r="MQD42" s="44"/>
      <c r="MQE42" s="44"/>
      <c r="MQF42" s="44"/>
      <c r="MQG42" s="44"/>
      <c r="MQH42" s="44"/>
      <c r="MQI42" s="44"/>
      <c r="MQJ42" s="44"/>
      <c r="MQK42" s="44"/>
      <c r="MQL42" s="44"/>
      <c r="MQM42" s="44"/>
      <c r="MQN42" s="44"/>
      <c r="MQO42" s="44"/>
      <c r="MQP42" s="44"/>
      <c r="MQQ42" s="44"/>
      <c r="MQR42" s="44"/>
      <c r="MQS42" s="44"/>
      <c r="MQT42" s="44"/>
      <c r="MQU42" s="44"/>
      <c r="MQV42" s="44"/>
      <c r="MQW42" s="44"/>
      <c r="MQX42" s="44"/>
      <c r="MQY42" s="44"/>
      <c r="MQZ42" s="44"/>
      <c r="MRA42" s="44"/>
      <c r="MRB42" s="44"/>
      <c r="MRC42" s="44"/>
      <c r="MRD42" s="44"/>
      <c r="MRE42" s="44"/>
      <c r="MRF42" s="44"/>
      <c r="MRG42" s="44"/>
      <c r="MRH42" s="44"/>
      <c r="MRI42" s="44"/>
      <c r="MRJ42" s="44"/>
      <c r="MRK42" s="44"/>
      <c r="MRL42" s="44"/>
      <c r="MRM42" s="44"/>
      <c r="MRN42" s="44"/>
      <c r="MRO42" s="44"/>
      <c r="MRP42" s="44"/>
      <c r="MRQ42" s="44"/>
      <c r="MRR42" s="44"/>
      <c r="MRS42" s="44"/>
      <c r="MRT42" s="44"/>
      <c r="MRU42" s="44"/>
      <c r="MRV42" s="44"/>
      <c r="MRW42" s="44"/>
      <c r="MRX42" s="44"/>
      <c r="MRY42" s="44"/>
      <c r="MRZ42" s="44"/>
      <c r="MSA42" s="44"/>
      <c r="MSB42" s="44"/>
      <c r="MSC42" s="44"/>
      <c r="MSD42" s="44"/>
      <c r="MSE42" s="44"/>
      <c r="MSF42" s="44"/>
      <c r="MSG42" s="44"/>
      <c r="MSH42" s="44"/>
      <c r="MSI42" s="44"/>
      <c r="MSJ42" s="44"/>
      <c r="MSK42" s="44"/>
      <c r="MSL42" s="44"/>
      <c r="MSM42" s="44"/>
      <c r="MSN42" s="44"/>
      <c r="MSO42" s="44"/>
      <c r="MSP42" s="44"/>
      <c r="MSQ42" s="44"/>
      <c r="MSR42" s="44"/>
      <c r="MSS42" s="44"/>
      <c r="MST42" s="44"/>
      <c r="MSU42" s="44"/>
      <c r="MSV42" s="44"/>
      <c r="MSW42" s="44"/>
      <c r="MSX42" s="44"/>
      <c r="MSY42" s="44"/>
      <c r="MSZ42" s="44"/>
      <c r="MTA42" s="44"/>
      <c r="MTB42" s="44"/>
      <c r="MTC42" s="44"/>
      <c r="MTD42" s="44"/>
      <c r="MTE42" s="44"/>
      <c r="MTF42" s="44"/>
      <c r="MTG42" s="44"/>
      <c r="MTH42" s="44"/>
      <c r="MTI42" s="44"/>
      <c r="MTJ42" s="44"/>
      <c r="MTK42" s="44"/>
      <c r="MTL42" s="44"/>
      <c r="MTM42" s="44"/>
      <c r="MTN42" s="44"/>
      <c r="MTO42" s="44"/>
      <c r="MTP42" s="44"/>
      <c r="MTQ42" s="44"/>
      <c r="MTR42" s="44"/>
      <c r="MTS42" s="44"/>
      <c r="MTT42" s="44"/>
      <c r="MTU42" s="44"/>
      <c r="MTV42" s="44"/>
      <c r="MTW42" s="44"/>
      <c r="MTX42" s="44"/>
      <c r="MTY42" s="44"/>
      <c r="MTZ42" s="44"/>
      <c r="MUA42" s="44"/>
      <c r="MUB42" s="44"/>
      <c r="MUC42" s="44"/>
      <c r="MUD42" s="44"/>
      <c r="MUE42" s="44"/>
      <c r="MUF42" s="44"/>
      <c r="MUG42" s="44"/>
      <c r="MUH42" s="44"/>
      <c r="MUI42" s="44"/>
      <c r="MUJ42" s="44"/>
      <c r="MUK42" s="44"/>
      <c r="MUL42" s="44"/>
      <c r="MUM42" s="44"/>
      <c r="MUN42" s="44"/>
      <c r="MUO42" s="44"/>
      <c r="MUP42" s="44"/>
      <c r="MUQ42" s="44"/>
      <c r="MUR42" s="44"/>
      <c r="MUS42" s="44"/>
      <c r="MUT42" s="44"/>
      <c r="MUU42" s="44"/>
      <c r="MUV42" s="44"/>
      <c r="MUW42" s="44"/>
      <c r="MUX42" s="44"/>
      <c r="MUY42" s="44"/>
      <c r="MUZ42" s="44"/>
      <c r="MVA42" s="44"/>
      <c r="MVB42" s="44"/>
      <c r="MVC42" s="44"/>
      <c r="MVD42" s="44"/>
      <c r="MVE42" s="44"/>
      <c r="MVF42" s="44"/>
      <c r="MVG42" s="44"/>
      <c r="MVH42" s="44"/>
      <c r="MVI42" s="44"/>
      <c r="MVJ42" s="44"/>
      <c r="MVK42" s="44"/>
      <c r="MVL42" s="44"/>
      <c r="MVM42" s="44"/>
      <c r="MVN42" s="44"/>
      <c r="MVO42" s="44"/>
      <c r="MVP42" s="44"/>
      <c r="MVQ42" s="44"/>
      <c r="MVR42" s="44"/>
      <c r="MVS42" s="44"/>
      <c r="MVT42" s="44"/>
      <c r="MVU42" s="44"/>
      <c r="MVV42" s="44"/>
      <c r="MVW42" s="44"/>
      <c r="MVX42" s="44"/>
      <c r="MVY42" s="44"/>
      <c r="MVZ42" s="44"/>
      <c r="MWA42" s="44"/>
      <c r="MWB42" s="44"/>
      <c r="MWC42" s="44"/>
      <c r="MWD42" s="44"/>
      <c r="MWE42" s="44"/>
      <c r="MWF42" s="44"/>
      <c r="MWG42" s="44"/>
      <c r="MWH42" s="44"/>
      <c r="MWI42" s="44"/>
      <c r="MWJ42" s="44"/>
      <c r="MWK42" s="44"/>
      <c r="MWL42" s="44"/>
      <c r="MWM42" s="44"/>
      <c r="MWN42" s="44"/>
      <c r="MWO42" s="44"/>
      <c r="MWP42" s="44"/>
      <c r="MWQ42" s="44"/>
      <c r="MWR42" s="44"/>
      <c r="MWS42" s="44"/>
      <c r="MWT42" s="44"/>
      <c r="MWU42" s="44"/>
      <c r="MWV42" s="44"/>
      <c r="MWW42" s="44"/>
      <c r="MWX42" s="44"/>
      <c r="MWY42" s="44"/>
      <c r="MWZ42" s="44"/>
      <c r="MXA42" s="44"/>
      <c r="MXB42" s="44"/>
      <c r="MXC42" s="44"/>
      <c r="MXD42" s="44"/>
      <c r="MXE42" s="44"/>
      <c r="MXF42" s="44"/>
      <c r="MXG42" s="44"/>
      <c r="MXH42" s="44"/>
      <c r="MXI42" s="44"/>
      <c r="MXJ42" s="44"/>
      <c r="MXK42" s="44"/>
      <c r="MXL42" s="44"/>
      <c r="MXM42" s="44"/>
      <c r="MXN42" s="44"/>
      <c r="MXO42" s="44"/>
      <c r="MXP42" s="44"/>
      <c r="MXQ42" s="44"/>
      <c r="MXR42" s="44"/>
      <c r="MXS42" s="44"/>
      <c r="MXT42" s="44"/>
      <c r="MXU42" s="44"/>
      <c r="MXV42" s="44"/>
      <c r="MXW42" s="44"/>
      <c r="MXX42" s="44"/>
      <c r="MXY42" s="44"/>
      <c r="MXZ42" s="44"/>
      <c r="MYA42" s="44"/>
      <c r="MYB42" s="44"/>
      <c r="MYC42" s="44"/>
      <c r="MYD42" s="44"/>
      <c r="MYE42" s="44"/>
      <c r="MYF42" s="44"/>
      <c r="MYG42" s="44"/>
      <c r="MYH42" s="44"/>
      <c r="MYI42" s="44"/>
      <c r="MYJ42" s="44"/>
      <c r="MYK42" s="44"/>
      <c r="MYL42" s="44"/>
      <c r="MYM42" s="44"/>
      <c r="MYN42" s="44"/>
      <c r="MYO42" s="44"/>
      <c r="MYP42" s="44"/>
      <c r="MYQ42" s="44"/>
      <c r="MYR42" s="44"/>
      <c r="MYS42" s="44"/>
      <c r="MYT42" s="44"/>
      <c r="MYU42" s="44"/>
      <c r="MYV42" s="44"/>
      <c r="MYW42" s="44"/>
      <c r="MYX42" s="44"/>
      <c r="MYY42" s="44"/>
      <c r="MYZ42" s="44"/>
      <c r="MZA42" s="44"/>
      <c r="MZB42" s="44"/>
      <c r="MZC42" s="44"/>
      <c r="MZD42" s="44"/>
      <c r="MZE42" s="44"/>
      <c r="MZF42" s="44"/>
      <c r="MZG42" s="44"/>
      <c r="MZH42" s="44"/>
      <c r="MZI42" s="44"/>
      <c r="MZJ42" s="44"/>
      <c r="MZK42" s="44"/>
      <c r="MZL42" s="44"/>
      <c r="MZM42" s="44"/>
      <c r="MZN42" s="44"/>
      <c r="MZO42" s="44"/>
      <c r="MZP42" s="44"/>
      <c r="MZQ42" s="44"/>
      <c r="MZR42" s="44"/>
      <c r="MZS42" s="44"/>
      <c r="MZT42" s="44"/>
      <c r="MZU42" s="44"/>
      <c r="MZV42" s="44"/>
      <c r="MZW42" s="44"/>
      <c r="MZX42" s="44"/>
      <c r="MZY42" s="44"/>
      <c r="MZZ42" s="44"/>
      <c r="NAA42" s="44"/>
      <c r="NAB42" s="44"/>
      <c r="NAC42" s="44"/>
      <c r="NAD42" s="44"/>
      <c r="NAE42" s="44"/>
      <c r="NAF42" s="44"/>
      <c r="NAG42" s="44"/>
      <c r="NAH42" s="44"/>
      <c r="NAI42" s="44"/>
      <c r="NAJ42" s="44"/>
      <c r="NAK42" s="44"/>
      <c r="NAL42" s="44"/>
      <c r="NAM42" s="44"/>
      <c r="NAN42" s="44"/>
      <c r="NAO42" s="44"/>
      <c r="NAP42" s="44"/>
      <c r="NAQ42" s="44"/>
      <c r="NAR42" s="44"/>
      <c r="NAS42" s="44"/>
      <c r="NAT42" s="44"/>
      <c r="NAU42" s="44"/>
      <c r="NAV42" s="44"/>
      <c r="NAW42" s="44"/>
      <c r="NAX42" s="44"/>
      <c r="NAY42" s="44"/>
      <c r="NAZ42" s="44"/>
      <c r="NBA42" s="44"/>
      <c r="NBB42" s="44"/>
      <c r="NBC42" s="44"/>
      <c r="NBD42" s="44"/>
      <c r="NBE42" s="44"/>
      <c r="NBF42" s="44"/>
      <c r="NBG42" s="44"/>
      <c r="NBH42" s="44"/>
      <c r="NBI42" s="44"/>
      <c r="NBJ42" s="44"/>
      <c r="NBK42" s="44"/>
      <c r="NBL42" s="44"/>
      <c r="NBM42" s="44"/>
      <c r="NBN42" s="44"/>
      <c r="NBO42" s="44"/>
      <c r="NBP42" s="44"/>
      <c r="NBQ42" s="44"/>
      <c r="NBR42" s="44"/>
      <c r="NBS42" s="44"/>
      <c r="NBT42" s="44"/>
      <c r="NBU42" s="44"/>
      <c r="NBV42" s="44"/>
      <c r="NBW42" s="44"/>
      <c r="NBX42" s="44"/>
      <c r="NBY42" s="44"/>
      <c r="NBZ42" s="44"/>
      <c r="NCA42" s="44"/>
      <c r="NCB42" s="44"/>
      <c r="NCC42" s="44"/>
      <c r="NCD42" s="44"/>
      <c r="NCE42" s="44"/>
      <c r="NCF42" s="44"/>
      <c r="NCG42" s="44"/>
      <c r="NCH42" s="44"/>
      <c r="NCI42" s="44"/>
      <c r="NCJ42" s="44"/>
      <c r="NCK42" s="44"/>
      <c r="NCL42" s="44"/>
      <c r="NCM42" s="44"/>
      <c r="NCN42" s="44"/>
      <c r="NCO42" s="44"/>
      <c r="NCP42" s="44"/>
      <c r="NCQ42" s="44"/>
      <c r="NCR42" s="44"/>
      <c r="NCS42" s="44"/>
      <c r="NCT42" s="44"/>
      <c r="NCU42" s="44"/>
      <c r="NCV42" s="44"/>
      <c r="NCW42" s="44"/>
      <c r="NCX42" s="44"/>
      <c r="NCY42" s="44"/>
      <c r="NCZ42" s="44"/>
      <c r="NDA42" s="44"/>
      <c r="NDB42" s="44"/>
      <c r="NDC42" s="44"/>
      <c r="NDD42" s="44"/>
      <c r="NDE42" s="44"/>
      <c r="NDF42" s="44"/>
      <c r="NDG42" s="44"/>
      <c r="NDH42" s="44"/>
      <c r="NDI42" s="44"/>
      <c r="NDJ42" s="44"/>
      <c r="NDK42" s="44"/>
      <c r="NDL42" s="44"/>
      <c r="NDM42" s="44"/>
      <c r="NDN42" s="44"/>
      <c r="NDO42" s="44"/>
      <c r="NDP42" s="44"/>
      <c r="NDQ42" s="44"/>
      <c r="NDR42" s="44"/>
      <c r="NDS42" s="44"/>
      <c r="NDT42" s="44"/>
      <c r="NDU42" s="44"/>
      <c r="NDV42" s="44"/>
      <c r="NDW42" s="44"/>
      <c r="NDX42" s="44"/>
      <c r="NDY42" s="44"/>
      <c r="NDZ42" s="44"/>
      <c r="NEA42" s="44"/>
      <c r="NEB42" s="44"/>
      <c r="NEC42" s="44"/>
      <c r="NED42" s="44"/>
      <c r="NEE42" s="44"/>
      <c r="NEF42" s="44"/>
      <c r="NEG42" s="44"/>
      <c r="NEH42" s="44"/>
      <c r="NEI42" s="44"/>
      <c r="NEJ42" s="44"/>
      <c r="NEK42" s="44"/>
      <c r="NEL42" s="44"/>
      <c r="NEM42" s="44"/>
      <c r="NEN42" s="44"/>
      <c r="NEO42" s="44"/>
      <c r="NEP42" s="44"/>
      <c r="NEQ42" s="44"/>
      <c r="NER42" s="44"/>
      <c r="NES42" s="44"/>
      <c r="NET42" s="44"/>
      <c r="NEU42" s="44"/>
      <c r="NEV42" s="44"/>
      <c r="NEW42" s="44"/>
      <c r="NEX42" s="44"/>
      <c r="NEY42" s="44"/>
      <c r="NEZ42" s="44"/>
      <c r="NFA42" s="44"/>
      <c r="NFB42" s="44"/>
      <c r="NFC42" s="44"/>
      <c r="NFD42" s="44"/>
      <c r="NFE42" s="44"/>
      <c r="NFF42" s="44"/>
      <c r="NFG42" s="44"/>
      <c r="NFH42" s="44"/>
      <c r="NFI42" s="44"/>
      <c r="NFJ42" s="44"/>
      <c r="NFK42" s="44"/>
      <c r="NFL42" s="44"/>
      <c r="NFM42" s="44"/>
      <c r="NFN42" s="44"/>
      <c r="NFO42" s="44"/>
      <c r="NFP42" s="44"/>
      <c r="NFQ42" s="44"/>
      <c r="NFR42" s="44"/>
      <c r="NFS42" s="44"/>
      <c r="NFT42" s="44"/>
      <c r="NFU42" s="44"/>
      <c r="NFV42" s="44"/>
      <c r="NFW42" s="44"/>
      <c r="NFX42" s="44"/>
      <c r="NFY42" s="44"/>
      <c r="NFZ42" s="44"/>
      <c r="NGA42" s="44"/>
      <c r="NGB42" s="44"/>
      <c r="NGC42" s="44"/>
      <c r="NGD42" s="44"/>
      <c r="NGE42" s="44"/>
      <c r="NGF42" s="44"/>
      <c r="NGG42" s="44"/>
      <c r="NGH42" s="44"/>
      <c r="NGI42" s="44"/>
      <c r="NGJ42" s="44"/>
      <c r="NGK42" s="44"/>
      <c r="NGL42" s="44"/>
      <c r="NGM42" s="44"/>
      <c r="NGN42" s="44"/>
      <c r="NGO42" s="44"/>
      <c r="NGP42" s="44"/>
      <c r="NGQ42" s="44"/>
      <c r="NGR42" s="44"/>
      <c r="NGS42" s="44"/>
      <c r="NGT42" s="44"/>
      <c r="NGU42" s="44"/>
      <c r="NGV42" s="44"/>
      <c r="NGW42" s="44"/>
      <c r="NGX42" s="44"/>
      <c r="NGY42" s="44"/>
      <c r="NGZ42" s="44"/>
      <c r="NHA42" s="44"/>
      <c r="NHB42" s="44"/>
      <c r="NHC42" s="44"/>
      <c r="NHD42" s="44"/>
      <c r="NHE42" s="44"/>
      <c r="NHF42" s="44"/>
      <c r="NHG42" s="44"/>
      <c r="NHH42" s="44"/>
      <c r="NHI42" s="44"/>
      <c r="NHJ42" s="44"/>
      <c r="NHK42" s="44"/>
      <c r="NHL42" s="44"/>
      <c r="NHM42" s="44"/>
      <c r="NHN42" s="44"/>
      <c r="NHO42" s="44"/>
      <c r="NHP42" s="44"/>
      <c r="NHQ42" s="44"/>
      <c r="NHR42" s="44"/>
      <c r="NHS42" s="44"/>
      <c r="NHT42" s="44"/>
      <c r="NHU42" s="44"/>
      <c r="NHV42" s="44"/>
      <c r="NHW42" s="44"/>
      <c r="NHX42" s="44"/>
      <c r="NHY42" s="44"/>
      <c r="NHZ42" s="44"/>
      <c r="NIA42" s="44"/>
      <c r="NIB42" s="44"/>
      <c r="NIC42" s="44"/>
      <c r="NID42" s="44"/>
      <c r="NIE42" s="44"/>
      <c r="NIF42" s="44"/>
      <c r="NIG42" s="44"/>
      <c r="NIH42" s="44"/>
      <c r="NII42" s="44"/>
      <c r="NIJ42" s="44"/>
      <c r="NIK42" s="44"/>
      <c r="NIL42" s="44"/>
      <c r="NIM42" s="44"/>
      <c r="NIN42" s="44"/>
      <c r="NIO42" s="44"/>
      <c r="NIP42" s="44"/>
      <c r="NIQ42" s="44"/>
      <c r="NIR42" s="44"/>
      <c r="NIS42" s="44"/>
      <c r="NIT42" s="44"/>
      <c r="NIU42" s="44"/>
      <c r="NIV42" s="44"/>
      <c r="NIW42" s="44"/>
      <c r="NIX42" s="44"/>
      <c r="NIY42" s="44"/>
      <c r="NIZ42" s="44"/>
      <c r="NJA42" s="44"/>
      <c r="NJB42" s="44"/>
      <c r="NJC42" s="44"/>
      <c r="NJD42" s="44"/>
      <c r="NJE42" s="44"/>
      <c r="NJF42" s="44"/>
      <c r="NJG42" s="44"/>
      <c r="NJH42" s="44"/>
      <c r="NJI42" s="44"/>
      <c r="NJJ42" s="44"/>
      <c r="NJK42" s="44"/>
      <c r="NJL42" s="44"/>
      <c r="NJM42" s="44"/>
      <c r="NJN42" s="44"/>
      <c r="NJO42" s="44"/>
      <c r="NJP42" s="44"/>
      <c r="NJQ42" s="44"/>
      <c r="NJR42" s="44"/>
      <c r="NJS42" s="44"/>
      <c r="NJT42" s="44"/>
      <c r="NJU42" s="44"/>
      <c r="NJV42" s="44"/>
      <c r="NJW42" s="44"/>
      <c r="NJX42" s="44"/>
      <c r="NJY42" s="44"/>
      <c r="NJZ42" s="44"/>
      <c r="NKA42" s="44"/>
      <c r="NKB42" s="44"/>
      <c r="NKC42" s="44"/>
      <c r="NKD42" s="44"/>
      <c r="NKE42" s="44"/>
      <c r="NKF42" s="44"/>
      <c r="NKG42" s="44"/>
      <c r="NKH42" s="44"/>
      <c r="NKI42" s="44"/>
      <c r="NKJ42" s="44"/>
      <c r="NKK42" s="44"/>
      <c r="NKL42" s="44"/>
      <c r="NKM42" s="44"/>
      <c r="NKN42" s="44"/>
      <c r="NKO42" s="44"/>
      <c r="NKP42" s="44"/>
      <c r="NKQ42" s="44"/>
      <c r="NKR42" s="44"/>
      <c r="NKS42" s="44"/>
      <c r="NKT42" s="44"/>
      <c r="NKU42" s="44"/>
      <c r="NKV42" s="44"/>
      <c r="NKW42" s="44"/>
      <c r="NKX42" s="44"/>
      <c r="NKY42" s="44"/>
      <c r="NKZ42" s="44"/>
      <c r="NLA42" s="44"/>
      <c r="NLB42" s="44"/>
      <c r="NLC42" s="44"/>
      <c r="NLD42" s="44"/>
      <c r="NLE42" s="44"/>
      <c r="NLF42" s="44"/>
      <c r="NLG42" s="44"/>
      <c r="NLH42" s="44"/>
      <c r="NLI42" s="44"/>
      <c r="NLJ42" s="44"/>
      <c r="NLK42" s="44"/>
      <c r="NLL42" s="44"/>
      <c r="NLM42" s="44"/>
      <c r="NLN42" s="44"/>
      <c r="NLO42" s="44"/>
      <c r="NLP42" s="44"/>
      <c r="NLQ42" s="44"/>
      <c r="NLR42" s="44"/>
      <c r="NLS42" s="44"/>
      <c r="NLT42" s="44"/>
      <c r="NLU42" s="44"/>
      <c r="NLV42" s="44"/>
      <c r="NLW42" s="44"/>
      <c r="NLX42" s="44"/>
      <c r="NLY42" s="44"/>
      <c r="NLZ42" s="44"/>
      <c r="NMA42" s="44"/>
      <c r="NMB42" s="44"/>
      <c r="NMC42" s="44"/>
      <c r="NMD42" s="44"/>
      <c r="NME42" s="44"/>
      <c r="NMF42" s="44"/>
      <c r="NMG42" s="44"/>
      <c r="NMH42" s="44"/>
      <c r="NMI42" s="44"/>
      <c r="NMJ42" s="44"/>
      <c r="NMK42" s="44"/>
      <c r="NML42" s="44"/>
      <c r="NMM42" s="44"/>
      <c r="NMN42" s="44"/>
      <c r="NMO42" s="44"/>
      <c r="NMP42" s="44"/>
      <c r="NMQ42" s="44"/>
      <c r="NMR42" s="44"/>
      <c r="NMS42" s="44"/>
      <c r="NMT42" s="44"/>
      <c r="NMU42" s="44"/>
      <c r="NMV42" s="44"/>
      <c r="NMW42" s="44"/>
      <c r="NMX42" s="44"/>
      <c r="NMY42" s="44"/>
      <c r="NMZ42" s="44"/>
      <c r="NNA42" s="44"/>
      <c r="NNB42" s="44"/>
      <c r="NNC42" s="44"/>
      <c r="NND42" s="44"/>
      <c r="NNE42" s="44"/>
      <c r="NNF42" s="44"/>
      <c r="NNG42" s="44"/>
      <c r="NNH42" s="44"/>
      <c r="NNI42" s="44"/>
      <c r="NNJ42" s="44"/>
      <c r="NNK42" s="44"/>
      <c r="NNL42" s="44"/>
      <c r="NNM42" s="44"/>
      <c r="NNN42" s="44"/>
      <c r="NNO42" s="44"/>
      <c r="NNP42" s="44"/>
      <c r="NNQ42" s="44"/>
      <c r="NNR42" s="44"/>
      <c r="NNS42" s="44"/>
      <c r="NNT42" s="44"/>
      <c r="NNU42" s="44"/>
      <c r="NNV42" s="44"/>
      <c r="NNW42" s="44"/>
      <c r="NNX42" s="44"/>
      <c r="NNY42" s="44"/>
      <c r="NNZ42" s="44"/>
      <c r="NOA42" s="44"/>
      <c r="NOB42" s="44"/>
      <c r="NOC42" s="44"/>
      <c r="NOD42" s="44"/>
      <c r="NOE42" s="44"/>
      <c r="NOF42" s="44"/>
      <c r="NOG42" s="44"/>
      <c r="NOH42" s="44"/>
      <c r="NOI42" s="44"/>
      <c r="NOJ42" s="44"/>
      <c r="NOK42" s="44"/>
      <c r="NOL42" s="44"/>
      <c r="NOM42" s="44"/>
      <c r="NON42" s="44"/>
      <c r="NOO42" s="44"/>
      <c r="NOP42" s="44"/>
      <c r="NOQ42" s="44"/>
      <c r="NOR42" s="44"/>
      <c r="NOS42" s="44"/>
      <c r="NOT42" s="44"/>
      <c r="NOU42" s="44"/>
      <c r="NOV42" s="44"/>
      <c r="NOW42" s="44"/>
      <c r="NOX42" s="44"/>
      <c r="NOY42" s="44"/>
      <c r="NOZ42" s="44"/>
      <c r="NPA42" s="44"/>
      <c r="NPB42" s="44"/>
      <c r="NPC42" s="44"/>
      <c r="NPD42" s="44"/>
      <c r="NPE42" s="44"/>
      <c r="NPF42" s="44"/>
      <c r="NPG42" s="44"/>
      <c r="NPH42" s="44"/>
      <c r="NPI42" s="44"/>
      <c r="NPJ42" s="44"/>
      <c r="NPK42" s="44"/>
      <c r="NPL42" s="44"/>
      <c r="NPM42" s="44"/>
      <c r="NPN42" s="44"/>
      <c r="NPO42" s="44"/>
      <c r="NPP42" s="44"/>
      <c r="NPQ42" s="44"/>
      <c r="NPR42" s="44"/>
      <c r="NPS42" s="44"/>
      <c r="NPT42" s="44"/>
      <c r="NPU42" s="44"/>
      <c r="NPV42" s="44"/>
      <c r="NPW42" s="44"/>
      <c r="NPX42" s="44"/>
      <c r="NPY42" s="44"/>
      <c r="NPZ42" s="44"/>
      <c r="NQA42" s="44"/>
      <c r="NQB42" s="44"/>
      <c r="NQC42" s="44"/>
      <c r="NQD42" s="44"/>
      <c r="NQE42" s="44"/>
      <c r="NQF42" s="44"/>
      <c r="NQG42" s="44"/>
      <c r="NQH42" s="44"/>
      <c r="NQI42" s="44"/>
      <c r="NQJ42" s="44"/>
      <c r="NQK42" s="44"/>
      <c r="NQL42" s="44"/>
      <c r="NQM42" s="44"/>
      <c r="NQN42" s="44"/>
      <c r="NQO42" s="44"/>
      <c r="NQP42" s="44"/>
      <c r="NQQ42" s="44"/>
      <c r="NQR42" s="44"/>
      <c r="NQS42" s="44"/>
      <c r="NQT42" s="44"/>
      <c r="NQU42" s="44"/>
      <c r="NQV42" s="44"/>
      <c r="NQW42" s="44"/>
      <c r="NQX42" s="44"/>
      <c r="NQY42" s="44"/>
      <c r="NQZ42" s="44"/>
      <c r="NRA42" s="44"/>
      <c r="NRB42" s="44"/>
      <c r="NRC42" s="44"/>
      <c r="NRD42" s="44"/>
      <c r="NRE42" s="44"/>
      <c r="NRF42" s="44"/>
      <c r="NRG42" s="44"/>
      <c r="NRH42" s="44"/>
      <c r="NRI42" s="44"/>
      <c r="NRJ42" s="44"/>
      <c r="NRK42" s="44"/>
      <c r="NRL42" s="44"/>
      <c r="NRM42" s="44"/>
      <c r="NRN42" s="44"/>
      <c r="NRO42" s="44"/>
      <c r="NRP42" s="44"/>
      <c r="NRQ42" s="44"/>
      <c r="NRR42" s="44"/>
      <c r="NRS42" s="44"/>
      <c r="NRT42" s="44"/>
      <c r="NRU42" s="44"/>
      <c r="NRV42" s="44"/>
      <c r="NRW42" s="44"/>
      <c r="NRX42" s="44"/>
      <c r="NRY42" s="44"/>
      <c r="NRZ42" s="44"/>
      <c r="NSA42" s="44"/>
      <c r="NSB42" s="44"/>
      <c r="NSC42" s="44"/>
      <c r="NSD42" s="44"/>
      <c r="NSE42" s="44"/>
      <c r="NSF42" s="44"/>
      <c r="NSG42" s="44"/>
      <c r="NSH42" s="44"/>
      <c r="NSI42" s="44"/>
      <c r="NSJ42" s="44"/>
      <c r="NSK42" s="44"/>
      <c r="NSL42" s="44"/>
      <c r="NSM42" s="44"/>
      <c r="NSN42" s="44"/>
      <c r="NSO42" s="44"/>
      <c r="NSP42" s="44"/>
      <c r="NSQ42" s="44"/>
      <c r="NSR42" s="44"/>
      <c r="NSS42" s="44"/>
      <c r="NST42" s="44"/>
      <c r="NSU42" s="44"/>
      <c r="NSV42" s="44"/>
      <c r="NSW42" s="44"/>
      <c r="NSX42" s="44"/>
      <c r="NSY42" s="44"/>
      <c r="NSZ42" s="44"/>
      <c r="NTA42" s="44"/>
      <c r="NTB42" s="44"/>
      <c r="NTC42" s="44"/>
      <c r="NTD42" s="44"/>
      <c r="NTE42" s="44"/>
      <c r="NTF42" s="44"/>
      <c r="NTG42" s="44"/>
      <c r="NTH42" s="44"/>
      <c r="NTI42" s="44"/>
      <c r="NTJ42" s="44"/>
      <c r="NTK42" s="44"/>
      <c r="NTL42" s="44"/>
      <c r="NTM42" s="44"/>
      <c r="NTN42" s="44"/>
      <c r="NTO42" s="44"/>
      <c r="NTP42" s="44"/>
      <c r="NTQ42" s="44"/>
      <c r="NTR42" s="44"/>
      <c r="NTS42" s="44"/>
      <c r="NTT42" s="44"/>
      <c r="NTU42" s="44"/>
      <c r="NTV42" s="44"/>
      <c r="NTW42" s="44"/>
      <c r="NTX42" s="44"/>
      <c r="NTY42" s="44"/>
      <c r="NTZ42" s="44"/>
      <c r="NUA42" s="44"/>
      <c r="NUB42" s="44"/>
      <c r="NUC42" s="44"/>
      <c r="NUD42" s="44"/>
      <c r="NUE42" s="44"/>
      <c r="NUF42" s="44"/>
      <c r="NUG42" s="44"/>
      <c r="NUH42" s="44"/>
      <c r="NUI42" s="44"/>
      <c r="NUJ42" s="44"/>
      <c r="NUK42" s="44"/>
      <c r="NUL42" s="44"/>
      <c r="NUM42" s="44"/>
      <c r="NUN42" s="44"/>
      <c r="NUO42" s="44"/>
      <c r="NUP42" s="44"/>
      <c r="NUQ42" s="44"/>
      <c r="NUR42" s="44"/>
      <c r="NUS42" s="44"/>
      <c r="NUT42" s="44"/>
      <c r="NUU42" s="44"/>
      <c r="NUV42" s="44"/>
      <c r="NUW42" s="44"/>
      <c r="NUX42" s="44"/>
      <c r="NUY42" s="44"/>
      <c r="NUZ42" s="44"/>
      <c r="NVA42" s="44"/>
      <c r="NVB42" s="44"/>
      <c r="NVC42" s="44"/>
      <c r="NVD42" s="44"/>
      <c r="NVE42" s="44"/>
      <c r="NVF42" s="44"/>
      <c r="NVG42" s="44"/>
      <c r="NVH42" s="44"/>
      <c r="NVI42" s="44"/>
      <c r="NVJ42" s="44"/>
      <c r="NVK42" s="44"/>
      <c r="NVL42" s="44"/>
      <c r="NVM42" s="44"/>
      <c r="NVN42" s="44"/>
      <c r="NVO42" s="44"/>
      <c r="NVP42" s="44"/>
      <c r="NVQ42" s="44"/>
      <c r="NVR42" s="44"/>
      <c r="NVS42" s="44"/>
      <c r="NVT42" s="44"/>
      <c r="NVU42" s="44"/>
      <c r="NVV42" s="44"/>
      <c r="NVW42" s="44"/>
      <c r="NVX42" s="44"/>
      <c r="NVY42" s="44"/>
      <c r="NVZ42" s="44"/>
      <c r="NWA42" s="44"/>
      <c r="NWB42" s="44"/>
      <c r="NWC42" s="44"/>
      <c r="NWD42" s="44"/>
      <c r="NWE42" s="44"/>
      <c r="NWF42" s="44"/>
      <c r="NWG42" s="44"/>
      <c r="NWH42" s="44"/>
      <c r="NWI42" s="44"/>
      <c r="NWJ42" s="44"/>
      <c r="NWK42" s="44"/>
      <c r="NWL42" s="44"/>
      <c r="NWM42" s="44"/>
      <c r="NWN42" s="44"/>
      <c r="NWO42" s="44"/>
      <c r="NWP42" s="44"/>
      <c r="NWQ42" s="44"/>
      <c r="NWR42" s="44"/>
      <c r="NWS42" s="44"/>
      <c r="NWT42" s="44"/>
      <c r="NWU42" s="44"/>
      <c r="NWV42" s="44"/>
      <c r="NWW42" s="44"/>
      <c r="NWX42" s="44"/>
      <c r="NWY42" s="44"/>
      <c r="NWZ42" s="44"/>
      <c r="NXA42" s="44"/>
      <c r="NXB42" s="44"/>
      <c r="NXC42" s="44"/>
      <c r="NXD42" s="44"/>
      <c r="NXE42" s="44"/>
      <c r="NXF42" s="44"/>
      <c r="NXG42" s="44"/>
      <c r="NXH42" s="44"/>
      <c r="NXI42" s="44"/>
      <c r="NXJ42" s="44"/>
      <c r="NXK42" s="44"/>
      <c r="NXL42" s="44"/>
      <c r="NXM42" s="44"/>
      <c r="NXN42" s="44"/>
      <c r="NXO42" s="44"/>
      <c r="NXP42" s="44"/>
      <c r="NXQ42" s="44"/>
      <c r="NXR42" s="44"/>
      <c r="NXS42" s="44"/>
      <c r="NXT42" s="44"/>
      <c r="NXU42" s="44"/>
      <c r="NXV42" s="44"/>
      <c r="NXW42" s="44"/>
      <c r="NXX42" s="44"/>
      <c r="NXY42" s="44"/>
      <c r="NXZ42" s="44"/>
      <c r="NYA42" s="44"/>
      <c r="NYB42" s="44"/>
      <c r="NYC42" s="44"/>
      <c r="NYD42" s="44"/>
      <c r="NYE42" s="44"/>
      <c r="NYF42" s="44"/>
      <c r="NYG42" s="44"/>
      <c r="NYH42" s="44"/>
      <c r="NYI42" s="44"/>
      <c r="NYJ42" s="44"/>
      <c r="NYK42" s="44"/>
      <c r="NYL42" s="44"/>
      <c r="NYM42" s="44"/>
      <c r="NYN42" s="44"/>
      <c r="NYO42" s="44"/>
      <c r="NYP42" s="44"/>
      <c r="NYQ42" s="44"/>
      <c r="NYR42" s="44"/>
      <c r="NYS42" s="44"/>
      <c r="NYT42" s="44"/>
      <c r="NYU42" s="44"/>
      <c r="NYV42" s="44"/>
      <c r="NYW42" s="44"/>
      <c r="NYX42" s="44"/>
      <c r="NYY42" s="44"/>
      <c r="NYZ42" s="44"/>
      <c r="NZA42" s="44"/>
      <c r="NZB42" s="44"/>
      <c r="NZC42" s="44"/>
      <c r="NZD42" s="44"/>
      <c r="NZE42" s="44"/>
      <c r="NZF42" s="44"/>
      <c r="NZG42" s="44"/>
      <c r="NZH42" s="44"/>
      <c r="NZI42" s="44"/>
      <c r="NZJ42" s="44"/>
      <c r="NZK42" s="44"/>
      <c r="NZL42" s="44"/>
      <c r="NZM42" s="44"/>
      <c r="NZN42" s="44"/>
      <c r="NZO42" s="44"/>
      <c r="NZP42" s="44"/>
      <c r="NZQ42" s="44"/>
      <c r="NZR42" s="44"/>
      <c r="NZS42" s="44"/>
      <c r="NZT42" s="44"/>
      <c r="NZU42" s="44"/>
      <c r="NZV42" s="44"/>
      <c r="NZW42" s="44"/>
      <c r="NZX42" s="44"/>
      <c r="NZY42" s="44"/>
      <c r="NZZ42" s="44"/>
      <c r="OAA42" s="44"/>
      <c r="OAB42" s="44"/>
      <c r="OAC42" s="44"/>
      <c r="OAD42" s="44"/>
      <c r="OAE42" s="44"/>
      <c r="OAF42" s="44"/>
      <c r="OAG42" s="44"/>
      <c r="OAH42" s="44"/>
      <c r="OAI42" s="44"/>
      <c r="OAJ42" s="44"/>
      <c r="OAK42" s="44"/>
      <c r="OAL42" s="44"/>
      <c r="OAM42" s="44"/>
      <c r="OAN42" s="44"/>
      <c r="OAO42" s="44"/>
      <c r="OAP42" s="44"/>
      <c r="OAQ42" s="44"/>
      <c r="OAR42" s="44"/>
      <c r="OAS42" s="44"/>
      <c r="OAT42" s="44"/>
      <c r="OAU42" s="44"/>
      <c r="OAV42" s="44"/>
      <c r="OAW42" s="44"/>
      <c r="OAX42" s="44"/>
      <c r="OAY42" s="44"/>
      <c r="OAZ42" s="44"/>
      <c r="OBA42" s="44"/>
      <c r="OBB42" s="44"/>
      <c r="OBC42" s="44"/>
      <c r="OBD42" s="44"/>
      <c r="OBE42" s="44"/>
      <c r="OBF42" s="44"/>
      <c r="OBG42" s="44"/>
      <c r="OBH42" s="44"/>
      <c r="OBI42" s="44"/>
      <c r="OBJ42" s="44"/>
      <c r="OBK42" s="44"/>
      <c r="OBL42" s="44"/>
      <c r="OBM42" s="44"/>
      <c r="OBN42" s="44"/>
      <c r="OBO42" s="44"/>
      <c r="OBP42" s="44"/>
      <c r="OBQ42" s="44"/>
      <c r="OBR42" s="44"/>
      <c r="OBS42" s="44"/>
      <c r="OBT42" s="44"/>
      <c r="OBU42" s="44"/>
      <c r="OBV42" s="44"/>
      <c r="OBW42" s="44"/>
      <c r="OBX42" s="44"/>
      <c r="OBY42" s="44"/>
      <c r="OBZ42" s="44"/>
      <c r="OCA42" s="44"/>
      <c r="OCB42" s="44"/>
      <c r="OCC42" s="44"/>
      <c r="OCD42" s="44"/>
      <c r="OCE42" s="44"/>
      <c r="OCF42" s="44"/>
      <c r="OCG42" s="44"/>
      <c r="OCH42" s="44"/>
      <c r="OCI42" s="44"/>
      <c r="OCJ42" s="44"/>
      <c r="OCK42" s="44"/>
      <c r="OCL42" s="44"/>
      <c r="OCM42" s="44"/>
      <c r="OCN42" s="44"/>
      <c r="OCO42" s="44"/>
      <c r="OCP42" s="44"/>
      <c r="OCQ42" s="44"/>
      <c r="OCR42" s="44"/>
      <c r="OCS42" s="44"/>
      <c r="OCT42" s="44"/>
      <c r="OCU42" s="44"/>
      <c r="OCV42" s="44"/>
      <c r="OCW42" s="44"/>
      <c r="OCX42" s="44"/>
      <c r="OCY42" s="44"/>
      <c r="OCZ42" s="44"/>
      <c r="ODA42" s="44"/>
      <c r="ODB42" s="44"/>
      <c r="ODC42" s="44"/>
      <c r="ODD42" s="44"/>
      <c r="ODE42" s="44"/>
      <c r="ODF42" s="44"/>
      <c r="ODG42" s="44"/>
      <c r="ODH42" s="44"/>
      <c r="ODI42" s="44"/>
      <c r="ODJ42" s="44"/>
      <c r="ODK42" s="44"/>
      <c r="ODL42" s="44"/>
      <c r="ODM42" s="44"/>
      <c r="ODN42" s="44"/>
      <c r="ODO42" s="44"/>
      <c r="ODP42" s="44"/>
      <c r="ODQ42" s="44"/>
      <c r="ODR42" s="44"/>
      <c r="ODS42" s="44"/>
      <c r="ODT42" s="44"/>
      <c r="ODU42" s="44"/>
      <c r="ODV42" s="44"/>
      <c r="ODW42" s="44"/>
      <c r="ODX42" s="44"/>
      <c r="ODY42" s="44"/>
      <c r="ODZ42" s="44"/>
      <c r="OEA42" s="44"/>
      <c r="OEB42" s="44"/>
      <c r="OEC42" s="44"/>
      <c r="OED42" s="44"/>
      <c r="OEE42" s="44"/>
      <c r="OEF42" s="44"/>
      <c r="OEG42" s="44"/>
      <c r="OEH42" s="44"/>
      <c r="OEI42" s="44"/>
      <c r="OEJ42" s="44"/>
      <c r="OEK42" s="44"/>
      <c r="OEL42" s="44"/>
      <c r="OEM42" s="44"/>
      <c r="OEN42" s="44"/>
      <c r="OEO42" s="44"/>
      <c r="OEP42" s="44"/>
      <c r="OEQ42" s="44"/>
      <c r="OER42" s="44"/>
      <c r="OES42" s="44"/>
      <c r="OET42" s="44"/>
      <c r="OEU42" s="44"/>
      <c r="OEV42" s="44"/>
      <c r="OEW42" s="44"/>
      <c r="OEX42" s="44"/>
      <c r="OEY42" s="44"/>
      <c r="OEZ42" s="44"/>
      <c r="OFA42" s="44"/>
      <c r="OFB42" s="44"/>
      <c r="OFC42" s="44"/>
      <c r="OFD42" s="44"/>
      <c r="OFE42" s="44"/>
      <c r="OFF42" s="44"/>
      <c r="OFG42" s="44"/>
      <c r="OFH42" s="44"/>
      <c r="OFI42" s="44"/>
      <c r="OFJ42" s="44"/>
      <c r="OFK42" s="44"/>
      <c r="OFL42" s="44"/>
      <c r="OFM42" s="44"/>
      <c r="OFN42" s="44"/>
      <c r="OFO42" s="44"/>
      <c r="OFP42" s="44"/>
      <c r="OFQ42" s="44"/>
      <c r="OFR42" s="44"/>
      <c r="OFS42" s="44"/>
      <c r="OFT42" s="44"/>
      <c r="OFU42" s="44"/>
      <c r="OFV42" s="44"/>
      <c r="OFW42" s="44"/>
      <c r="OFX42" s="44"/>
      <c r="OFY42" s="44"/>
      <c r="OFZ42" s="44"/>
      <c r="OGA42" s="44"/>
      <c r="OGB42" s="44"/>
      <c r="OGC42" s="44"/>
      <c r="OGD42" s="44"/>
      <c r="OGE42" s="44"/>
      <c r="OGF42" s="44"/>
      <c r="OGG42" s="44"/>
      <c r="OGH42" s="44"/>
      <c r="OGI42" s="44"/>
      <c r="OGJ42" s="44"/>
      <c r="OGK42" s="44"/>
      <c r="OGL42" s="44"/>
      <c r="OGM42" s="44"/>
      <c r="OGN42" s="44"/>
      <c r="OGO42" s="44"/>
      <c r="OGP42" s="44"/>
      <c r="OGQ42" s="44"/>
      <c r="OGR42" s="44"/>
      <c r="OGS42" s="44"/>
      <c r="OGT42" s="44"/>
      <c r="OGU42" s="44"/>
      <c r="OGV42" s="44"/>
      <c r="OGW42" s="44"/>
      <c r="OGX42" s="44"/>
      <c r="OGY42" s="44"/>
      <c r="OGZ42" s="44"/>
      <c r="OHA42" s="44"/>
      <c r="OHB42" s="44"/>
      <c r="OHC42" s="44"/>
      <c r="OHD42" s="44"/>
      <c r="OHE42" s="44"/>
      <c r="OHF42" s="44"/>
      <c r="OHG42" s="44"/>
      <c r="OHH42" s="44"/>
      <c r="OHI42" s="44"/>
      <c r="OHJ42" s="44"/>
      <c r="OHK42" s="44"/>
      <c r="OHL42" s="44"/>
      <c r="OHM42" s="44"/>
      <c r="OHN42" s="44"/>
      <c r="OHO42" s="44"/>
      <c r="OHP42" s="44"/>
      <c r="OHQ42" s="44"/>
      <c r="OHR42" s="44"/>
      <c r="OHS42" s="44"/>
      <c r="OHT42" s="44"/>
      <c r="OHU42" s="44"/>
      <c r="OHV42" s="44"/>
      <c r="OHW42" s="44"/>
      <c r="OHX42" s="44"/>
      <c r="OHY42" s="44"/>
      <c r="OHZ42" s="44"/>
      <c r="OIA42" s="44"/>
      <c r="OIB42" s="44"/>
      <c r="OIC42" s="44"/>
      <c r="OID42" s="44"/>
      <c r="OIE42" s="44"/>
      <c r="OIF42" s="44"/>
      <c r="OIG42" s="44"/>
      <c r="OIH42" s="44"/>
      <c r="OII42" s="44"/>
      <c r="OIJ42" s="44"/>
      <c r="OIK42" s="44"/>
      <c r="OIL42" s="44"/>
      <c r="OIM42" s="44"/>
      <c r="OIN42" s="44"/>
      <c r="OIO42" s="44"/>
      <c r="OIP42" s="44"/>
      <c r="OIQ42" s="44"/>
      <c r="OIR42" s="44"/>
      <c r="OIS42" s="44"/>
      <c r="OIT42" s="44"/>
      <c r="OIU42" s="44"/>
      <c r="OIV42" s="44"/>
      <c r="OIW42" s="44"/>
      <c r="OIX42" s="44"/>
      <c r="OIY42" s="44"/>
      <c r="OIZ42" s="44"/>
      <c r="OJA42" s="44"/>
      <c r="OJB42" s="44"/>
      <c r="OJC42" s="44"/>
      <c r="OJD42" s="44"/>
      <c r="OJE42" s="44"/>
      <c r="OJF42" s="44"/>
      <c r="OJG42" s="44"/>
      <c r="OJH42" s="44"/>
      <c r="OJI42" s="44"/>
      <c r="OJJ42" s="44"/>
      <c r="OJK42" s="44"/>
      <c r="OJL42" s="44"/>
      <c r="OJM42" s="44"/>
      <c r="OJN42" s="44"/>
      <c r="OJO42" s="44"/>
      <c r="OJP42" s="44"/>
      <c r="OJQ42" s="44"/>
      <c r="OJR42" s="44"/>
      <c r="OJS42" s="44"/>
      <c r="OJT42" s="44"/>
      <c r="OJU42" s="44"/>
      <c r="OJV42" s="44"/>
      <c r="OJW42" s="44"/>
      <c r="OJX42" s="44"/>
      <c r="OJY42" s="44"/>
      <c r="OJZ42" s="44"/>
      <c r="OKA42" s="44"/>
      <c r="OKB42" s="44"/>
      <c r="OKC42" s="44"/>
      <c r="OKD42" s="44"/>
      <c r="OKE42" s="44"/>
      <c r="OKF42" s="44"/>
      <c r="OKG42" s="44"/>
      <c r="OKH42" s="44"/>
      <c r="OKI42" s="44"/>
      <c r="OKJ42" s="44"/>
      <c r="OKK42" s="44"/>
      <c r="OKL42" s="44"/>
      <c r="OKM42" s="44"/>
      <c r="OKN42" s="44"/>
      <c r="OKO42" s="44"/>
      <c r="OKP42" s="44"/>
      <c r="OKQ42" s="44"/>
      <c r="OKR42" s="44"/>
      <c r="OKS42" s="44"/>
      <c r="OKT42" s="44"/>
      <c r="OKU42" s="44"/>
      <c r="OKV42" s="44"/>
      <c r="OKW42" s="44"/>
      <c r="OKX42" s="44"/>
      <c r="OKY42" s="44"/>
      <c r="OKZ42" s="44"/>
      <c r="OLA42" s="44"/>
      <c r="OLB42" s="44"/>
      <c r="OLC42" s="44"/>
      <c r="OLD42" s="44"/>
      <c r="OLE42" s="44"/>
      <c r="OLF42" s="44"/>
      <c r="OLG42" s="44"/>
      <c r="OLH42" s="44"/>
      <c r="OLI42" s="44"/>
      <c r="OLJ42" s="44"/>
      <c r="OLK42" s="44"/>
      <c r="OLL42" s="44"/>
      <c r="OLM42" s="44"/>
      <c r="OLN42" s="44"/>
      <c r="OLO42" s="44"/>
      <c r="OLP42" s="44"/>
      <c r="OLQ42" s="44"/>
      <c r="OLR42" s="44"/>
      <c r="OLS42" s="44"/>
      <c r="OLT42" s="44"/>
      <c r="OLU42" s="44"/>
      <c r="OLV42" s="44"/>
      <c r="OLW42" s="44"/>
      <c r="OLX42" s="44"/>
      <c r="OLY42" s="44"/>
      <c r="OLZ42" s="44"/>
      <c r="OMA42" s="44"/>
      <c r="OMB42" s="44"/>
      <c r="OMC42" s="44"/>
      <c r="OMD42" s="44"/>
      <c r="OME42" s="44"/>
      <c r="OMF42" s="44"/>
      <c r="OMG42" s="44"/>
      <c r="OMH42" s="44"/>
      <c r="OMI42" s="44"/>
      <c r="OMJ42" s="44"/>
      <c r="OMK42" s="44"/>
      <c r="OML42" s="44"/>
      <c r="OMM42" s="44"/>
      <c r="OMN42" s="44"/>
      <c r="OMO42" s="44"/>
      <c r="OMP42" s="44"/>
      <c r="OMQ42" s="44"/>
      <c r="OMR42" s="44"/>
      <c r="OMS42" s="44"/>
      <c r="OMT42" s="44"/>
      <c r="OMU42" s="44"/>
      <c r="OMV42" s="44"/>
      <c r="OMW42" s="44"/>
      <c r="OMX42" s="44"/>
      <c r="OMY42" s="44"/>
      <c r="OMZ42" s="44"/>
      <c r="ONA42" s="44"/>
      <c r="ONB42" s="44"/>
      <c r="ONC42" s="44"/>
      <c r="OND42" s="44"/>
      <c r="ONE42" s="44"/>
      <c r="ONF42" s="44"/>
      <c r="ONG42" s="44"/>
      <c r="ONH42" s="44"/>
      <c r="ONI42" s="44"/>
      <c r="ONJ42" s="44"/>
      <c r="ONK42" s="44"/>
      <c r="ONL42" s="44"/>
      <c r="ONM42" s="44"/>
      <c r="ONN42" s="44"/>
      <c r="ONO42" s="44"/>
      <c r="ONP42" s="44"/>
      <c r="ONQ42" s="44"/>
      <c r="ONR42" s="44"/>
      <c r="ONS42" s="44"/>
      <c r="ONT42" s="44"/>
      <c r="ONU42" s="44"/>
      <c r="ONV42" s="44"/>
      <c r="ONW42" s="44"/>
      <c r="ONX42" s="44"/>
      <c r="ONY42" s="44"/>
      <c r="ONZ42" s="44"/>
      <c r="OOA42" s="44"/>
      <c r="OOB42" s="44"/>
      <c r="OOC42" s="44"/>
      <c r="OOD42" s="44"/>
      <c r="OOE42" s="44"/>
      <c r="OOF42" s="44"/>
      <c r="OOG42" s="44"/>
      <c r="OOH42" s="44"/>
      <c r="OOI42" s="44"/>
      <c r="OOJ42" s="44"/>
      <c r="OOK42" s="44"/>
      <c r="OOL42" s="44"/>
      <c r="OOM42" s="44"/>
      <c r="OON42" s="44"/>
      <c r="OOO42" s="44"/>
      <c r="OOP42" s="44"/>
      <c r="OOQ42" s="44"/>
      <c r="OOR42" s="44"/>
      <c r="OOS42" s="44"/>
      <c r="OOT42" s="44"/>
      <c r="OOU42" s="44"/>
      <c r="OOV42" s="44"/>
      <c r="OOW42" s="44"/>
      <c r="OOX42" s="44"/>
      <c r="OOY42" s="44"/>
      <c r="OOZ42" s="44"/>
      <c r="OPA42" s="44"/>
      <c r="OPB42" s="44"/>
      <c r="OPC42" s="44"/>
      <c r="OPD42" s="44"/>
      <c r="OPE42" s="44"/>
      <c r="OPF42" s="44"/>
      <c r="OPG42" s="44"/>
      <c r="OPH42" s="44"/>
      <c r="OPI42" s="44"/>
      <c r="OPJ42" s="44"/>
      <c r="OPK42" s="44"/>
      <c r="OPL42" s="44"/>
      <c r="OPM42" s="44"/>
      <c r="OPN42" s="44"/>
      <c r="OPO42" s="44"/>
      <c r="OPP42" s="44"/>
      <c r="OPQ42" s="44"/>
      <c r="OPR42" s="44"/>
      <c r="OPS42" s="44"/>
      <c r="OPT42" s="44"/>
      <c r="OPU42" s="44"/>
      <c r="OPV42" s="44"/>
      <c r="OPW42" s="44"/>
      <c r="OPX42" s="44"/>
      <c r="OPY42" s="44"/>
      <c r="OPZ42" s="44"/>
      <c r="OQA42" s="44"/>
      <c r="OQB42" s="44"/>
      <c r="OQC42" s="44"/>
      <c r="OQD42" s="44"/>
      <c r="OQE42" s="44"/>
      <c r="OQF42" s="44"/>
      <c r="OQG42" s="44"/>
      <c r="OQH42" s="44"/>
      <c r="OQI42" s="44"/>
      <c r="OQJ42" s="44"/>
      <c r="OQK42" s="44"/>
      <c r="OQL42" s="44"/>
      <c r="OQM42" s="44"/>
      <c r="OQN42" s="44"/>
      <c r="OQO42" s="44"/>
      <c r="OQP42" s="44"/>
      <c r="OQQ42" s="44"/>
      <c r="OQR42" s="44"/>
      <c r="OQS42" s="44"/>
      <c r="OQT42" s="44"/>
      <c r="OQU42" s="44"/>
      <c r="OQV42" s="44"/>
      <c r="OQW42" s="44"/>
      <c r="OQX42" s="44"/>
      <c r="OQY42" s="44"/>
      <c r="OQZ42" s="44"/>
      <c r="ORA42" s="44"/>
      <c r="ORB42" s="44"/>
      <c r="ORC42" s="44"/>
      <c r="ORD42" s="44"/>
      <c r="ORE42" s="44"/>
      <c r="ORF42" s="44"/>
      <c r="ORG42" s="44"/>
      <c r="ORH42" s="44"/>
      <c r="ORI42" s="44"/>
      <c r="ORJ42" s="44"/>
      <c r="ORK42" s="44"/>
      <c r="ORL42" s="44"/>
      <c r="ORM42" s="44"/>
      <c r="ORN42" s="44"/>
      <c r="ORO42" s="44"/>
      <c r="ORP42" s="44"/>
      <c r="ORQ42" s="44"/>
      <c r="ORR42" s="44"/>
      <c r="ORS42" s="44"/>
      <c r="ORT42" s="44"/>
      <c r="ORU42" s="44"/>
      <c r="ORV42" s="44"/>
      <c r="ORW42" s="44"/>
      <c r="ORX42" s="44"/>
      <c r="ORY42" s="44"/>
      <c r="ORZ42" s="44"/>
      <c r="OSA42" s="44"/>
      <c r="OSB42" s="44"/>
      <c r="OSC42" s="44"/>
      <c r="OSD42" s="44"/>
      <c r="OSE42" s="44"/>
      <c r="OSF42" s="44"/>
      <c r="OSG42" s="44"/>
      <c r="OSH42" s="44"/>
      <c r="OSI42" s="44"/>
      <c r="OSJ42" s="44"/>
      <c r="OSK42" s="44"/>
      <c r="OSL42" s="44"/>
      <c r="OSM42" s="44"/>
      <c r="OSN42" s="44"/>
      <c r="OSO42" s="44"/>
      <c r="OSP42" s="44"/>
      <c r="OSQ42" s="44"/>
      <c r="OSR42" s="44"/>
      <c r="OSS42" s="44"/>
      <c r="OST42" s="44"/>
      <c r="OSU42" s="44"/>
      <c r="OSV42" s="44"/>
      <c r="OSW42" s="44"/>
      <c r="OSX42" s="44"/>
      <c r="OSY42" s="44"/>
      <c r="OSZ42" s="44"/>
      <c r="OTA42" s="44"/>
      <c r="OTB42" s="44"/>
      <c r="OTC42" s="44"/>
      <c r="OTD42" s="44"/>
      <c r="OTE42" s="44"/>
      <c r="OTF42" s="44"/>
      <c r="OTG42" s="44"/>
      <c r="OTH42" s="44"/>
      <c r="OTI42" s="44"/>
      <c r="OTJ42" s="44"/>
      <c r="OTK42" s="44"/>
      <c r="OTL42" s="44"/>
      <c r="OTM42" s="44"/>
      <c r="OTN42" s="44"/>
      <c r="OTO42" s="44"/>
      <c r="OTP42" s="44"/>
      <c r="OTQ42" s="44"/>
      <c r="OTR42" s="44"/>
      <c r="OTS42" s="44"/>
      <c r="OTT42" s="44"/>
      <c r="OTU42" s="44"/>
      <c r="OTV42" s="44"/>
      <c r="OTW42" s="44"/>
      <c r="OTX42" s="44"/>
      <c r="OTY42" s="44"/>
      <c r="OTZ42" s="44"/>
      <c r="OUA42" s="44"/>
      <c r="OUB42" s="44"/>
      <c r="OUC42" s="44"/>
      <c r="OUD42" s="44"/>
      <c r="OUE42" s="44"/>
      <c r="OUF42" s="44"/>
      <c r="OUG42" s="44"/>
      <c r="OUH42" s="44"/>
      <c r="OUI42" s="44"/>
      <c r="OUJ42" s="44"/>
      <c r="OUK42" s="44"/>
      <c r="OUL42" s="44"/>
      <c r="OUM42" s="44"/>
      <c r="OUN42" s="44"/>
      <c r="OUO42" s="44"/>
      <c r="OUP42" s="44"/>
      <c r="OUQ42" s="44"/>
      <c r="OUR42" s="44"/>
      <c r="OUS42" s="44"/>
      <c r="OUT42" s="44"/>
      <c r="OUU42" s="44"/>
      <c r="OUV42" s="44"/>
      <c r="OUW42" s="44"/>
      <c r="OUX42" s="44"/>
      <c r="OUY42" s="44"/>
      <c r="OUZ42" s="44"/>
      <c r="OVA42" s="44"/>
      <c r="OVB42" s="44"/>
      <c r="OVC42" s="44"/>
      <c r="OVD42" s="44"/>
      <c r="OVE42" s="44"/>
      <c r="OVF42" s="44"/>
      <c r="OVG42" s="44"/>
      <c r="OVH42" s="44"/>
      <c r="OVI42" s="44"/>
      <c r="OVJ42" s="44"/>
      <c r="OVK42" s="44"/>
      <c r="OVL42" s="44"/>
      <c r="OVM42" s="44"/>
      <c r="OVN42" s="44"/>
      <c r="OVO42" s="44"/>
      <c r="OVP42" s="44"/>
      <c r="OVQ42" s="44"/>
      <c r="OVR42" s="44"/>
      <c r="OVS42" s="44"/>
      <c r="OVT42" s="44"/>
      <c r="OVU42" s="44"/>
      <c r="OVV42" s="44"/>
      <c r="OVW42" s="44"/>
      <c r="OVX42" s="44"/>
      <c r="OVY42" s="44"/>
      <c r="OVZ42" s="44"/>
      <c r="OWA42" s="44"/>
      <c r="OWB42" s="44"/>
      <c r="OWC42" s="44"/>
      <c r="OWD42" s="44"/>
      <c r="OWE42" s="44"/>
      <c r="OWF42" s="44"/>
      <c r="OWG42" s="44"/>
      <c r="OWH42" s="44"/>
      <c r="OWI42" s="44"/>
      <c r="OWJ42" s="44"/>
      <c r="OWK42" s="44"/>
      <c r="OWL42" s="44"/>
      <c r="OWM42" s="44"/>
      <c r="OWN42" s="44"/>
      <c r="OWO42" s="44"/>
      <c r="OWP42" s="44"/>
      <c r="OWQ42" s="44"/>
      <c r="OWR42" s="44"/>
      <c r="OWS42" s="44"/>
      <c r="OWT42" s="44"/>
      <c r="OWU42" s="44"/>
      <c r="OWV42" s="44"/>
      <c r="OWW42" s="44"/>
      <c r="OWX42" s="44"/>
      <c r="OWY42" s="44"/>
      <c r="OWZ42" s="44"/>
      <c r="OXA42" s="44"/>
      <c r="OXB42" s="44"/>
      <c r="OXC42" s="44"/>
      <c r="OXD42" s="44"/>
      <c r="OXE42" s="44"/>
      <c r="OXF42" s="44"/>
      <c r="OXG42" s="44"/>
      <c r="OXH42" s="44"/>
      <c r="OXI42" s="44"/>
      <c r="OXJ42" s="44"/>
      <c r="OXK42" s="44"/>
      <c r="OXL42" s="44"/>
      <c r="OXM42" s="44"/>
      <c r="OXN42" s="44"/>
      <c r="OXO42" s="44"/>
      <c r="OXP42" s="44"/>
      <c r="OXQ42" s="44"/>
      <c r="OXR42" s="44"/>
      <c r="OXS42" s="44"/>
      <c r="OXT42" s="44"/>
      <c r="OXU42" s="44"/>
      <c r="OXV42" s="44"/>
      <c r="OXW42" s="44"/>
      <c r="OXX42" s="44"/>
      <c r="OXY42" s="44"/>
      <c r="OXZ42" s="44"/>
      <c r="OYA42" s="44"/>
      <c r="OYB42" s="44"/>
      <c r="OYC42" s="44"/>
      <c r="OYD42" s="44"/>
      <c r="OYE42" s="44"/>
      <c r="OYF42" s="44"/>
      <c r="OYG42" s="44"/>
      <c r="OYH42" s="44"/>
      <c r="OYI42" s="44"/>
      <c r="OYJ42" s="44"/>
      <c r="OYK42" s="44"/>
      <c r="OYL42" s="44"/>
      <c r="OYM42" s="44"/>
      <c r="OYN42" s="44"/>
      <c r="OYO42" s="44"/>
      <c r="OYP42" s="44"/>
      <c r="OYQ42" s="44"/>
      <c r="OYR42" s="44"/>
      <c r="OYS42" s="44"/>
      <c r="OYT42" s="44"/>
      <c r="OYU42" s="44"/>
      <c r="OYV42" s="44"/>
      <c r="OYW42" s="44"/>
      <c r="OYX42" s="44"/>
      <c r="OYY42" s="44"/>
      <c r="OYZ42" s="44"/>
      <c r="OZA42" s="44"/>
      <c r="OZB42" s="44"/>
      <c r="OZC42" s="44"/>
      <c r="OZD42" s="44"/>
      <c r="OZE42" s="44"/>
      <c r="OZF42" s="44"/>
      <c r="OZG42" s="44"/>
      <c r="OZH42" s="44"/>
      <c r="OZI42" s="44"/>
      <c r="OZJ42" s="44"/>
      <c r="OZK42" s="44"/>
      <c r="OZL42" s="44"/>
      <c r="OZM42" s="44"/>
      <c r="OZN42" s="44"/>
      <c r="OZO42" s="44"/>
      <c r="OZP42" s="44"/>
      <c r="OZQ42" s="44"/>
      <c r="OZR42" s="44"/>
      <c r="OZS42" s="44"/>
      <c r="OZT42" s="44"/>
      <c r="OZU42" s="44"/>
      <c r="OZV42" s="44"/>
      <c r="OZW42" s="44"/>
      <c r="OZX42" s="44"/>
      <c r="OZY42" s="44"/>
      <c r="OZZ42" s="44"/>
      <c r="PAA42" s="44"/>
      <c r="PAB42" s="44"/>
      <c r="PAC42" s="44"/>
      <c r="PAD42" s="44"/>
      <c r="PAE42" s="44"/>
      <c r="PAF42" s="44"/>
      <c r="PAG42" s="44"/>
      <c r="PAH42" s="44"/>
      <c r="PAI42" s="44"/>
      <c r="PAJ42" s="44"/>
      <c r="PAK42" s="44"/>
      <c r="PAL42" s="44"/>
      <c r="PAM42" s="44"/>
      <c r="PAN42" s="44"/>
      <c r="PAO42" s="44"/>
      <c r="PAP42" s="44"/>
      <c r="PAQ42" s="44"/>
      <c r="PAR42" s="44"/>
      <c r="PAS42" s="44"/>
      <c r="PAT42" s="44"/>
      <c r="PAU42" s="44"/>
      <c r="PAV42" s="44"/>
      <c r="PAW42" s="44"/>
      <c r="PAX42" s="44"/>
      <c r="PAY42" s="44"/>
      <c r="PAZ42" s="44"/>
      <c r="PBA42" s="44"/>
      <c r="PBB42" s="44"/>
      <c r="PBC42" s="44"/>
      <c r="PBD42" s="44"/>
      <c r="PBE42" s="44"/>
      <c r="PBF42" s="44"/>
      <c r="PBG42" s="44"/>
      <c r="PBH42" s="44"/>
      <c r="PBI42" s="44"/>
      <c r="PBJ42" s="44"/>
      <c r="PBK42" s="44"/>
      <c r="PBL42" s="44"/>
      <c r="PBM42" s="44"/>
      <c r="PBN42" s="44"/>
      <c r="PBO42" s="44"/>
      <c r="PBP42" s="44"/>
      <c r="PBQ42" s="44"/>
      <c r="PBR42" s="44"/>
      <c r="PBS42" s="44"/>
      <c r="PBT42" s="44"/>
      <c r="PBU42" s="44"/>
      <c r="PBV42" s="44"/>
      <c r="PBW42" s="44"/>
      <c r="PBX42" s="44"/>
      <c r="PBY42" s="44"/>
      <c r="PBZ42" s="44"/>
      <c r="PCA42" s="44"/>
      <c r="PCB42" s="44"/>
      <c r="PCC42" s="44"/>
      <c r="PCD42" s="44"/>
      <c r="PCE42" s="44"/>
      <c r="PCF42" s="44"/>
      <c r="PCG42" s="44"/>
      <c r="PCH42" s="44"/>
      <c r="PCI42" s="44"/>
      <c r="PCJ42" s="44"/>
      <c r="PCK42" s="44"/>
      <c r="PCL42" s="44"/>
      <c r="PCM42" s="44"/>
      <c r="PCN42" s="44"/>
      <c r="PCO42" s="44"/>
      <c r="PCP42" s="44"/>
      <c r="PCQ42" s="44"/>
      <c r="PCR42" s="44"/>
      <c r="PCS42" s="44"/>
      <c r="PCT42" s="44"/>
      <c r="PCU42" s="44"/>
      <c r="PCV42" s="44"/>
      <c r="PCW42" s="44"/>
      <c r="PCX42" s="44"/>
      <c r="PCY42" s="44"/>
      <c r="PCZ42" s="44"/>
      <c r="PDA42" s="44"/>
      <c r="PDB42" s="44"/>
      <c r="PDC42" s="44"/>
      <c r="PDD42" s="44"/>
      <c r="PDE42" s="44"/>
      <c r="PDF42" s="44"/>
      <c r="PDG42" s="44"/>
      <c r="PDH42" s="44"/>
      <c r="PDI42" s="44"/>
      <c r="PDJ42" s="44"/>
      <c r="PDK42" s="44"/>
      <c r="PDL42" s="44"/>
      <c r="PDM42" s="44"/>
      <c r="PDN42" s="44"/>
      <c r="PDO42" s="44"/>
      <c r="PDP42" s="44"/>
      <c r="PDQ42" s="44"/>
      <c r="PDR42" s="44"/>
      <c r="PDS42" s="44"/>
      <c r="PDT42" s="44"/>
      <c r="PDU42" s="44"/>
      <c r="PDV42" s="44"/>
      <c r="PDW42" s="44"/>
      <c r="PDX42" s="44"/>
      <c r="PDY42" s="44"/>
      <c r="PDZ42" s="44"/>
      <c r="PEA42" s="44"/>
      <c r="PEB42" s="44"/>
      <c r="PEC42" s="44"/>
      <c r="PED42" s="44"/>
      <c r="PEE42" s="44"/>
      <c r="PEF42" s="44"/>
      <c r="PEG42" s="44"/>
      <c r="PEH42" s="44"/>
      <c r="PEI42" s="44"/>
      <c r="PEJ42" s="44"/>
      <c r="PEK42" s="44"/>
      <c r="PEL42" s="44"/>
      <c r="PEM42" s="44"/>
      <c r="PEN42" s="44"/>
      <c r="PEO42" s="44"/>
      <c r="PEP42" s="44"/>
      <c r="PEQ42" s="44"/>
      <c r="PER42" s="44"/>
      <c r="PES42" s="44"/>
      <c r="PET42" s="44"/>
      <c r="PEU42" s="44"/>
      <c r="PEV42" s="44"/>
      <c r="PEW42" s="44"/>
      <c r="PEX42" s="44"/>
      <c r="PEY42" s="44"/>
      <c r="PEZ42" s="44"/>
      <c r="PFA42" s="44"/>
      <c r="PFB42" s="44"/>
      <c r="PFC42" s="44"/>
      <c r="PFD42" s="44"/>
      <c r="PFE42" s="44"/>
      <c r="PFF42" s="44"/>
      <c r="PFG42" s="44"/>
      <c r="PFH42" s="44"/>
      <c r="PFI42" s="44"/>
      <c r="PFJ42" s="44"/>
      <c r="PFK42" s="44"/>
      <c r="PFL42" s="44"/>
      <c r="PFM42" s="44"/>
      <c r="PFN42" s="44"/>
      <c r="PFO42" s="44"/>
      <c r="PFP42" s="44"/>
      <c r="PFQ42" s="44"/>
      <c r="PFR42" s="44"/>
      <c r="PFS42" s="44"/>
      <c r="PFT42" s="44"/>
      <c r="PFU42" s="44"/>
      <c r="PFV42" s="44"/>
      <c r="PFW42" s="44"/>
      <c r="PFX42" s="44"/>
      <c r="PFY42" s="44"/>
      <c r="PFZ42" s="44"/>
      <c r="PGA42" s="44"/>
      <c r="PGB42" s="44"/>
      <c r="PGC42" s="44"/>
      <c r="PGD42" s="44"/>
      <c r="PGE42" s="44"/>
      <c r="PGF42" s="44"/>
      <c r="PGG42" s="44"/>
      <c r="PGH42" s="44"/>
      <c r="PGI42" s="44"/>
      <c r="PGJ42" s="44"/>
      <c r="PGK42" s="44"/>
      <c r="PGL42" s="44"/>
      <c r="PGM42" s="44"/>
      <c r="PGN42" s="44"/>
      <c r="PGO42" s="44"/>
      <c r="PGP42" s="44"/>
      <c r="PGQ42" s="44"/>
      <c r="PGR42" s="44"/>
      <c r="PGS42" s="44"/>
      <c r="PGT42" s="44"/>
      <c r="PGU42" s="44"/>
      <c r="PGV42" s="44"/>
      <c r="PGW42" s="44"/>
      <c r="PGX42" s="44"/>
      <c r="PGY42" s="44"/>
      <c r="PGZ42" s="44"/>
      <c r="PHA42" s="44"/>
      <c r="PHB42" s="44"/>
      <c r="PHC42" s="44"/>
      <c r="PHD42" s="44"/>
      <c r="PHE42" s="44"/>
      <c r="PHF42" s="44"/>
      <c r="PHG42" s="44"/>
      <c r="PHH42" s="44"/>
      <c r="PHI42" s="44"/>
      <c r="PHJ42" s="44"/>
      <c r="PHK42" s="44"/>
      <c r="PHL42" s="44"/>
      <c r="PHM42" s="44"/>
      <c r="PHN42" s="44"/>
      <c r="PHO42" s="44"/>
      <c r="PHP42" s="44"/>
      <c r="PHQ42" s="44"/>
      <c r="PHR42" s="44"/>
      <c r="PHS42" s="44"/>
      <c r="PHT42" s="44"/>
      <c r="PHU42" s="44"/>
      <c r="PHV42" s="44"/>
      <c r="PHW42" s="44"/>
      <c r="PHX42" s="44"/>
      <c r="PHY42" s="44"/>
      <c r="PHZ42" s="44"/>
      <c r="PIA42" s="44"/>
      <c r="PIB42" s="44"/>
      <c r="PIC42" s="44"/>
      <c r="PID42" s="44"/>
      <c r="PIE42" s="44"/>
      <c r="PIF42" s="44"/>
      <c r="PIG42" s="44"/>
      <c r="PIH42" s="44"/>
      <c r="PII42" s="44"/>
      <c r="PIJ42" s="44"/>
      <c r="PIK42" s="44"/>
      <c r="PIL42" s="44"/>
      <c r="PIM42" s="44"/>
      <c r="PIN42" s="44"/>
      <c r="PIO42" s="44"/>
      <c r="PIP42" s="44"/>
      <c r="PIQ42" s="44"/>
      <c r="PIR42" s="44"/>
      <c r="PIS42" s="44"/>
      <c r="PIT42" s="44"/>
      <c r="PIU42" s="44"/>
      <c r="PIV42" s="44"/>
      <c r="PIW42" s="44"/>
      <c r="PIX42" s="44"/>
      <c r="PIY42" s="44"/>
      <c r="PIZ42" s="44"/>
      <c r="PJA42" s="44"/>
      <c r="PJB42" s="44"/>
      <c r="PJC42" s="44"/>
      <c r="PJD42" s="44"/>
      <c r="PJE42" s="44"/>
      <c r="PJF42" s="44"/>
      <c r="PJG42" s="44"/>
      <c r="PJH42" s="44"/>
      <c r="PJI42" s="44"/>
      <c r="PJJ42" s="44"/>
      <c r="PJK42" s="44"/>
      <c r="PJL42" s="44"/>
      <c r="PJM42" s="44"/>
      <c r="PJN42" s="44"/>
      <c r="PJO42" s="44"/>
      <c r="PJP42" s="44"/>
      <c r="PJQ42" s="44"/>
      <c r="PJR42" s="44"/>
      <c r="PJS42" s="44"/>
      <c r="PJT42" s="44"/>
      <c r="PJU42" s="44"/>
      <c r="PJV42" s="44"/>
      <c r="PJW42" s="44"/>
      <c r="PJX42" s="44"/>
      <c r="PJY42" s="44"/>
      <c r="PJZ42" s="44"/>
      <c r="PKA42" s="44"/>
      <c r="PKB42" s="44"/>
      <c r="PKC42" s="44"/>
      <c r="PKD42" s="44"/>
      <c r="PKE42" s="44"/>
      <c r="PKF42" s="44"/>
      <c r="PKG42" s="44"/>
      <c r="PKH42" s="44"/>
      <c r="PKI42" s="44"/>
      <c r="PKJ42" s="44"/>
      <c r="PKK42" s="44"/>
      <c r="PKL42" s="44"/>
      <c r="PKM42" s="44"/>
      <c r="PKN42" s="44"/>
      <c r="PKO42" s="44"/>
      <c r="PKP42" s="44"/>
      <c r="PKQ42" s="44"/>
      <c r="PKR42" s="44"/>
      <c r="PKS42" s="44"/>
      <c r="PKT42" s="44"/>
      <c r="PKU42" s="44"/>
      <c r="PKV42" s="44"/>
      <c r="PKW42" s="44"/>
      <c r="PKX42" s="44"/>
      <c r="PKY42" s="44"/>
      <c r="PKZ42" s="44"/>
      <c r="PLA42" s="44"/>
      <c r="PLB42" s="44"/>
      <c r="PLC42" s="44"/>
      <c r="PLD42" s="44"/>
      <c r="PLE42" s="44"/>
      <c r="PLF42" s="44"/>
      <c r="PLG42" s="44"/>
      <c r="PLH42" s="44"/>
      <c r="PLI42" s="44"/>
      <c r="PLJ42" s="44"/>
      <c r="PLK42" s="44"/>
      <c r="PLL42" s="44"/>
      <c r="PLM42" s="44"/>
      <c r="PLN42" s="44"/>
      <c r="PLO42" s="44"/>
      <c r="PLP42" s="44"/>
      <c r="PLQ42" s="44"/>
      <c r="PLR42" s="44"/>
      <c r="PLS42" s="44"/>
      <c r="PLT42" s="44"/>
      <c r="PLU42" s="44"/>
      <c r="PLV42" s="44"/>
      <c r="PLW42" s="44"/>
      <c r="PLX42" s="44"/>
      <c r="PLY42" s="44"/>
      <c r="PLZ42" s="44"/>
      <c r="PMA42" s="44"/>
      <c r="PMB42" s="44"/>
      <c r="PMC42" s="44"/>
      <c r="PMD42" s="44"/>
      <c r="PME42" s="44"/>
      <c r="PMF42" s="44"/>
      <c r="PMG42" s="44"/>
      <c r="PMH42" s="44"/>
      <c r="PMI42" s="44"/>
      <c r="PMJ42" s="44"/>
      <c r="PMK42" s="44"/>
      <c r="PML42" s="44"/>
      <c r="PMM42" s="44"/>
      <c r="PMN42" s="44"/>
      <c r="PMO42" s="44"/>
      <c r="PMP42" s="44"/>
      <c r="PMQ42" s="44"/>
      <c r="PMR42" s="44"/>
      <c r="PMS42" s="44"/>
      <c r="PMT42" s="44"/>
      <c r="PMU42" s="44"/>
      <c r="PMV42" s="44"/>
      <c r="PMW42" s="44"/>
      <c r="PMX42" s="44"/>
      <c r="PMY42" s="44"/>
      <c r="PMZ42" s="44"/>
      <c r="PNA42" s="44"/>
      <c r="PNB42" s="44"/>
      <c r="PNC42" s="44"/>
      <c r="PND42" s="44"/>
      <c r="PNE42" s="44"/>
      <c r="PNF42" s="44"/>
      <c r="PNG42" s="44"/>
      <c r="PNH42" s="44"/>
      <c r="PNI42" s="44"/>
      <c r="PNJ42" s="44"/>
      <c r="PNK42" s="44"/>
      <c r="PNL42" s="44"/>
      <c r="PNM42" s="44"/>
      <c r="PNN42" s="44"/>
      <c r="PNO42" s="44"/>
      <c r="PNP42" s="44"/>
      <c r="PNQ42" s="44"/>
      <c r="PNR42" s="44"/>
      <c r="PNS42" s="44"/>
      <c r="PNT42" s="44"/>
      <c r="PNU42" s="44"/>
      <c r="PNV42" s="44"/>
      <c r="PNW42" s="44"/>
      <c r="PNX42" s="44"/>
      <c r="PNY42" s="44"/>
      <c r="PNZ42" s="44"/>
      <c r="POA42" s="44"/>
      <c r="POB42" s="44"/>
      <c r="POC42" s="44"/>
      <c r="POD42" s="44"/>
      <c r="POE42" s="44"/>
      <c r="POF42" s="44"/>
      <c r="POG42" s="44"/>
      <c r="POH42" s="44"/>
      <c r="POI42" s="44"/>
      <c r="POJ42" s="44"/>
      <c r="POK42" s="44"/>
      <c r="POL42" s="44"/>
      <c r="POM42" s="44"/>
      <c r="PON42" s="44"/>
      <c r="POO42" s="44"/>
      <c r="POP42" s="44"/>
      <c r="POQ42" s="44"/>
      <c r="POR42" s="44"/>
      <c r="POS42" s="44"/>
      <c r="POT42" s="44"/>
      <c r="POU42" s="44"/>
      <c r="POV42" s="44"/>
      <c r="POW42" s="44"/>
      <c r="POX42" s="44"/>
      <c r="POY42" s="44"/>
      <c r="POZ42" s="44"/>
      <c r="PPA42" s="44"/>
      <c r="PPB42" s="44"/>
      <c r="PPC42" s="44"/>
      <c r="PPD42" s="44"/>
      <c r="PPE42" s="44"/>
      <c r="PPF42" s="44"/>
      <c r="PPG42" s="44"/>
      <c r="PPH42" s="44"/>
      <c r="PPI42" s="44"/>
      <c r="PPJ42" s="44"/>
      <c r="PPK42" s="44"/>
      <c r="PPL42" s="44"/>
      <c r="PPM42" s="44"/>
      <c r="PPN42" s="44"/>
      <c r="PPO42" s="44"/>
      <c r="PPP42" s="44"/>
      <c r="PPQ42" s="44"/>
      <c r="PPR42" s="44"/>
      <c r="PPS42" s="44"/>
      <c r="PPT42" s="44"/>
      <c r="PPU42" s="44"/>
      <c r="PPV42" s="44"/>
      <c r="PPW42" s="44"/>
      <c r="PPX42" s="44"/>
      <c r="PPY42" s="44"/>
      <c r="PPZ42" s="44"/>
      <c r="PQA42" s="44"/>
      <c r="PQB42" s="44"/>
      <c r="PQC42" s="44"/>
      <c r="PQD42" s="44"/>
      <c r="PQE42" s="44"/>
      <c r="PQF42" s="44"/>
      <c r="PQG42" s="44"/>
      <c r="PQH42" s="44"/>
      <c r="PQI42" s="44"/>
      <c r="PQJ42" s="44"/>
      <c r="PQK42" s="44"/>
      <c r="PQL42" s="44"/>
      <c r="PQM42" s="44"/>
      <c r="PQN42" s="44"/>
      <c r="PQO42" s="44"/>
      <c r="PQP42" s="44"/>
      <c r="PQQ42" s="44"/>
      <c r="PQR42" s="44"/>
      <c r="PQS42" s="44"/>
      <c r="PQT42" s="44"/>
      <c r="PQU42" s="44"/>
      <c r="PQV42" s="44"/>
      <c r="PQW42" s="44"/>
      <c r="PQX42" s="44"/>
      <c r="PQY42" s="44"/>
      <c r="PQZ42" s="44"/>
      <c r="PRA42" s="44"/>
      <c r="PRB42" s="44"/>
      <c r="PRC42" s="44"/>
      <c r="PRD42" s="44"/>
      <c r="PRE42" s="44"/>
      <c r="PRF42" s="44"/>
      <c r="PRG42" s="44"/>
      <c r="PRH42" s="44"/>
      <c r="PRI42" s="44"/>
      <c r="PRJ42" s="44"/>
      <c r="PRK42" s="44"/>
      <c r="PRL42" s="44"/>
      <c r="PRM42" s="44"/>
      <c r="PRN42" s="44"/>
      <c r="PRO42" s="44"/>
      <c r="PRP42" s="44"/>
      <c r="PRQ42" s="44"/>
      <c r="PRR42" s="44"/>
      <c r="PRS42" s="44"/>
      <c r="PRT42" s="44"/>
      <c r="PRU42" s="44"/>
      <c r="PRV42" s="44"/>
      <c r="PRW42" s="44"/>
      <c r="PRX42" s="44"/>
      <c r="PRY42" s="44"/>
      <c r="PRZ42" s="44"/>
      <c r="PSA42" s="44"/>
      <c r="PSB42" s="44"/>
      <c r="PSC42" s="44"/>
      <c r="PSD42" s="44"/>
      <c r="PSE42" s="44"/>
      <c r="PSF42" s="44"/>
      <c r="PSG42" s="44"/>
      <c r="PSH42" s="44"/>
      <c r="PSI42" s="44"/>
      <c r="PSJ42" s="44"/>
      <c r="PSK42" s="44"/>
      <c r="PSL42" s="44"/>
      <c r="PSM42" s="44"/>
      <c r="PSN42" s="44"/>
      <c r="PSO42" s="44"/>
      <c r="PSP42" s="44"/>
      <c r="PSQ42" s="44"/>
      <c r="PSR42" s="44"/>
      <c r="PSS42" s="44"/>
      <c r="PST42" s="44"/>
      <c r="PSU42" s="44"/>
      <c r="PSV42" s="44"/>
      <c r="PSW42" s="44"/>
      <c r="PSX42" s="44"/>
      <c r="PSY42" s="44"/>
      <c r="PSZ42" s="44"/>
      <c r="PTA42" s="44"/>
      <c r="PTB42" s="44"/>
      <c r="PTC42" s="44"/>
      <c r="PTD42" s="44"/>
      <c r="PTE42" s="44"/>
      <c r="PTF42" s="44"/>
      <c r="PTG42" s="44"/>
      <c r="PTH42" s="44"/>
      <c r="PTI42" s="44"/>
      <c r="PTJ42" s="44"/>
      <c r="PTK42" s="44"/>
      <c r="PTL42" s="44"/>
      <c r="PTM42" s="44"/>
      <c r="PTN42" s="44"/>
      <c r="PTO42" s="44"/>
      <c r="PTP42" s="44"/>
      <c r="PTQ42" s="44"/>
      <c r="PTR42" s="44"/>
      <c r="PTS42" s="44"/>
      <c r="PTT42" s="44"/>
      <c r="PTU42" s="44"/>
      <c r="PTV42" s="44"/>
      <c r="PTW42" s="44"/>
      <c r="PTX42" s="44"/>
      <c r="PTY42" s="44"/>
      <c r="PTZ42" s="44"/>
      <c r="PUA42" s="44"/>
      <c r="PUB42" s="44"/>
      <c r="PUC42" s="44"/>
      <c r="PUD42" s="44"/>
      <c r="PUE42" s="44"/>
      <c r="PUF42" s="44"/>
      <c r="PUG42" s="44"/>
      <c r="PUH42" s="44"/>
      <c r="PUI42" s="44"/>
      <c r="PUJ42" s="44"/>
      <c r="PUK42" s="44"/>
      <c r="PUL42" s="44"/>
      <c r="PUM42" s="44"/>
      <c r="PUN42" s="44"/>
      <c r="PUO42" s="44"/>
      <c r="PUP42" s="44"/>
      <c r="PUQ42" s="44"/>
      <c r="PUR42" s="44"/>
      <c r="PUS42" s="44"/>
      <c r="PUT42" s="44"/>
      <c r="PUU42" s="44"/>
      <c r="PUV42" s="44"/>
      <c r="PUW42" s="44"/>
      <c r="PUX42" s="44"/>
      <c r="PUY42" s="44"/>
      <c r="PUZ42" s="44"/>
      <c r="PVA42" s="44"/>
      <c r="PVB42" s="44"/>
      <c r="PVC42" s="44"/>
      <c r="PVD42" s="44"/>
      <c r="PVE42" s="44"/>
      <c r="PVF42" s="44"/>
      <c r="PVG42" s="44"/>
      <c r="PVH42" s="44"/>
      <c r="PVI42" s="44"/>
      <c r="PVJ42" s="44"/>
      <c r="PVK42" s="44"/>
      <c r="PVL42" s="44"/>
      <c r="PVM42" s="44"/>
      <c r="PVN42" s="44"/>
      <c r="PVO42" s="44"/>
      <c r="PVP42" s="44"/>
      <c r="PVQ42" s="44"/>
      <c r="PVR42" s="44"/>
      <c r="PVS42" s="44"/>
      <c r="PVT42" s="44"/>
      <c r="PVU42" s="44"/>
      <c r="PVV42" s="44"/>
      <c r="PVW42" s="44"/>
      <c r="PVX42" s="44"/>
      <c r="PVY42" s="44"/>
      <c r="PVZ42" s="44"/>
      <c r="PWA42" s="44"/>
      <c r="PWB42" s="44"/>
      <c r="PWC42" s="44"/>
      <c r="PWD42" s="44"/>
      <c r="PWE42" s="44"/>
      <c r="PWF42" s="44"/>
      <c r="PWG42" s="44"/>
      <c r="PWH42" s="44"/>
      <c r="PWI42" s="44"/>
      <c r="PWJ42" s="44"/>
      <c r="PWK42" s="44"/>
      <c r="PWL42" s="44"/>
      <c r="PWM42" s="44"/>
      <c r="PWN42" s="44"/>
      <c r="PWO42" s="44"/>
      <c r="PWP42" s="44"/>
      <c r="PWQ42" s="44"/>
      <c r="PWR42" s="44"/>
      <c r="PWS42" s="44"/>
      <c r="PWT42" s="44"/>
      <c r="PWU42" s="44"/>
      <c r="PWV42" s="44"/>
      <c r="PWW42" s="44"/>
      <c r="PWX42" s="44"/>
      <c r="PWY42" s="44"/>
      <c r="PWZ42" s="44"/>
      <c r="PXA42" s="44"/>
      <c r="PXB42" s="44"/>
      <c r="PXC42" s="44"/>
      <c r="PXD42" s="44"/>
      <c r="PXE42" s="44"/>
      <c r="PXF42" s="44"/>
      <c r="PXG42" s="44"/>
      <c r="PXH42" s="44"/>
      <c r="PXI42" s="44"/>
      <c r="PXJ42" s="44"/>
      <c r="PXK42" s="44"/>
      <c r="PXL42" s="44"/>
      <c r="PXM42" s="44"/>
      <c r="PXN42" s="44"/>
      <c r="PXO42" s="44"/>
      <c r="PXP42" s="44"/>
      <c r="PXQ42" s="44"/>
      <c r="PXR42" s="44"/>
      <c r="PXS42" s="44"/>
      <c r="PXT42" s="44"/>
      <c r="PXU42" s="44"/>
      <c r="PXV42" s="44"/>
      <c r="PXW42" s="44"/>
      <c r="PXX42" s="44"/>
      <c r="PXY42" s="44"/>
      <c r="PXZ42" s="44"/>
      <c r="PYA42" s="44"/>
      <c r="PYB42" s="44"/>
      <c r="PYC42" s="44"/>
      <c r="PYD42" s="44"/>
      <c r="PYE42" s="44"/>
      <c r="PYF42" s="44"/>
      <c r="PYG42" s="44"/>
      <c r="PYH42" s="44"/>
      <c r="PYI42" s="44"/>
      <c r="PYJ42" s="44"/>
      <c r="PYK42" s="44"/>
      <c r="PYL42" s="44"/>
      <c r="PYM42" s="44"/>
      <c r="PYN42" s="44"/>
      <c r="PYO42" s="44"/>
      <c r="PYP42" s="44"/>
      <c r="PYQ42" s="44"/>
      <c r="PYR42" s="44"/>
      <c r="PYS42" s="44"/>
      <c r="PYT42" s="44"/>
      <c r="PYU42" s="44"/>
      <c r="PYV42" s="44"/>
      <c r="PYW42" s="44"/>
      <c r="PYX42" s="44"/>
      <c r="PYY42" s="44"/>
      <c r="PYZ42" s="44"/>
      <c r="PZA42" s="44"/>
      <c r="PZB42" s="44"/>
      <c r="PZC42" s="44"/>
      <c r="PZD42" s="44"/>
      <c r="PZE42" s="44"/>
      <c r="PZF42" s="44"/>
      <c r="PZG42" s="44"/>
      <c r="PZH42" s="44"/>
      <c r="PZI42" s="44"/>
      <c r="PZJ42" s="44"/>
      <c r="PZK42" s="44"/>
      <c r="PZL42" s="44"/>
      <c r="PZM42" s="44"/>
      <c r="PZN42" s="44"/>
      <c r="PZO42" s="44"/>
      <c r="PZP42" s="44"/>
      <c r="PZQ42" s="44"/>
      <c r="PZR42" s="44"/>
      <c r="PZS42" s="44"/>
      <c r="PZT42" s="44"/>
      <c r="PZU42" s="44"/>
      <c r="PZV42" s="44"/>
      <c r="PZW42" s="44"/>
      <c r="PZX42" s="44"/>
      <c r="PZY42" s="44"/>
      <c r="PZZ42" s="44"/>
      <c r="QAA42" s="44"/>
      <c r="QAB42" s="44"/>
      <c r="QAC42" s="44"/>
      <c r="QAD42" s="44"/>
      <c r="QAE42" s="44"/>
      <c r="QAF42" s="44"/>
      <c r="QAG42" s="44"/>
      <c r="QAH42" s="44"/>
      <c r="QAI42" s="44"/>
      <c r="QAJ42" s="44"/>
      <c r="QAK42" s="44"/>
      <c r="QAL42" s="44"/>
      <c r="QAM42" s="44"/>
      <c r="QAN42" s="44"/>
      <c r="QAO42" s="44"/>
      <c r="QAP42" s="44"/>
      <c r="QAQ42" s="44"/>
      <c r="QAR42" s="44"/>
      <c r="QAS42" s="44"/>
      <c r="QAT42" s="44"/>
      <c r="QAU42" s="44"/>
      <c r="QAV42" s="44"/>
      <c r="QAW42" s="44"/>
      <c r="QAX42" s="44"/>
      <c r="QAY42" s="44"/>
      <c r="QAZ42" s="44"/>
      <c r="QBA42" s="44"/>
      <c r="QBB42" s="44"/>
      <c r="QBC42" s="44"/>
      <c r="QBD42" s="44"/>
      <c r="QBE42" s="44"/>
      <c r="QBF42" s="44"/>
      <c r="QBG42" s="44"/>
      <c r="QBH42" s="44"/>
      <c r="QBI42" s="44"/>
      <c r="QBJ42" s="44"/>
      <c r="QBK42" s="44"/>
      <c r="QBL42" s="44"/>
      <c r="QBM42" s="44"/>
      <c r="QBN42" s="44"/>
      <c r="QBO42" s="44"/>
      <c r="QBP42" s="44"/>
      <c r="QBQ42" s="44"/>
      <c r="QBR42" s="44"/>
      <c r="QBS42" s="44"/>
      <c r="QBT42" s="44"/>
      <c r="QBU42" s="44"/>
      <c r="QBV42" s="44"/>
      <c r="QBW42" s="44"/>
      <c r="QBX42" s="44"/>
      <c r="QBY42" s="44"/>
      <c r="QBZ42" s="44"/>
      <c r="QCA42" s="44"/>
      <c r="QCB42" s="44"/>
      <c r="QCC42" s="44"/>
      <c r="QCD42" s="44"/>
      <c r="QCE42" s="44"/>
      <c r="QCF42" s="44"/>
      <c r="QCG42" s="44"/>
      <c r="QCH42" s="44"/>
      <c r="QCI42" s="44"/>
      <c r="QCJ42" s="44"/>
      <c r="QCK42" s="44"/>
      <c r="QCL42" s="44"/>
      <c r="QCM42" s="44"/>
      <c r="QCN42" s="44"/>
      <c r="QCO42" s="44"/>
      <c r="QCP42" s="44"/>
      <c r="QCQ42" s="44"/>
      <c r="QCR42" s="44"/>
      <c r="QCS42" s="44"/>
      <c r="QCT42" s="44"/>
      <c r="QCU42" s="44"/>
      <c r="QCV42" s="44"/>
      <c r="QCW42" s="44"/>
      <c r="QCX42" s="44"/>
      <c r="QCY42" s="44"/>
      <c r="QCZ42" s="44"/>
      <c r="QDA42" s="44"/>
      <c r="QDB42" s="44"/>
      <c r="QDC42" s="44"/>
      <c r="QDD42" s="44"/>
      <c r="QDE42" s="44"/>
      <c r="QDF42" s="44"/>
      <c r="QDG42" s="44"/>
      <c r="QDH42" s="44"/>
      <c r="QDI42" s="44"/>
      <c r="QDJ42" s="44"/>
      <c r="QDK42" s="44"/>
      <c r="QDL42" s="44"/>
      <c r="QDM42" s="44"/>
      <c r="QDN42" s="44"/>
      <c r="QDO42" s="44"/>
      <c r="QDP42" s="44"/>
      <c r="QDQ42" s="44"/>
      <c r="QDR42" s="44"/>
      <c r="QDS42" s="44"/>
      <c r="QDT42" s="44"/>
      <c r="QDU42" s="44"/>
      <c r="QDV42" s="44"/>
      <c r="QDW42" s="44"/>
      <c r="QDX42" s="44"/>
      <c r="QDY42" s="44"/>
      <c r="QDZ42" s="44"/>
      <c r="QEA42" s="44"/>
      <c r="QEB42" s="44"/>
      <c r="QEC42" s="44"/>
      <c r="QED42" s="44"/>
      <c r="QEE42" s="44"/>
      <c r="QEF42" s="44"/>
      <c r="QEG42" s="44"/>
      <c r="QEH42" s="44"/>
      <c r="QEI42" s="44"/>
      <c r="QEJ42" s="44"/>
      <c r="QEK42" s="44"/>
      <c r="QEL42" s="44"/>
      <c r="QEM42" s="44"/>
      <c r="QEN42" s="44"/>
      <c r="QEO42" s="44"/>
      <c r="QEP42" s="44"/>
      <c r="QEQ42" s="44"/>
      <c r="QER42" s="44"/>
      <c r="QES42" s="44"/>
      <c r="QET42" s="44"/>
      <c r="QEU42" s="44"/>
      <c r="QEV42" s="44"/>
      <c r="QEW42" s="44"/>
      <c r="QEX42" s="44"/>
      <c r="QEY42" s="44"/>
      <c r="QEZ42" s="44"/>
      <c r="QFA42" s="44"/>
      <c r="QFB42" s="44"/>
      <c r="QFC42" s="44"/>
      <c r="QFD42" s="44"/>
      <c r="QFE42" s="44"/>
      <c r="QFF42" s="44"/>
      <c r="QFG42" s="44"/>
      <c r="QFH42" s="44"/>
      <c r="QFI42" s="44"/>
      <c r="QFJ42" s="44"/>
      <c r="QFK42" s="44"/>
      <c r="QFL42" s="44"/>
      <c r="QFM42" s="44"/>
      <c r="QFN42" s="44"/>
      <c r="QFO42" s="44"/>
      <c r="QFP42" s="44"/>
      <c r="QFQ42" s="44"/>
      <c r="QFR42" s="44"/>
      <c r="QFS42" s="44"/>
      <c r="QFT42" s="44"/>
      <c r="QFU42" s="44"/>
      <c r="QFV42" s="44"/>
      <c r="QFW42" s="44"/>
      <c r="QFX42" s="44"/>
      <c r="QFY42" s="44"/>
      <c r="QFZ42" s="44"/>
      <c r="QGA42" s="44"/>
      <c r="QGB42" s="44"/>
      <c r="QGC42" s="44"/>
      <c r="QGD42" s="44"/>
      <c r="QGE42" s="44"/>
      <c r="QGF42" s="44"/>
      <c r="QGG42" s="44"/>
      <c r="QGH42" s="44"/>
      <c r="QGI42" s="44"/>
      <c r="QGJ42" s="44"/>
      <c r="QGK42" s="44"/>
      <c r="QGL42" s="44"/>
      <c r="QGM42" s="44"/>
      <c r="QGN42" s="44"/>
      <c r="QGO42" s="44"/>
      <c r="QGP42" s="44"/>
      <c r="QGQ42" s="44"/>
      <c r="QGR42" s="44"/>
      <c r="QGS42" s="44"/>
      <c r="QGT42" s="44"/>
      <c r="QGU42" s="44"/>
      <c r="QGV42" s="44"/>
      <c r="QGW42" s="44"/>
      <c r="QGX42" s="44"/>
      <c r="QGY42" s="44"/>
      <c r="QGZ42" s="44"/>
      <c r="QHA42" s="44"/>
      <c r="QHB42" s="44"/>
      <c r="QHC42" s="44"/>
      <c r="QHD42" s="44"/>
      <c r="QHE42" s="44"/>
      <c r="QHF42" s="44"/>
      <c r="QHG42" s="44"/>
      <c r="QHH42" s="44"/>
      <c r="QHI42" s="44"/>
      <c r="QHJ42" s="44"/>
      <c r="QHK42" s="44"/>
      <c r="QHL42" s="44"/>
      <c r="QHM42" s="44"/>
      <c r="QHN42" s="44"/>
      <c r="QHO42" s="44"/>
      <c r="QHP42" s="44"/>
      <c r="QHQ42" s="44"/>
      <c r="QHR42" s="44"/>
      <c r="QHS42" s="44"/>
      <c r="QHT42" s="44"/>
      <c r="QHU42" s="44"/>
      <c r="QHV42" s="44"/>
      <c r="QHW42" s="44"/>
      <c r="QHX42" s="44"/>
      <c r="QHY42" s="44"/>
      <c r="QHZ42" s="44"/>
      <c r="QIA42" s="44"/>
      <c r="QIB42" s="44"/>
      <c r="QIC42" s="44"/>
      <c r="QID42" s="44"/>
      <c r="QIE42" s="44"/>
      <c r="QIF42" s="44"/>
      <c r="QIG42" s="44"/>
      <c r="QIH42" s="44"/>
      <c r="QII42" s="44"/>
      <c r="QIJ42" s="44"/>
      <c r="QIK42" s="44"/>
      <c r="QIL42" s="44"/>
      <c r="QIM42" s="44"/>
      <c r="QIN42" s="44"/>
      <c r="QIO42" s="44"/>
      <c r="QIP42" s="44"/>
      <c r="QIQ42" s="44"/>
      <c r="QIR42" s="44"/>
      <c r="QIS42" s="44"/>
      <c r="QIT42" s="44"/>
      <c r="QIU42" s="44"/>
      <c r="QIV42" s="44"/>
      <c r="QIW42" s="44"/>
      <c r="QIX42" s="44"/>
      <c r="QIY42" s="44"/>
      <c r="QIZ42" s="44"/>
      <c r="QJA42" s="44"/>
      <c r="QJB42" s="44"/>
      <c r="QJC42" s="44"/>
      <c r="QJD42" s="44"/>
      <c r="QJE42" s="44"/>
      <c r="QJF42" s="44"/>
      <c r="QJG42" s="44"/>
      <c r="QJH42" s="44"/>
      <c r="QJI42" s="44"/>
      <c r="QJJ42" s="44"/>
      <c r="QJK42" s="44"/>
      <c r="QJL42" s="44"/>
      <c r="QJM42" s="44"/>
      <c r="QJN42" s="44"/>
      <c r="QJO42" s="44"/>
      <c r="QJP42" s="44"/>
      <c r="QJQ42" s="44"/>
      <c r="QJR42" s="44"/>
      <c r="QJS42" s="44"/>
      <c r="QJT42" s="44"/>
      <c r="QJU42" s="44"/>
      <c r="QJV42" s="44"/>
      <c r="QJW42" s="44"/>
      <c r="QJX42" s="44"/>
      <c r="QJY42" s="44"/>
      <c r="QJZ42" s="44"/>
      <c r="QKA42" s="44"/>
      <c r="QKB42" s="44"/>
      <c r="QKC42" s="44"/>
      <c r="QKD42" s="44"/>
      <c r="QKE42" s="44"/>
      <c r="QKF42" s="44"/>
      <c r="QKG42" s="44"/>
      <c r="QKH42" s="44"/>
      <c r="QKI42" s="44"/>
      <c r="QKJ42" s="44"/>
      <c r="QKK42" s="44"/>
      <c r="QKL42" s="44"/>
      <c r="QKM42" s="44"/>
      <c r="QKN42" s="44"/>
      <c r="QKO42" s="44"/>
      <c r="QKP42" s="44"/>
      <c r="QKQ42" s="44"/>
      <c r="QKR42" s="44"/>
      <c r="QKS42" s="44"/>
      <c r="QKT42" s="44"/>
      <c r="QKU42" s="44"/>
      <c r="QKV42" s="44"/>
      <c r="QKW42" s="44"/>
      <c r="QKX42" s="44"/>
      <c r="QKY42" s="44"/>
      <c r="QKZ42" s="44"/>
      <c r="QLA42" s="44"/>
      <c r="QLB42" s="44"/>
      <c r="QLC42" s="44"/>
      <c r="QLD42" s="44"/>
      <c r="QLE42" s="44"/>
      <c r="QLF42" s="44"/>
      <c r="QLG42" s="44"/>
      <c r="QLH42" s="44"/>
      <c r="QLI42" s="44"/>
      <c r="QLJ42" s="44"/>
      <c r="QLK42" s="44"/>
      <c r="QLL42" s="44"/>
      <c r="QLM42" s="44"/>
      <c r="QLN42" s="44"/>
      <c r="QLO42" s="44"/>
      <c r="QLP42" s="44"/>
      <c r="QLQ42" s="44"/>
      <c r="QLR42" s="44"/>
      <c r="QLS42" s="44"/>
      <c r="QLT42" s="44"/>
      <c r="QLU42" s="44"/>
      <c r="QLV42" s="44"/>
      <c r="QLW42" s="44"/>
      <c r="QLX42" s="44"/>
      <c r="QLY42" s="44"/>
      <c r="QLZ42" s="44"/>
      <c r="QMA42" s="44"/>
      <c r="QMB42" s="44"/>
      <c r="QMC42" s="44"/>
      <c r="QMD42" s="44"/>
      <c r="QME42" s="44"/>
      <c r="QMF42" s="44"/>
      <c r="QMG42" s="44"/>
      <c r="QMH42" s="44"/>
      <c r="QMI42" s="44"/>
      <c r="QMJ42" s="44"/>
      <c r="QMK42" s="44"/>
      <c r="QML42" s="44"/>
      <c r="QMM42" s="44"/>
      <c r="QMN42" s="44"/>
      <c r="QMO42" s="44"/>
      <c r="QMP42" s="44"/>
      <c r="QMQ42" s="44"/>
      <c r="QMR42" s="44"/>
      <c r="QMS42" s="44"/>
      <c r="QMT42" s="44"/>
      <c r="QMU42" s="44"/>
      <c r="QMV42" s="44"/>
      <c r="QMW42" s="44"/>
      <c r="QMX42" s="44"/>
      <c r="QMY42" s="44"/>
      <c r="QMZ42" s="44"/>
      <c r="QNA42" s="44"/>
      <c r="QNB42" s="44"/>
      <c r="QNC42" s="44"/>
      <c r="QND42" s="44"/>
      <c r="QNE42" s="44"/>
      <c r="QNF42" s="44"/>
      <c r="QNG42" s="44"/>
      <c r="QNH42" s="44"/>
      <c r="QNI42" s="44"/>
      <c r="QNJ42" s="44"/>
      <c r="QNK42" s="44"/>
      <c r="QNL42" s="44"/>
      <c r="QNM42" s="44"/>
      <c r="QNN42" s="44"/>
      <c r="QNO42" s="44"/>
      <c r="QNP42" s="44"/>
      <c r="QNQ42" s="44"/>
      <c r="QNR42" s="44"/>
      <c r="QNS42" s="44"/>
      <c r="QNT42" s="44"/>
      <c r="QNU42" s="44"/>
      <c r="QNV42" s="44"/>
      <c r="QNW42" s="44"/>
      <c r="QNX42" s="44"/>
      <c r="QNY42" s="44"/>
      <c r="QNZ42" s="44"/>
      <c r="QOA42" s="44"/>
      <c r="QOB42" s="44"/>
      <c r="QOC42" s="44"/>
      <c r="QOD42" s="44"/>
      <c r="QOE42" s="44"/>
      <c r="QOF42" s="44"/>
      <c r="QOG42" s="44"/>
      <c r="QOH42" s="44"/>
      <c r="QOI42" s="44"/>
      <c r="QOJ42" s="44"/>
      <c r="QOK42" s="44"/>
      <c r="QOL42" s="44"/>
      <c r="QOM42" s="44"/>
      <c r="QON42" s="44"/>
      <c r="QOO42" s="44"/>
      <c r="QOP42" s="44"/>
      <c r="QOQ42" s="44"/>
      <c r="QOR42" s="44"/>
      <c r="QOS42" s="44"/>
      <c r="QOT42" s="44"/>
      <c r="QOU42" s="44"/>
      <c r="QOV42" s="44"/>
      <c r="QOW42" s="44"/>
      <c r="QOX42" s="44"/>
      <c r="QOY42" s="44"/>
      <c r="QOZ42" s="44"/>
      <c r="QPA42" s="44"/>
      <c r="QPB42" s="44"/>
      <c r="QPC42" s="44"/>
      <c r="QPD42" s="44"/>
      <c r="QPE42" s="44"/>
      <c r="QPF42" s="44"/>
      <c r="QPG42" s="44"/>
      <c r="QPH42" s="44"/>
      <c r="QPI42" s="44"/>
      <c r="QPJ42" s="44"/>
      <c r="QPK42" s="44"/>
      <c r="QPL42" s="44"/>
      <c r="QPM42" s="44"/>
      <c r="QPN42" s="44"/>
      <c r="QPO42" s="44"/>
      <c r="QPP42" s="44"/>
      <c r="QPQ42" s="44"/>
      <c r="QPR42" s="44"/>
      <c r="QPS42" s="44"/>
      <c r="QPT42" s="44"/>
      <c r="QPU42" s="44"/>
      <c r="QPV42" s="44"/>
      <c r="QPW42" s="44"/>
      <c r="QPX42" s="44"/>
      <c r="QPY42" s="44"/>
      <c r="QPZ42" s="44"/>
      <c r="QQA42" s="44"/>
      <c r="QQB42" s="44"/>
      <c r="QQC42" s="44"/>
      <c r="QQD42" s="44"/>
      <c r="QQE42" s="44"/>
      <c r="QQF42" s="44"/>
      <c r="QQG42" s="44"/>
      <c r="QQH42" s="44"/>
      <c r="QQI42" s="44"/>
      <c r="QQJ42" s="44"/>
      <c r="QQK42" s="44"/>
      <c r="QQL42" s="44"/>
      <c r="QQM42" s="44"/>
      <c r="QQN42" s="44"/>
      <c r="QQO42" s="44"/>
      <c r="QQP42" s="44"/>
      <c r="QQQ42" s="44"/>
      <c r="QQR42" s="44"/>
      <c r="QQS42" s="44"/>
      <c r="QQT42" s="44"/>
      <c r="QQU42" s="44"/>
      <c r="QQV42" s="44"/>
      <c r="QQW42" s="44"/>
      <c r="QQX42" s="44"/>
      <c r="QQY42" s="44"/>
      <c r="QQZ42" s="44"/>
      <c r="QRA42" s="44"/>
      <c r="QRB42" s="44"/>
      <c r="QRC42" s="44"/>
      <c r="QRD42" s="44"/>
      <c r="QRE42" s="44"/>
      <c r="QRF42" s="44"/>
      <c r="QRG42" s="44"/>
      <c r="QRH42" s="44"/>
      <c r="QRI42" s="44"/>
      <c r="QRJ42" s="44"/>
      <c r="QRK42" s="44"/>
      <c r="QRL42" s="44"/>
      <c r="QRM42" s="44"/>
      <c r="QRN42" s="44"/>
      <c r="QRO42" s="44"/>
      <c r="QRP42" s="44"/>
      <c r="QRQ42" s="44"/>
      <c r="QRR42" s="44"/>
      <c r="QRS42" s="44"/>
      <c r="QRT42" s="44"/>
      <c r="QRU42" s="44"/>
      <c r="QRV42" s="44"/>
      <c r="QRW42" s="44"/>
      <c r="QRX42" s="44"/>
      <c r="QRY42" s="44"/>
      <c r="QRZ42" s="44"/>
      <c r="QSA42" s="44"/>
      <c r="QSB42" s="44"/>
      <c r="QSC42" s="44"/>
      <c r="QSD42" s="44"/>
      <c r="QSE42" s="44"/>
      <c r="QSF42" s="44"/>
      <c r="QSG42" s="44"/>
      <c r="QSH42" s="44"/>
      <c r="QSI42" s="44"/>
      <c r="QSJ42" s="44"/>
      <c r="QSK42" s="44"/>
      <c r="QSL42" s="44"/>
      <c r="QSM42" s="44"/>
      <c r="QSN42" s="44"/>
      <c r="QSO42" s="44"/>
      <c r="QSP42" s="44"/>
      <c r="QSQ42" s="44"/>
      <c r="QSR42" s="44"/>
      <c r="QSS42" s="44"/>
      <c r="QST42" s="44"/>
      <c r="QSU42" s="44"/>
      <c r="QSV42" s="44"/>
      <c r="QSW42" s="44"/>
      <c r="QSX42" s="44"/>
      <c r="QSY42" s="44"/>
      <c r="QSZ42" s="44"/>
      <c r="QTA42" s="44"/>
      <c r="QTB42" s="44"/>
      <c r="QTC42" s="44"/>
      <c r="QTD42" s="44"/>
      <c r="QTE42" s="44"/>
      <c r="QTF42" s="44"/>
      <c r="QTG42" s="44"/>
      <c r="QTH42" s="44"/>
      <c r="QTI42" s="44"/>
      <c r="QTJ42" s="44"/>
      <c r="QTK42" s="44"/>
      <c r="QTL42" s="44"/>
      <c r="QTM42" s="44"/>
      <c r="QTN42" s="44"/>
      <c r="QTO42" s="44"/>
      <c r="QTP42" s="44"/>
      <c r="QTQ42" s="44"/>
      <c r="QTR42" s="44"/>
      <c r="QTS42" s="44"/>
      <c r="QTT42" s="44"/>
      <c r="QTU42" s="44"/>
      <c r="QTV42" s="44"/>
      <c r="QTW42" s="44"/>
      <c r="QTX42" s="44"/>
      <c r="QTY42" s="44"/>
      <c r="QTZ42" s="44"/>
      <c r="QUA42" s="44"/>
      <c r="QUB42" s="44"/>
      <c r="QUC42" s="44"/>
      <c r="QUD42" s="44"/>
      <c r="QUE42" s="44"/>
      <c r="QUF42" s="44"/>
      <c r="QUG42" s="44"/>
      <c r="QUH42" s="44"/>
      <c r="QUI42" s="44"/>
      <c r="QUJ42" s="44"/>
      <c r="QUK42" s="44"/>
      <c r="QUL42" s="44"/>
      <c r="QUM42" s="44"/>
      <c r="QUN42" s="44"/>
      <c r="QUO42" s="44"/>
      <c r="QUP42" s="44"/>
      <c r="QUQ42" s="44"/>
      <c r="QUR42" s="44"/>
      <c r="QUS42" s="44"/>
      <c r="QUT42" s="44"/>
      <c r="QUU42" s="44"/>
      <c r="QUV42" s="44"/>
      <c r="QUW42" s="44"/>
      <c r="QUX42" s="44"/>
      <c r="QUY42" s="44"/>
      <c r="QUZ42" s="44"/>
      <c r="QVA42" s="44"/>
      <c r="QVB42" s="44"/>
      <c r="QVC42" s="44"/>
      <c r="QVD42" s="44"/>
      <c r="QVE42" s="44"/>
      <c r="QVF42" s="44"/>
      <c r="QVG42" s="44"/>
      <c r="QVH42" s="44"/>
      <c r="QVI42" s="44"/>
      <c r="QVJ42" s="44"/>
      <c r="QVK42" s="44"/>
      <c r="QVL42" s="44"/>
      <c r="QVM42" s="44"/>
      <c r="QVN42" s="44"/>
      <c r="QVO42" s="44"/>
      <c r="QVP42" s="44"/>
      <c r="QVQ42" s="44"/>
      <c r="QVR42" s="44"/>
      <c r="QVS42" s="44"/>
      <c r="QVT42" s="44"/>
      <c r="QVU42" s="44"/>
      <c r="QVV42" s="44"/>
      <c r="QVW42" s="44"/>
      <c r="QVX42" s="44"/>
      <c r="QVY42" s="44"/>
      <c r="QVZ42" s="44"/>
      <c r="QWA42" s="44"/>
      <c r="QWB42" s="44"/>
      <c r="QWC42" s="44"/>
      <c r="QWD42" s="44"/>
      <c r="QWE42" s="44"/>
      <c r="QWF42" s="44"/>
      <c r="QWG42" s="44"/>
      <c r="QWH42" s="44"/>
      <c r="QWI42" s="44"/>
      <c r="QWJ42" s="44"/>
      <c r="QWK42" s="44"/>
      <c r="QWL42" s="44"/>
      <c r="QWM42" s="44"/>
      <c r="QWN42" s="44"/>
      <c r="QWO42" s="44"/>
      <c r="QWP42" s="44"/>
      <c r="QWQ42" s="44"/>
      <c r="QWR42" s="44"/>
      <c r="QWS42" s="44"/>
      <c r="QWT42" s="44"/>
      <c r="QWU42" s="44"/>
      <c r="QWV42" s="44"/>
      <c r="QWW42" s="44"/>
      <c r="QWX42" s="44"/>
      <c r="QWY42" s="44"/>
      <c r="QWZ42" s="44"/>
      <c r="QXA42" s="44"/>
      <c r="QXB42" s="44"/>
      <c r="QXC42" s="44"/>
      <c r="QXD42" s="44"/>
      <c r="QXE42" s="44"/>
      <c r="QXF42" s="44"/>
      <c r="QXG42" s="44"/>
      <c r="QXH42" s="44"/>
      <c r="QXI42" s="44"/>
      <c r="QXJ42" s="44"/>
      <c r="QXK42" s="44"/>
      <c r="QXL42" s="44"/>
      <c r="QXM42" s="44"/>
      <c r="QXN42" s="44"/>
      <c r="QXO42" s="44"/>
      <c r="QXP42" s="44"/>
      <c r="QXQ42" s="44"/>
      <c r="QXR42" s="44"/>
      <c r="QXS42" s="44"/>
      <c r="QXT42" s="44"/>
      <c r="QXU42" s="44"/>
      <c r="QXV42" s="44"/>
      <c r="QXW42" s="44"/>
      <c r="QXX42" s="44"/>
      <c r="QXY42" s="44"/>
      <c r="QXZ42" s="44"/>
      <c r="QYA42" s="44"/>
      <c r="QYB42" s="44"/>
      <c r="QYC42" s="44"/>
      <c r="QYD42" s="44"/>
      <c r="QYE42" s="44"/>
      <c r="QYF42" s="44"/>
      <c r="QYG42" s="44"/>
      <c r="QYH42" s="44"/>
      <c r="QYI42" s="44"/>
      <c r="QYJ42" s="44"/>
      <c r="QYK42" s="44"/>
      <c r="QYL42" s="44"/>
      <c r="QYM42" s="44"/>
      <c r="QYN42" s="44"/>
      <c r="QYO42" s="44"/>
      <c r="QYP42" s="44"/>
      <c r="QYQ42" s="44"/>
      <c r="QYR42" s="44"/>
      <c r="QYS42" s="44"/>
      <c r="QYT42" s="44"/>
      <c r="QYU42" s="44"/>
      <c r="QYV42" s="44"/>
      <c r="QYW42" s="44"/>
      <c r="QYX42" s="44"/>
      <c r="QYY42" s="44"/>
      <c r="QYZ42" s="44"/>
      <c r="QZA42" s="44"/>
      <c r="QZB42" s="44"/>
      <c r="QZC42" s="44"/>
      <c r="QZD42" s="44"/>
      <c r="QZE42" s="44"/>
      <c r="QZF42" s="44"/>
      <c r="QZG42" s="44"/>
      <c r="QZH42" s="44"/>
      <c r="QZI42" s="44"/>
      <c r="QZJ42" s="44"/>
      <c r="QZK42" s="44"/>
      <c r="QZL42" s="44"/>
      <c r="QZM42" s="44"/>
      <c r="QZN42" s="44"/>
      <c r="QZO42" s="44"/>
      <c r="QZP42" s="44"/>
      <c r="QZQ42" s="44"/>
      <c r="QZR42" s="44"/>
      <c r="QZS42" s="44"/>
      <c r="QZT42" s="44"/>
      <c r="QZU42" s="44"/>
      <c r="QZV42" s="44"/>
      <c r="QZW42" s="44"/>
      <c r="QZX42" s="44"/>
      <c r="QZY42" s="44"/>
      <c r="QZZ42" s="44"/>
      <c r="RAA42" s="44"/>
      <c r="RAB42" s="44"/>
      <c r="RAC42" s="44"/>
      <c r="RAD42" s="44"/>
      <c r="RAE42" s="44"/>
      <c r="RAF42" s="44"/>
      <c r="RAG42" s="44"/>
      <c r="RAH42" s="44"/>
      <c r="RAI42" s="44"/>
      <c r="RAJ42" s="44"/>
      <c r="RAK42" s="44"/>
      <c r="RAL42" s="44"/>
      <c r="RAM42" s="44"/>
      <c r="RAN42" s="44"/>
      <c r="RAO42" s="44"/>
      <c r="RAP42" s="44"/>
      <c r="RAQ42" s="44"/>
      <c r="RAR42" s="44"/>
      <c r="RAS42" s="44"/>
      <c r="RAT42" s="44"/>
      <c r="RAU42" s="44"/>
      <c r="RAV42" s="44"/>
      <c r="RAW42" s="44"/>
      <c r="RAX42" s="44"/>
      <c r="RAY42" s="44"/>
      <c r="RAZ42" s="44"/>
      <c r="RBA42" s="44"/>
      <c r="RBB42" s="44"/>
      <c r="RBC42" s="44"/>
      <c r="RBD42" s="44"/>
      <c r="RBE42" s="44"/>
      <c r="RBF42" s="44"/>
      <c r="RBG42" s="44"/>
      <c r="RBH42" s="44"/>
      <c r="RBI42" s="44"/>
      <c r="RBJ42" s="44"/>
      <c r="RBK42" s="44"/>
      <c r="RBL42" s="44"/>
      <c r="RBM42" s="44"/>
      <c r="RBN42" s="44"/>
      <c r="RBO42" s="44"/>
      <c r="RBP42" s="44"/>
      <c r="RBQ42" s="44"/>
      <c r="RBR42" s="44"/>
      <c r="RBS42" s="44"/>
      <c r="RBT42" s="44"/>
      <c r="RBU42" s="44"/>
      <c r="RBV42" s="44"/>
      <c r="RBW42" s="44"/>
      <c r="RBX42" s="44"/>
      <c r="RBY42" s="44"/>
      <c r="RBZ42" s="44"/>
      <c r="RCA42" s="44"/>
      <c r="RCB42" s="44"/>
      <c r="RCC42" s="44"/>
      <c r="RCD42" s="44"/>
      <c r="RCE42" s="44"/>
      <c r="RCF42" s="44"/>
      <c r="RCG42" s="44"/>
      <c r="RCH42" s="44"/>
      <c r="RCI42" s="44"/>
      <c r="RCJ42" s="44"/>
      <c r="RCK42" s="44"/>
      <c r="RCL42" s="44"/>
      <c r="RCM42" s="44"/>
      <c r="RCN42" s="44"/>
      <c r="RCO42" s="44"/>
      <c r="RCP42" s="44"/>
      <c r="RCQ42" s="44"/>
      <c r="RCR42" s="44"/>
      <c r="RCS42" s="44"/>
      <c r="RCT42" s="44"/>
      <c r="RCU42" s="44"/>
      <c r="RCV42" s="44"/>
      <c r="RCW42" s="44"/>
      <c r="RCX42" s="44"/>
      <c r="RCY42" s="44"/>
      <c r="RCZ42" s="44"/>
      <c r="RDA42" s="44"/>
      <c r="RDB42" s="44"/>
      <c r="RDC42" s="44"/>
      <c r="RDD42" s="44"/>
      <c r="RDE42" s="44"/>
      <c r="RDF42" s="44"/>
      <c r="RDG42" s="44"/>
      <c r="RDH42" s="44"/>
      <c r="RDI42" s="44"/>
      <c r="RDJ42" s="44"/>
      <c r="RDK42" s="44"/>
      <c r="RDL42" s="44"/>
      <c r="RDM42" s="44"/>
      <c r="RDN42" s="44"/>
      <c r="RDO42" s="44"/>
      <c r="RDP42" s="44"/>
      <c r="RDQ42" s="44"/>
      <c r="RDR42" s="44"/>
      <c r="RDS42" s="44"/>
      <c r="RDT42" s="44"/>
      <c r="RDU42" s="44"/>
      <c r="RDV42" s="44"/>
      <c r="RDW42" s="44"/>
      <c r="RDX42" s="44"/>
      <c r="RDY42" s="44"/>
      <c r="RDZ42" s="44"/>
      <c r="REA42" s="44"/>
      <c r="REB42" s="44"/>
      <c r="REC42" s="44"/>
      <c r="RED42" s="44"/>
      <c r="REE42" s="44"/>
      <c r="REF42" s="44"/>
      <c r="REG42" s="44"/>
      <c r="REH42" s="44"/>
      <c r="REI42" s="44"/>
      <c r="REJ42" s="44"/>
      <c r="REK42" s="44"/>
      <c r="REL42" s="44"/>
      <c r="REM42" s="44"/>
      <c r="REN42" s="44"/>
      <c r="REO42" s="44"/>
      <c r="REP42" s="44"/>
      <c r="REQ42" s="44"/>
      <c r="RER42" s="44"/>
      <c r="RES42" s="44"/>
      <c r="RET42" s="44"/>
      <c r="REU42" s="44"/>
      <c r="REV42" s="44"/>
      <c r="REW42" s="44"/>
      <c r="REX42" s="44"/>
      <c r="REY42" s="44"/>
      <c r="REZ42" s="44"/>
      <c r="RFA42" s="44"/>
      <c r="RFB42" s="44"/>
      <c r="RFC42" s="44"/>
      <c r="RFD42" s="44"/>
      <c r="RFE42" s="44"/>
      <c r="RFF42" s="44"/>
      <c r="RFG42" s="44"/>
      <c r="RFH42" s="44"/>
      <c r="RFI42" s="44"/>
      <c r="RFJ42" s="44"/>
      <c r="RFK42" s="44"/>
      <c r="RFL42" s="44"/>
      <c r="RFM42" s="44"/>
      <c r="RFN42" s="44"/>
      <c r="RFO42" s="44"/>
      <c r="RFP42" s="44"/>
      <c r="RFQ42" s="44"/>
      <c r="RFR42" s="44"/>
      <c r="RFS42" s="44"/>
      <c r="RFT42" s="44"/>
      <c r="RFU42" s="44"/>
      <c r="RFV42" s="44"/>
      <c r="RFW42" s="44"/>
      <c r="RFX42" s="44"/>
      <c r="RFY42" s="44"/>
      <c r="RFZ42" s="44"/>
      <c r="RGA42" s="44"/>
      <c r="RGB42" s="44"/>
      <c r="RGC42" s="44"/>
      <c r="RGD42" s="44"/>
      <c r="RGE42" s="44"/>
      <c r="RGF42" s="44"/>
      <c r="RGG42" s="44"/>
      <c r="RGH42" s="44"/>
      <c r="RGI42" s="44"/>
      <c r="RGJ42" s="44"/>
      <c r="RGK42" s="44"/>
      <c r="RGL42" s="44"/>
      <c r="RGM42" s="44"/>
      <c r="RGN42" s="44"/>
      <c r="RGO42" s="44"/>
      <c r="RGP42" s="44"/>
      <c r="RGQ42" s="44"/>
      <c r="RGR42" s="44"/>
      <c r="RGS42" s="44"/>
      <c r="RGT42" s="44"/>
      <c r="RGU42" s="44"/>
      <c r="RGV42" s="44"/>
      <c r="RGW42" s="44"/>
      <c r="RGX42" s="44"/>
      <c r="RGY42" s="44"/>
      <c r="RGZ42" s="44"/>
      <c r="RHA42" s="44"/>
      <c r="RHB42" s="44"/>
      <c r="RHC42" s="44"/>
      <c r="RHD42" s="44"/>
      <c r="RHE42" s="44"/>
      <c r="RHF42" s="44"/>
      <c r="RHG42" s="44"/>
      <c r="RHH42" s="44"/>
      <c r="RHI42" s="44"/>
      <c r="RHJ42" s="44"/>
      <c r="RHK42" s="44"/>
      <c r="RHL42" s="44"/>
      <c r="RHM42" s="44"/>
      <c r="RHN42" s="44"/>
      <c r="RHO42" s="44"/>
      <c r="RHP42" s="44"/>
      <c r="RHQ42" s="44"/>
      <c r="RHR42" s="44"/>
      <c r="RHS42" s="44"/>
      <c r="RHT42" s="44"/>
      <c r="RHU42" s="44"/>
      <c r="RHV42" s="44"/>
      <c r="RHW42" s="44"/>
      <c r="RHX42" s="44"/>
      <c r="RHY42" s="44"/>
      <c r="RHZ42" s="44"/>
      <c r="RIA42" s="44"/>
      <c r="RIB42" s="44"/>
      <c r="RIC42" s="44"/>
      <c r="RID42" s="44"/>
      <c r="RIE42" s="44"/>
      <c r="RIF42" s="44"/>
      <c r="RIG42" s="44"/>
      <c r="RIH42" s="44"/>
      <c r="RII42" s="44"/>
      <c r="RIJ42" s="44"/>
      <c r="RIK42" s="44"/>
      <c r="RIL42" s="44"/>
      <c r="RIM42" s="44"/>
      <c r="RIN42" s="44"/>
      <c r="RIO42" s="44"/>
      <c r="RIP42" s="44"/>
      <c r="RIQ42" s="44"/>
      <c r="RIR42" s="44"/>
      <c r="RIS42" s="44"/>
      <c r="RIT42" s="44"/>
      <c r="RIU42" s="44"/>
      <c r="RIV42" s="44"/>
      <c r="RIW42" s="44"/>
      <c r="RIX42" s="44"/>
      <c r="RIY42" s="44"/>
      <c r="RIZ42" s="44"/>
      <c r="RJA42" s="44"/>
      <c r="RJB42" s="44"/>
      <c r="RJC42" s="44"/>
      <c r="RJD42" s="44"/>
      <c r="RJE42" s="44"/>
      <c r="RJF42" s="44"/>
      <c r="RJG42" s="44"/>
      <c r="RJH42" s="44"/>
      <c r="RJI42" s="44"/>
      <c r="RJJ42" s="44"/>
      <c r="RJK42" s="44"/>
      <c r="RJL42" s="44"/>
      <c r="RJM42" s="44"/>
      <c r="RJN42" s="44"/>
      <c r="RJO42" s="44"/>
      <c r="RJP42" s="44"/>
      <c r="RJQ42" s="44"/>
      <c r="RJR42" s="44"/>
      <c r="RJS42" s="44"/>
      <c r="RJT42" s="44"/>
      <c r="RJU42" s="44"/>
      <c r="RJV42" s="44"/>
      <c r="RJW42" s="44"/>
      <c r="RJX42" s="44"/>
      <c r="RJY42" s="44"/>
      <c r="RJZ42" s="44"/>
      <c r="RKA42" s="44"/>
      <c r="RKB42" s="44"/>
      <c r="RKC42" s="44"/>
      <c r="RKD42" s="44"/>
      <c r="RKE42" s="44"/>
      <c r="RKF42" s="44"/>
      <c r="RKG42" s="44"/>
      <c r="RKH42" s="44"/>
      <c r="RKI42" s="44"/>
      <c r="RKJ42" s="44"/>
      <c r="RKK42" s="44"/>
      <c r="RKL42" s="44"/>
      <c r="RKM42" s="44"/>
      <c r="RKN42" s="44"/>
      <c r="RKO42" s="44"/>
      <c r="RKP42" s="44"/>
      <c r="RKQ42" s="44"/>
      <c r="RKR42" s="44"/>
      <c r="RKS42" s="44"/>
      <c r="RKT42" s="44"/>
      <c r="RKU42" s="44"/>
      <c r="RKV42" s="44"/>
      <c r="RKW42" s="44"/>
      <c r="RKX42" s="44"/>
      <c r="RKY42" s="44"/>
      <c r="RKZ42" s="44"/>
      <c r="RLA42" s="44"/>
      <c r="RLB42" s="44"/>
      <c r="RLC42" s="44"/>
      <c r="RLD42" s="44"/>
      <c r="RLE42" s="44"/>
      <c r="RLF42" s="44"/>
      <c r="RLG42" s="44"/>
      <c r="RLH42" s="44"/>
      <c r="RLI42" s="44"/>
      <c r="RLJ42" s="44"/>
      <c r="RLK42" s="44"/>
      <c r="RLL42" s="44"/>
      <c r="RLM42" s="44"/>
      <c r="RLN42" s="44"/>
      <c r="RLO42" s="44"/>
      <c r="RLP42" s="44"/>
      <c r="RLQ42" s="44"/>
      <c r="RLR42" s="44"/>
      <c r="RLS42" s="44"/>
      <c r="RLT42" s="44"/>
      <c r="RLU42" s="44"/>
      <c r="RLV42" s="44"/>
      <c r="RLW42" s="44"/>
      <c r="RLX42" s="44"/>
      <c r="RLY42" s="44"/>
      <c r="RLZ42" s="44"/>
      <c r="RMA42" s="44"/>
      <c r="RMB42" s="44"/>
      <c r="RMC42" s="44"/>
      <c r="RMD42" s="44"/>
      <c r="RME42" s="44"/>
      <c r="RMF42" s="44"/>
      <c r="RMG42" s="44"/>
      <c r="RMH42" s="44"/>
      <c r="RMI42" s="44"/>
      <c r="RMJ42" s="44"/>
      <c r="RMK42" s="44"/>
      <c r="RML42" s="44"/>
      <c r="RMM42" s="44"/>
      <c r="RMN42" s="44"/>
      <c r="RMO42" s="44"/>
      <c r="RMP42" s="44"/>
      <c r="RMQ42" s="44"/>
      <c r="RMR42" s="44"/>
      <c r="RMS42" s="44"/>
      <c r="RMT42" s="44"/>
      <c r="RMU42" s="44"/>
      <c r="RMV42" s="44"/>
      <c r="RMW42" s="44"/>
      <c r="RMX42" s="44"/>
      <c r="RMY42" s="44"/>
      <c r="RMZ42" s="44"/>
      <c r="RNA42" s="44"/>
      <c r="RNB42" s="44"/>
      <c r="RNC42" s="44"/>
      <c r="RND42" s="44"/>
      <c r="RNE42" s="44"/>
      <c r="RNF42" s="44"/>
      <c r="RNG42" s="44"/>
      <c r="RNH42" s="44"/>
      <c r="RNI42" s="44"/>
      <c r="RNJ42" s="44"/>
      <c r="RNK42" s="44"/>
      <c r="RNL42" s="44"/>
      <c r="RNM42" s="44"/>
      <c r="RNN42" s="44"/>
      <c r="RNO42" s="44"/>
      <c r="RNP42" s="44"/>
      <c r="RNQ42" s="44"/>
      <c r="RNR42" s="44"/>
      <c r="RNS42" s="44"/>
      <c r="RNT42" s="44"/>
      <c r="RNU42" s="44"/>
      <c r="RNV42" s="44"/>
      <c r="RNW42" s="44"/>
      <c r="RNX42" s="44"/>
      <c r="RNY42" s="44"/>
      <c r="RNZ42" s="44"/>
      <c r="ROA42" s="44"/>
      <c r="ROB42" s="44"/>
      <c r="ROC42" s="44"/>
      <c r="ROD42" s="44"/>
      <c r="ROE42" s="44"/>
      <c r="ROF42" s="44"/>
      <c r="ROG42" s="44"/>
      <c r="ROH42" s="44"/>
      <c r="ROI42" s="44"/>
      <c r="ROJ42" s="44"/>
      <c r="ROK42" s="44"/>
      <c r="ROL42" s="44"/>
      <c r="ROM42" s="44"/>
      <c r="RON42" s="44"/>
      <c r="ROO42" s="44"/>
      <c r="ROP42" s="44"/>
      <c r="ROQ42" s="44"/>
      <c r="ROR42" s="44"/>
      <c r="ROS42" s="44"/>
      <c r="ROT42" s="44"/>
      <c r="ROU42" s="44"/>
      <c r="ROV42" s="44"/>
      <c r="ROW42" s="44"/>
      <c r="ROX42" s="44"/>
      <c r="ROY42" s="44"/>
      <c r="ROZ42" s="44"/>
      <c r="RPA42" s="44"/>
      <c r="RPB42" s="44"/>
      <c r="RPC42" s="44"/>
      <c r="RPD42" s="44"/>
      <c r="RPE42" s="44"/>
      <c r="RPF42" s="44"/>
      <c r="RPG42" s="44"/>
      <c r="RPH42" s="44"/>
      <c r="RPI42" s="44"/>
      <c r="RPJ42" s="44"/>
      <c r="RPK42" s="44"/>
      <c r="RPL42" s="44"/>
      <c r="RPM42" s="44"/>
      <c r="RPN42" s="44"/>
      <c r="RPO42" s="44"/>
      <c r="RPP42" s="44"/>
      <c r="RPQ42" s="44"/>
      <c r="RPR42" s="44"/>
      <c r="RPS42" s="44"/>
      <c r="RPT42" s="44"/>
      <c r="RPU42" s="44"/>
      <c r="RPV42" s="44"/>
      <c r="RPW42" s="44"/>
      <c r="RPX42" s="44"/>
      <c r="RPY42" s="44"/>
      <c r="RPZ42" s="44"/>
      <c r="RQA42" s="44"/>
      <c r="RQB42" s="44"/>
      <c r="RQC42" s="44"/>
      <c r="RQD42" s="44"/>
      <c r="RQE42" s="44"/>
      <c r="RQF42" s="44"/>
      <c r="RQG42" s="44"/>
      <c r="RQH42" s="44"/>
      <c r="RQI42" s="44"/>
      <c r="RQJ42" s="44"/>
      <c r="RQK42" s="44"/>
      <c r="RQL42" s="44"/>
      <c r="RQM42" s="44"/>
      <c r="RQN42" s="44"/>
      <c r="RQO42" s="44"/>
      <c r="RQP42" s="44"/>
      <c r="RQQ42" s="44"/>
      <c r="RQR42" s="44"/>
      <c r="RQS42" s="44"/>
      <c r="RQT42" s="44"/>
      <c r="RQU42" s="44"/>
      <c r="RQV42" s="44"/>
      <c r="RQW42" s="44"/>
      <c r="RQX42" s="44"/>
      <c r="RQY42" s="44"/>
      <c r="RQZ42" s="44"/>
      <c r="RRA42" s="44"/>
      <c r="RRB42" s="44"/>
      <c r="RRC42" s="44"/>
      <c r="RRD42" s="44"/>
      <c r="RRE42" s="44"/>
      <c r="RRF42" s="44"/>
      <c r="RRG42" s="44"/>
      <c r="RRH42" s="44"/>
      <c r="RRI42" s="44"/>
      <c r="RRJ42" s="44"/>
      <c r="RRK42" s="44"/>
      <c r="RRL42" s="44"/>
      <c r="RRM42" s="44"/>
      <c r="RRN42" s="44"/>
      <c r="RRO42" s="44"/>
      <c r="RRP42" s="44"/>
      <c r="RRQ42" s="44"/>
      <c r="RRR42" s="44"/>
      <c r="RRS42" s="44"/>
      <c r="RRT42" s="44"/>
      <c r="RRU42" s="44"/>
      <c r="RRV42" s="44"/>
      <c r="RRW42" s="44"/>
      <c r="RRX42" s="44"/>
      <c r="RRY42" s="44"/>
      <c r="RRZ42" s="44"/>
      <c r="RSA42" s="44"/>
      <c r="RSB42" s="44"/>
      <c r="RSC42" s="44"/>
      <c r="RSD42" s="44"/>
      <c r="RSE42" s="44"/>
      <c r="RSF42" s="44"/>
      <c r="RSG42" s="44"/>
      <c r="RSH42" s="44"/>
      <c r="RSI42" s="44"/>
      <c r="RSJ42" s="44"/>
      <c r="RSK42" s="44"/>
      <c r="RSL42" s="44"/>
      <c r="RSM42" s="44"/>
      <c r="RSN42" s="44"/>
      <c r="RSO42" s="44"/>
      <c r="RSP42" s="44"/>
      <c r="RSQ42" s="44"/>
      <c r="RSR42" s="44"/>
      <c r="RSS42" s="44"/>
      <c r="RST42" s="44"/>
      <c r="RSU42" s="44"/>
      <c r="RSV42" s="44"/>
      <c r="RSW42" s="44"/>
      <c r="RSX42" s="44"/>
      <c r="RSY42" s="44"/>
      <c r="RSZ42" s="44"/>
      <c r="RTA42" s="44"/>
      <c r="RTB42" s="44"/>
      <c r="RTC42" s="44"/>
      <c r="RTD42" s="44"/>
      <c r="RTE42" s="44"/>
      <c r="RTF42" s="44"/>
      <c r="RTG42" s="44"/>
      <c r="RTH42" s="44"/>
      <c r="RTI42" s="44"/>
      <c r="RTJ42" s="44"/>
      <c r="RTK42" s="44"/>
      <c r="RTL42" s="44"/>
      <c r="RTM42" s="44"/>
      <c r="RTN42" s="44"/>
      <c r="RTO42" s="44"/>
      <c r="RTP42" s="44"/>
      <c r="RTQ42" s="44"/>
      <c r="RTR42" s="44"/>
      <c r="RTS42" s="44"/>
      <c r="RTT42" s="44"/>
      <c r="RTU42" s="44"/>
      <c r="RTV42" s="44"/>
      <c r="RTW42" s="44"/>
      <c r="RTX42" s="44"/>
      <c r="RTY42" s="44"/>
      <c r="RTZ42" s="44"/>
      <c r="RUA42" s="44"/>
      <c r="RUB42" s="44"/>
      <c r="RUC42" s="44"/>
      <c r="RUD42" s="44"/>
      <c r="RUE42" s="44"/>
      <c r="RUF42" s="44"/>
      <c r="RUG42" s="44"/>
      <c r="RUH42" s="44"/>
      <c r="RUI42" s="44"/>
      <c r="RUJ42" s="44"/>
      <c r="RUK42" s="44"/>
      <c r="RUL42" s="44"/>
      <c r="RUM42" s="44"/>
      <c r="RUN42" s="44"/>
      <c r="RUO42" s="44"/>
      <c r="RUP42" s="44"/>
      <c r="RUQ42" s="44"/>
      <c r="RUR42" s="44"/>
      <c r="RUS42" s="44"/>
      <c r="RUT42" s="44"/>
      <c r="RUU42" s="44"/>
      <c r="RUV42" s="44"/>
      <c r="RUW42" s="44"/>
      <c r="RUX42" s="44"/>
      <c r="RUY42" s="44"/>
      <c r="RUZ42" s="44"/>
      <c r="RVA42" s="44"/>
      <c r="RVB42" s="44"/>
      <c r="RVC42" s="44"/>
      <c r="RVD42" s="44"/>
      <c r="RVE42" s="44"/>
      <c r="RVF42" s="44"/>
      <c r="RVG42" s="44"/>
      <c r="RVH42" s="44"/>
      <c r="RVI42" s="44"/>
      <c r="RVJ42" s="44"/>
      <c r="RVK42" s="44"/>
      <c r="RVL42" s="44"/>
      <c r="RVM42" s="44"/>
      <c r="RVN42" s="44"/>
      <c r="RVO42" s="44"/>
      <c r="RVP42" s="44"/>
      <c r="RVQ42" s="44"/>
      <c r="RVR42" s="44"/>
      <c r="RVS42" s="44"/>
      <c r="RVT42" s="44"/>
      <c r="RVU42" s="44"/>
      <c r="RVV42" s="44"/>
      <c r="RVW42" s="44"/>
      <c r="RVX42" s="44"/>
      <c r="RVY42" s="44"/>
      <c r="RVZ42" s="44"/>
      <c r="RWA42" s="44"/>
      <c r="RWB42" s="44"/>
      <c r="RWC42" s="44"/>
      <c r="RWD42" s="44"/>
      <c r="RWE42" s="44"/>
      <c r="RWF42" s="44"/>
      <c r="RWG42" s="44"/>
      <c r="RWH42" s="44"/>
      <c r="RWI42" s="44"/>
      <c r="RWJ42" s="44"/>
      <c r="RWK42" s="44"/>
      <c r="RWL42" s="44"/>
      <c r="RWM42" s="44"/>
      <c r="RWN42" s="44"/>
      <c r="RWO42" s="44"/>
      <c r="RWP42" s="44"/>
      <c r="RWQ42" s="44"/>
      <c r="RWR42" s="44"/>
      <c r="RWS42" s="44"/>
      <c r="RWT42" s="44"/>
      <c r="RWU42" s="44"/>
      <c r="RWV42" s="44"/>
      <c r="RWW42" s="44"/>
      <c r="RWX42" s="44"/>
      <c r="RWY42" s="44"/>
      <c r="RWZ42" s="44"/>
      <c r="RXA42" s="44"/>
      <c r="RXB42" s="44"/>
      <c r="RXC42" s="44"/>
      <c r="RXD42" s="44"/>
      <c r="RXE42" s="44"/>
      <c r="RXF42" s="44"/>
      <c r="RXG42" s="44"/>
      <c r="RXH42" s="44"/>
      <c r="RXI42" s="44"/>
      <c r="RXJ42" s="44"/>
      <c r="RXK42" s="44"/>
      <c r="RXL42" s="44"/>
      <c r="RXM42" s="44"/>
      <c r="RXN42" s="44"/>
      <c r="RXO42" s="44"/>
      <c r="RXP42" s="44"/>
      <c r="RXQ42" s="44"/>
      <c r="RXR42" s="44"/>
      <c r="RXS42" s="44"/>
      <c r="RXT42" s="44"/>
      <c r="RXU42" s="44"/>
      <c r="RXV42" s="44"/>
      <c r="RXW42" s="44"/>
      <c r="RXX42" s="44"/>
      <c r="RXY42" s="44"/>
      <c r="RXZ42" s="44"/>
      <c r="RYA42" s="44"/>
      <c r="RYB42" s="44"/>
      <c r="RYC42" s="44"/>
      <c r="RYD42" s="44"/>
      <c r="RYE42" s="44"/>
      <c r="RYF42" s="44"/>
      <c r="RYG42" s="44"/>
      <c r="RYH42" s="44"/>
      <c r="RYI42" s="44"/>
      <c r="RYJ42" s="44"/>
      <c r="RYK42" s="44"/>
      <c r="RYL42" s="44"/>
      <c r="RYM42" s="44"/>
      <c r="RYN42" s="44"/>
      <c r="RYO42" s="44"/>
      <c r="RYP42" s="44"/>
      <c r="RYQ42" s="44"/>
      <c r="RYR42" s="44"/>
      <c r="RYS42" s="44"/>
      <c r="RYT42" s="44"/>
      <c r="RYU42" s="44"/>
      <c r="RYV42" s="44"/>
      <c r="RYW42" s="44"/>
      <c r="RYX42" s="44"/>
      <c r="RYY42" s="44"/>
      <c r="RYZ42" s="44"/>
      <c r="RZA42" s="44"/>
      <c r="RZB42" s="44"/>
      <c r="RZC42" s="44"/>
      <c r="RZD42" s="44"/>
      <c r="RZE42" s="44"/>
      <c r="RZF42" s="44"/>
      <c r="RZG42" s="44"/>
      <c r="RZH42" s="44"/>
      <c r="RZI42" s="44"/>
      <c r="RZJ42" s="44"/>
      <c r="RZK42" s="44"/>
      <c r="RZL42" s="44"/>
      <c r="RZM42" s="44"/>
      <c r="RZN42" s="44"/>
      <c r="RZO42" s="44"/>
      <c r="RZP42" s="44"/>
      <c r="RZQ42" s="44"/>
      <c r="RZR42" s="44"/>
      <c r="RZS42" s="44"/>
      <c r="RZT42" s="44"/>
      <c r="RZU42" s="44"/>
      <c r="RZV42" s="44"/>
      <c r="RZW42" s="44"/>
      <c r="RZX42" s="44"/>
      <c r="RZY42" s="44"/>
      <c r="RZZ42" s="44"/>
      <c r="SAA42" s="44"/>
      <c r="SAB42" s="44"/>
      <c r="SAC42" s="44"/>
      <c r="SAD42" s="44"/>
      <c r="SAE42" s="44"/>
      <c r="SAF42" s="44"/>
      <c r="SAG42" s="44"/>
      <c r="SAH42" s="44"/>
      <c r="SAI42" s="44"/>
      <c r="SAJ42" s="44"/>
      <c r="SAK42" s="44"/>
      <c r="SAL42" s="44"/>
      <c r="SAM42" s="44"/>
      <c r="SAN42" s="44"/>
      <c r="SAO42" s="44"/>
      <c r="SAP42" s="44"/>
      <c r="SAQ42" s="44"/>
      <c r="SAR42" s="44"/>
      <c r="SAS42" s="44"/>
      <c r="SAT42" s="44"/>
      <c r="SAU42" s="44"/>
      <c r="SAV42" s="44"/>
      <c r="SAW42" s="44"/>
      <c r="SAX42" s="44"/>
      <c r="SAY42" s="44"/>
      <c r="SAZ42" s="44"/>
      <c r="SBA42" s="44"/>
      <c r="SBB42" s="44"/>
      <c r="SBC42" s="44"/>
      <c r="SBD42" s="44"/>
      <c r="SBE42" s="44"/>
      <c r="SBF42" s="44"/>
      <c r="SBG42" s="44"/>
      <c r="SBH42" s="44"/>
      <c r="SBI42" s="44"/>
      <c r="SBJ42" s="44"/>
      <c r="SBK42" s="44"/>
      <c r="SBL42" s="44"/>
      <c r="SBM42" s="44"/>
      <c r="SBN42" s="44"/>
      <c r="SBO42" s="44"/>
      <c r="SBP42" s="44"/>
      <c r="SBQ42" s="44"/>
      <c r="SBR42" s="44"/>
      <c r="SBS42" s="44"/>
      <c r="SBT42" s="44"/>
      <c r="SBU42" s="44"/>
      <c r="SBV42" s="44"/>
      <c r="SBW42" s="44"/>
      <c r="SBX42" s="44"/>
      <c r="SBY42" s="44"/>
      <c r="SBZ42" s="44"/>
      <c r="SCA42" s="44"/>
      <c r="SCB42" s="44"/>
      <c r="SCC42" s="44"/>
      <c r="SCD42" s="44"/>
      <c r="SCE42" s="44"/>
      <c r="SCF42" s="44"/>
      <c r="SCG42" s="44"/>
      <c r="SCH42" s="44"/>
      <c r="SCI42" s="44"/>
      <c r="SCJ42" s="44"/>
      <c r="SCK42" s="44"/>
      <c r="SCL42" s="44"/>
      <c r="SCM42" s="44"/>
      <c r="SCN42" s="44"/>
      <c r="SCO42" s="44"/>
      <c r="SCP42" s="44"/>
      <c r="SCQ42" s="44"/>
      <c r="SCR42" s="44"/>
      <c r="SCS42" s="44"/>
      <c r="SCT42" s="44"/>
      <c r="SCU42" s="44"/>
      <c r="SCV42" s="44"/>
      <c r="SCW42" s="44"/>
      <c r="SCX42" s="44"/>
      <c r="SCY42" s="44"/>
      <c r="SCZ42" s="44"/>
      <c r="SDA42" s="44"/>
      <c r="SDB42" s="44"/>
      <c r="SDC42" s="44"/>
      <c r="SDD42" s="44"/>
      <c r="SDE42" s="44"/>
      <c r="SDF42" s="44"/>
      <c r="SDG42" s="44"/>
      <c r="SDH42" s="44"/>
      <c r="SDI42" s="44"/>
      <c r="SDJ42" s="44"/>
      <c r="SDK42" s="44"/>
      <c r="SDL42" s="44"/>
      <c r="SDM42" s="44"/>
      <c r="SDN42" s="44"/>
      <c r="SDO42" s="44"/>
      <c r="SDP42" s="44"/>
      <c r="SDQ42" s="44"/>
      <c r="SDR42" s="44"/>
      <c r="SDS42" s="44"/>
      <c r="SDT42" s="44"/>
      <c r="SDU42" s="44"/>
      <c r="SDV42" s="44"/>
      <c r="SDW42" s="44"/>
      <c r="SDX42" s="44"/>
      <c r="SDY42" s="44"/>
      <c r="SDZ42" s="44"/>
      <c r="SEA42" s="44"/>
      <c r="SEB42" s="44"/>
      <c r="SEC42" s="44"/>
      <c r="SED42" s="44"/>
      <c r="SEE42" s="44"/>
      <c r="SEF42" s="44"/>
      <c r="SEG42" s="44"/>
      <c r="SEH42" s="44"/>
      <c r="SEI42" s="44"/>
      <c r="SEJ42" s="44"/>
      <c r="SEK42" s="44"/>
      <c r="SEL42" s="44"/>
      <c r="SEM42" s="44"/>
      <c r="SEN42" s="44"/>
      <c r="SEO42" s="44"/>
      <c r="SEP42" s="44"/>
      <c r="SEQ42" s="44"/>
      <c r="SER42" s="44"/>
      <c r="SES42" s="44"/>
      <c r="SET42" s="44"/>
      <c r="SEU42" s="44"/>
      <c r="SEV42" s="44"/>
      <c r="SEW42" s="44"/>
      <c r="SEX42" s="44"/>
      <c r="SEY42" s="44"/>
      <c r="SEZ42" s="44"/>
      <c r="SFA42" s="44"/>
      <c r="SFB42" s="44"/>
      <c r="SFC42" s="44"/>
      <c r="SFD42" s="44"/>
      <c r="SFE42" s="44"/>
      <c r="SFF42" s="44"/>
      <c r="SFG42" s="44"/>
      <c r="SFH42" s="44"/>
      <c r="SFI42" s="44"/>
      <c r="SFJ42" s="44"/>
      <c r="SFK42" s="44"/>
      <c r="SFL42" s="44"/>
      <c r="SFM42" s="44"/>
      <c r="SFN42" s="44"/>
      <c r="SFO42" s="44"/>
      <c r="SFP42" s="44"/>
      <c r="SFQ42" s="44"/>
      <c r="SFR42" s="44"/>
      <c r="SFS42" s="44"/>
      <c r="SFT42" s="44"/>
      <c r="SFU42" s="44"/>
      <c r="SFV42" s="44"/>
      <c r="SFW42" s="44"/>
      <c r="SFX42" s="44"/>
      <c r="SFY42" s="44"/>
      <c r="SFZ42" s="44"/>
      <c r="SGA42" s="44"/>
      <c r="SGB42" s="44"/>
      <c r="SGC42" s="44"/>
      <c r="SGD42" s="44"/>
      <c r="SGE42" s="44"/>
      <c r="SGF42" s="44"/>
      <c r="SGG42" s="44"/>
      <c r="SGH42" s="44"/>
      <c r="SGI42" s="44"/>
      <c r="SGJ42" s="44"/>
      <c r="SGK42" s="44"/>
      <c r="SGL42" s="44"/>
      <c r="SGM42" s="44"/>
      <c r="SGN42" s="44"/>
      <c r="SGO42" s="44"/>
      <c r="SGP42" s="44"/>
      <c r="SGQ42" s="44"/>
      <c r="SGR42" s="44"/>
      <c r="SGS42" s="44"/>
      <c r="SGT42" s="44"/>
      <c r="SGU42" s="44"/>
      <c r="SGV42" s="44"/>
      <c r="SGW42" s="44"/>
      <c r="SGX42" s="44"/>
      <c r="SGY42" s="44"/>
      <c r="SGZ42" s="44"/>
      <c r="SHA42" s="44"/>
      <c r="SHB42" s="44"/>
      <c r="SHC42" s="44"/>
      <c r="SHD42" s="44"/>
      <c r="SHE42" s="44"/>
      <c r="SHF42" s="44"/>
      <c r="SHG42" s="44"/>
      <c r="SHH42" s="44"/>
      <c r="SHI42" s="44"/>
      <c r="SHJ42" s="44"/>
      <c r="SHK42" s="44"/>
      <c r="SHL42" s="44"/>
      <c r="SHM42" s="44"/>
      <c r="SHN42" s="44"/>
      <c r="SHO42" s="44"/>
      <c r="SHP42" s="44"/>
      <c r="SHQ42" s="44"/>
      <c r="SHR42" s="44"/>
      <c r="SHS42" s="44"/>
      <c r="SHT42" s="44"/>
      <c r="SHU42" s="44"/>
      <c r="SHV42" s="44"/>
      <c r="SHW42" s="44"/>
      <c r="SHX42" s="44"/>
      <c r="SHY42" s="44"/>
      <c r="SHZ42" s="44"/>
      <c r="SIA42" s="44"/>
      <c r="SIB42" s="44"/>
      <c r="SIC42" s="44"/>
      <c r="SID42" s="44"/>
      <c r="SIE42" s="44"/>
      <c r="SIF42" s="44"/>
      <c r="SIG42" s="44"/>
      <c r="SIH42" s="44"/>
      <c r="SII42" s="44"/>
      <c r="SIJ42" s="44"/>
      <c r="SIK42" s="44"/>
      <c r="SIL42" s="44"/>
      <c r="SIM42" s="44"/>
      <c r="SIN42" s="44"/>
      <c r="SIO42" s="44"/>
      <c r="SIP42" s="44"/>
      <c r="SIQ42" s="44"/>
      <c r="SIR42" s="44"/>
      <c r="SIS42" s="44"/>
      <c r="SIT42" s="44"/>
      <c r="SIU42" s="44"/>
      <c r="SIV42" s="44"/>
      <c r="SIW42" s="44"/>
      <c r="SIX42" s="44"/>
      <c r="SIY42" s="44"/>
      <c r="SIZ42" s="44"/>
      <c r="SJA42" s="44"/>
      <c r="SJB42" s="44"/>
      <c r="SJC42" s="44"/>
      <c r="SJD42" s="44"/>
      <c r="SJE42" s="44"/>
      <c r="SJF42" s="44"/>
      <c r="SJG42" s="44"/>
      <c r="SJH42" s="44"/>
      <c r="SJI42" s="44"/>
      <c r="SJJ42" s="44"/>
      <c r="SJK42" s="44"/>
      <c r="SJL42" s="44"/>
      <c r="SJM42" s="44"/>
      <c r="SJN42" s="44"/>
      <c r="SJO42" s="44"/>
      <c r="SJP42" s="44"/>
      <c r="SJQ42" s="44"/>
      <c r="SJR42" s="44"/>
      <c r="SJS42" s="44"/>
      <c r="SJT42" s="44"/>
      <c r="SJU42" s="44"/>
      <c r="SJV42" s="44"/>
      <c r="SJW42" s="44"/>
      <c r="SJX42" s="44"/>
      <c r="SJY42" s="44"/>
      <c r="SJZ42" s="44"/>
      <c r="SKA42" s="44"/>
      <c r="SKB42" s="44"/>
      <c r="SKC42" s="44"/>
      <c r="SKD42" s="44"/>
      <c r="SKE42" s="44"/>
      <c r="SKF42" s="44"/>
      <c r="SKG42" s="44"/>
      <c r="SKH42" s="44"/>
      <c r="SKI42" s="44"/>
      <c r="SKJ42" s="44"/>
      <c r="SKK42" s="44"/>
      <c r="SKL42" s="44"/>
      <c r="SKM42" s="44"/>
      <c r="SKN42" s="44"/>
      <c r="SKO42" s="44"/>
      <c r="SKP42" s="44"/>
      <c r="SKQ42" s="44"/>
      <c r="SKR42" s="44"/>
      <c r="SKS42" s="44"/>
      <c r="SKT42" s="44"/>
      <c r="SKU42" s="44"/>
      <c r="SKV42" s="44"/>
      <c r="SKW42" s="44"/>
      <c r="SKX42" s="44"/>
      <c r="SKY42" s="44"/>
      <c r="SKZ42" s="44"/>
      <c r="SLA42" s="44"/>
      <c r="SLB42" s="44"/>
      <c r="SLC42" s="44"/>
      <c r="SLD42" s="44"/>
      <c r="SLE42" s="44"/>
      <c r="SLF42" s="44"/>
      <c r="SLG42" s="44"/>
      <c r="SLH42" s="44"/>
      <c r="SLI42" s="44"/>
      <c r="SLJ42" s="44"/>
      <c r="SLK42" s="44"/>
      <c r="SLL42" s="44"/>
      <c r="SLM42" s="44"/>
      <c r="SLN42" s="44"/>
      <c r="SLO42" s="44"/>
      <c r="SLP42" s="44"/>
      <c r="SLQ42" s="44"/>
      <c r="SLR42" s="44"/>
      <c r="SLS42" s="44"/>
      <c r="SLT42" s="44"/>
      <c r="SLU42" s="44"/>
      <c r="SLV42" s="44"/>
      <c r="SLW42" s="44"/>
      <c r="SLX42" s="44"/>
      <c r="SLY42" s="44"/>
      <c r="SLZ42" s="44"/>
      <c r="SMA42" s="44"/>
      <c r="SMB42" s="44"/>
      <c r="SMC42" s="44"/>
      <c r="SMD42" s="44"/>
      <c r="SME42" s="44"/>
      <c r="SMF42" s="44"/>
      <c r="SMG42" s="44"/>
      <c r="SMH42" s="44"/>
      <c r="SMI42" s="44"/>
      <c r="SMJ42" s="44"/>
      <c r="SMK42" s="44"/>
      <c r="SML42" s="44"/>
      <c r="SMM42" s="44"/>
      <c r="SMN42" s="44"/>
      <c r="SMO42" s="44"/>
      <c r="SMP42" s="44"/>
      <c r="SMQ42" s="44"/>
      <c r="SMR42" s="44"/>
      <c r="SMS42" s="44"/>
      <c r="SMT42" s="44"/>
      <c r="SMU42" s="44"/>
      <c r="SMV42" s="44"/>
      <c r="SMW42" s="44"/>
      <c r="SMX42" s="44"/>
      <c r="SMY42" s="44"/>
      <c r="SMZ42" s="44"/>
      <c r="SNA42" s="44"/>
      <c r="SNB42" s="44"/>
      <c r="SNC42" s="44"/>
      <c r="SND42" s="44"/>
      <c r="SNE42" s="44"/>
      <c r="SNF42" s="44"/>
      <c r="SNG42" s="44"/>
      <c r="SNH42" s="44"/>
      <c r="SNI42" s="44"/>
      <c r="SNJ42" s="44"/>
      <c r="SNK42" s="44"/>
      <c r="SNL42" s="44"/>
      <c r="SNM42" s="44"/>
      <c r="SNN42" s="44"/>
      <c r="SNO42" s="44"/>
      <c r="SNP42" s="44"/>
      <c r="SNQ42" s="44"/>
      <c r="SNR42" s="44"/>
      <c r="SNS42" s="44"/>
      <c r="SNT42" s="44"/>
      <c r="SNU42" s="44"/>
      <c r="SNV42" s="44"/>
      <c r="SNW42" s="44"/>
      <c r="SNX42" s="44"/>
      <c r="SNY42" s="44"/>
      <c r="SNZ42" s="44"/>
      <c r="SOA42" s="44"/>
      <c r="SOB42" s="44"/>
      <c r="SOC42" s="44"/>
      <c r="SOD42" s="44"/>
      <c r="SOE42" s="44"/>
      <c r="SOF42" s="44"/>
      <c r="SOG42" s="44"/>
      <c r="SOH42" s="44"/>
      <c r="SOI42" s="44"/>
      <c r="SOJ42" s="44"/>
      <c r="SOK42" s="44"/>
      <c r="SOL42" s="44"/>
      <c r="SOM42" s="44"/>
      <c r="SON42" s="44"/>
      <c r="SOO42" s="44"/>
      <c r="SOP42" s="44"/>
      <c r="SOQ42" s="44"/>
      <c r="SOR42" s="44"/>
      <c r="SOS42" s="44"/>
      <c r="SOT42" s="44"/>
      <c r="SOU42" s="44"/>
      <c r="SOV42" s="44"/>
      <c r="SOW42" s="44"/>
      <c r="SOX42" s="44"/>
      <c r="SOY42" s="44"/>
      <c r="SOZ42" s="44"/>
      <c r="SPA42" s="44"/>
      <c r="SPB42" s="44"/>
      <c r="SPC42" s="44"/>
      <c r="SPD42" s="44"/>
      <c r="SPE42" s="44"/>
      <c r="SPF42" s="44"/>
      <c r="SPG42" s="44"/>
      <c r="SPH42" s="44"/>
      <c r="SPI42" s="44"/>
      <c r="SPJ42" s="44"/>
      <c r="SPK42" s="44"/>
      <c r="SPL42" s="44"/>
      <c r="SPM42" s="44"/>
      <c r="SPN42" s="44"/>
      <c r="SPO42" s="44"/>
      <c r="SPP42" s="44"/>
      <c r="SPQ42" s="44"/>
      <c r="SPR42" s="44"/>
      <c r="SPS42" s="44"/>
      <c r="SPT42" s="44"/>
      <c r="SPU42" s="44"/>
      <c r="SPV42" s="44"/>
      <c r="SPW42" s="44"/>
      <c r="SPX42" s="44"/>
      <c r="SPY42" s="44"/>
      <c r="SPZ42" s="44"/>
      <c r="SQA42" s="44"/>
      <c r="SQB42" s="44"/>
      <c r="SQC42" s="44"/>
      <c r="SQD42" s="44"/>
      <c r="SQE42" s="44"/>
      <c r="SQF42" s="44"/>
      <c r="SQG42" s="44"/>
      <c r="SQH42" s="44"/>
      <c r="SQI42" s="44"/>
      <c r="SQJ42" s="44"/>
      <c r="SQK42" s="44"/>
      <c r="SQL42" s="44"/>
      <c r="SQM42" s="44"/>
      <c r="SQN42" s="44"/>
      <c r="SQO42" s="44"/>
      <c r="SQP42" s="44"/>
      <c r="SQQ42" s="44"/>
      <c r="SQR42" s="44"/>
      <c r="SQS42" s="44"/>
      <c r="SQT42" s="44"/>
      <c r="SQU42" s="44"/>
      <c r="SQV42" s="44"/>
      <c r="SQW42" s="44"/>
      <c r="SQX42" s="44"/>
      <c r="SQY42" s="44"/>
      <c r="SQZ42" s="44"/>
      <c r="SRA42" s="44"/>
      <c r="SRB42" s="44"/>
      <c r="SRC42" s="44"/>
      <c r="SRD42" s="44"/>
      <c r="SRE42" s="44"/>
      <c r="SRF42" s="44"/>
      <c r="SRG42" s="44"/>
      <c r="SRH42" s="44"/>
      <c r="SRI42" s="44"/>
      <c r="SRJ42" s="44"/>
      <c r="SRK42" s="44"/>
      <c r="SRL42" s="44"/>
      <c r="SRM42" s="44"/>
      <c r="SRN42" s="44"/>
      <c r="SRO42" s="44"/>
      <c r="SRP42" s="44"/>
      <c r="SRQ42" s="44"/>
      <c r="SRR42" s="44"/>
      <c r="SRS42" s="44"/>
      <c r="SRT42" s="44"/>
      <c r="SRU42" s="44"/>
      <c r="SRV42" s="44"/>
      <c r="SRW42" s="44"/>
      <c r="SRX42" s="44"/>
      <c r="SRY42" s="44"/>
      <c r="SRZ42" s="44"/>
      <c r="SSA42" s="44"/>
      <c r="SSB42" s="44"/>
      <c r="SSC42" s="44"/>
      <c r="SSD42" s="44"/>
      <c r="SSE42" s="44"/>
      <c r="SSF42" s="44"/>
      <c r="SSG42" s="44"/>
      <c r="SSH42" s="44"/>
      <c r="SSI42" s="44"/>
      <c r="SSJ42" s="44"/>
      <c r="SSK42" s="44"/>
      <c r="SSL42" s="44"/>
      <c r="SSM42" s="44"/>
      <c r="SSN42" s="44"/>
      <c r="SSO42" s="44"/>
      <c r="SSP42" s="44"/>
      <c r="SSQ42" s="44"/>
      <c r="SSR42" s="44"/>
      <c r="SSS42" s="44"/>
      <c r="SST42" s="44"/>
      <c r="SSU42" s="44"/>
      <c r="SSV42" s="44"/>
      <c r="SSW42" s="44"/>
      <c r="SSX42" s="44"/>
      <c r="SSY42" s="44"/>
      <c r="SSZ42" s="44"/>
      <c r="STA42" s="44"/>
      <c r="STB42" s="44"/>
      <c r="STC42" s="44"/>
      <c r="STD42" s="44"/>
      <c r="STE42" s="44"/>
      <c r="STF42" s="44"/>
      <c r="STG42" s="44"/>
      <c r="STH42" s="44"/>
      <c r="STI42" s="44"/>
      <c r="STJ42" s="44"/>
      <c r="STK42" s="44"/>
      <c r="STL42" s="44"/>
      <c r="STM42" s="44"/>
      <c r="STN42" s="44"/>
      <c r="STO42" s="44"/>
      <c r="STP42" s="44"/>
      <c r="STQ42" s="44"/>
      <c r="STR42" s="44"/>
      <c r="STS42" s="44"/>
      <c r="STT42" s="44"/>
      <c r="STU42" s="44"/>
      <c r="STV42" s="44"/>
      <c r="STW42" s="44"/>
      <c r="STX42" s="44"/>
      <c r="STY42" s="44"/>
      <c r="STZ42" s="44"/>
      <c r="SUA42" s="44"/>
      <c r="SUB42" s="44"/>
      <c r="SUC42" s="44"/>
      <c r="SUD42" s="44"/>
      <c r="SUE42" s="44"/>
      <c r="SUF42" s="44"/>
      <c r="SUG42" s="44"/>
      <c r="SUH42" s="44"/>
      <c r="SUI42" s="44"/>
      <c r="SUJ42" s="44"/>
      <c r="SUK42" s="44"/>
      <c r="SUL42" s="44"/>
      <c r="SUM42" s="44"/>
      <c r="SUN42" s="44"/>
      <c r="SUO42" s="44"/>
      <c r="SUP42" s="44"/>
      <c r="SUQ42" s="44"/>
      <c r="SUR42" s="44"/>
      <c r="SUS42" s="44"/>
      <c r="SUT42" s="44"/>
      <c r="SUU42" s="44"/>
      <c r="SUV42" s="44"/>
      <c r="SUW42" s="44"/>
      <c r="SUX42" s="44"/>
      <c r="SUY42" s="44"/>
      <c r="SUZ42" s="44"/>
      <c r="SVA42" s="44"/>
      <c r="SVB42" s="44"/>
      <c r="SVC42" s="44"/>
      <c r="SVD42" s="44"/>
      <c r="SVE42" s="44"/>
      <c r="SVF42" s="44"/>
      <c r="SVG42" s="44"/>
      <c r="SVH42" s="44"/>
      <c r="SVI42" s="44"/>
      <c r="SVJ42" s="44"/>
      <c r="SVK42" s="44"/>
      <c r="SVL42" s="44"/>
      <c r="SVM42" s="44"/>
      <c r="SVN42" s="44"/>
      <c r="SVO42" s="44"/>
      <c r="SVP42" s="44"/>
      <c r="SVQ42" s="44"/>
      <c r="SVR42" s="44"/>
      <c r="SVS42" s="44"/>
      <c r="SVT42" s="44"/>
      <c r="SVU42" s="44"/>
      <c r="SVV42" s="44"/>
      <c r="SVW42" s="44"/>
      <c r="SVX42" s="44"/>
      <c r="SVY42" s="44"/>
      <c r="SVZ42" s="44"/>
      <c r="SWA42" s="44"/>
      <c r="SWB42" s="44"/>
      <c r="SWC42" s="44"/>
      <c r="SWD42" s="44"/>
      <c r="SWE42" s="44"/>
      <c r="SWF42" s="44"/>
      <c r="SWG42" s="44"/>
      <c r="SWH42" s="44"/>
      <c r="SWI42" s="44"/>
      <c r="SWJ42" s="44"/>
      <c r="SWK42" s="44"/>
      <c r="SWL42" s="44"/>
      <c r="SWM42" s="44"/>
      <c r="SWN42" s="44"/>
      <c r="SWO42" s="44"/>
      <c r="SWP42" s="44"/>
      <c r="SWQ42" s="44"/>
      <c r="SWR42" s="44"/>
      <c r="SWS42" s="44"/>
      <c r="SWT42" s="44"/>
      <c r="SWU42" s="44"/>
      <c r="SWV42" s="44"/>
      <c r="SWW42" s="44"/>
      <c r="SWX42" s="44"/>
      <c r="SWY42" s="44"/>
      <c r="SWZ42" s="44"/>
      <c r="SXA42" s="44"/>
      <c r="SXB42" s="44"/>
      <c r="SXC42" s="44"/>
      <c r="SXD42" s="44"/>
      <c r="SXE42" s="44"/>
      <c r="SXF42" s="44"/>
      <c r="SXG42" s="44"/>
      <c r="SXH42" s="44"/>
      <c r="SXI42" s="44"/>
      <c r="SXJ42" s="44"/>
      <c r="SXK42" s="44"/>
      <c r="SXL42" s="44"/>
      <c r="SXM42" s="44"/>
      <c r="SXN42" s="44"/>
      <c r="SXO42" s="44"/>
      <c r="SXP42" s="44"/>
      <c r="SXQ42" s="44"/>
      <c r="SXR42" s="44"/>
      <c r="SXS42" s="44"/>
      <c r="SXT42" s="44"/>
      <c r="SXU42" s="44"/>
      <c r="SXV42" s="44"/>
      <c r="SXW42" s="44"/>
      <c r="SXX42" s="44"/>
      <c r="SXY42" s="44"/>
      <c r="SXZ42" s="44"/>
      <c r="SYA42" s="44"/>
      <c r="SYB42" s="44"/>
      <c r="SYC42" s="44"/>
      <c r="SYD42" s="44"/>
      <c r="SYE42" s="44"/>
      <c r="SYF42" s="44"/>
      <c r="SYG42" s="44"/>
      <c r="SYH42" s="44"/>
      <c r="SYI42" s="44"/>
      <c r="SYJ42" s="44"/>
      <c r="SYK42" s="44"/>
      <c r="SYL42" s="44"/>
      <c r="SYM42" s="44"/>
      <c r="SYN42" s="44"/>
      <c r="SYO42" s="44"/>
      <c r="SYP42" s="44"/>
      <c r="SYQ42" s="44"/>
      <c r="SYR42" s="44"/>
      <c r="SYS42" s="44"/>
      <c r="SYT42" s="44"/>
      <c r="SYU42" s="44"/>
      <c r="SYV42" s="44"/>
      <c r="SYW42" s="44"/>
      <c r="SYX42" s="44"/>
      <c r="SYY42" s="44"/>
      <c r="SYZ42" s="44"/>
      <c r="SZA42" s="44"/>
      <c r="SZB42" s="44"/>
      <c r="SZC42" s="44"/>
      <c r="SZD42" s="44"/>
      <c r="SZE42" s="44"/>
      <c r="SZF42" s="44"/>
      <c r="SZG42" s="44"/>
      <c r="SZH42" s="44"/>
      <c r="SZI42" s="44"/>
      <c r="SZJ42" s="44"/>
      <c r="SZK42" s="44"/>
      <c r="SZL42" s="44"/>
      <c r="SZM42" s="44"/>
      <c r="SZN42" s="44"/>
      <c r="SZO42" s="44"/>
      <c r="SZP42" s="44"/>
      <c r="SZQ42" s="44"/>
      <c r="SZR42" s="44"/>
      <c r="SZS42" s="44"/>
      <c r="SZT42" s="44"/>
      <c r="SZU42" s="44"/>
      <c r="SZV42" s="44"/>
      <c r="SZW42" s="44"/>
      <c r="SZX42" s="44"/>
      <c r="SZY42" s="44"/>
      <c r="SZZ42" s="44"/>
      <c r="TAA42" s="44"/>
      <c r="TAB42" s="44"/>
      <c r="TAC42" s="44"/>
      <c r="TAD42" s="44"/>
      <c r="TAE42" s="44"/>
      <c r="TAF42" s="44"/>
      <c r="TAG42" s="44"/>
      <c r="TAH42" s="44"/>
      <c r="TAI42" s="44"/>
      <c r="TAJ42" s="44"/>
      <c r="TAK42" s="44"/>
      <c r="TAL42" s="44"/>
      <c r="TAM42" s="44"/>
      <c r="TAN42" s="44"/>
      <c r="TAO42" s="44"/>
      <c r="TAP42" s="44"/>
      <c r="TAQ42" s="44"/>
      <c r="TAR42" s="44"/>
      <c r="TAS42" s="44"/>
      <c r="TAT42" s="44"/>
      <c r="TAU42" s="44"/>
      <c r="TAV42" s="44"/>
      <c r="TAW42" s="44"/>
      <c r="TAX42" s="44"/>
      <c r="TAY42" s="44"/>
      <c r="TAZ42" s="44"/>
      <c r="TBA42" s="44"/>
      <c r="TBB42" s="44"/>
      <c r="TBC42" s="44"/>
      <c r="TBD42" s="44"/>
      <c r="TBE42" s="44"/>
      <c r="TBF42" s="44"/>
      <c r="TBG42" s="44"/>
      <c r="TBH42" s="44"/>
      <c r="TBI42" s="44"/>
      <c r="TBJ42" s="44"/>
      <c r="TBK42" s="44"/>
      <c r="TBL42" s="44"/>
      <c r="TBM42" s="44"/>
      <c r="TBN42" s="44"/>
      <c r="TBO42" s="44"/>
      <c r="TBP42" s="44"/>
      <c r="TBQ42" s="44"/>
      <c r="TBR42" s="44"/>
      <c r="TBS42" s="44"/>
      <c r="TBT42" s="44"/>
      <c r="TBU42" s="44"/>
      <c r="TBV42" s="44"/>
      <c r="TBW42" s="44"/>
      <c r="TBX42" s="44"/>
      <c r="TBY42" s="44"/>
      <c r="TBZ42" s="44"/>
      <c r="TCA42" s="44"/>
      <c r="TCB42" s="44"/>
      <c r="TCC42" s="44"/>
      <c r="TCD42" s="44"/>
      <c r="TCE42" s="44"/>
      <c r="TCF42" s="44"/>
      <c r="TCG42" s="44"/>
      <c r="TCH42" s="44"/>
      <c r="TCI42" s="44"/>
      <c r="TCJ42" s="44"/>
      <c r="TCK42" s="44"/>
      <c r="TCL42" s="44"/>
      <c r="TCM42" s="44"/>
      <c r="TCN42" s="44"/>
      <c r="TCO42" s="44"/>
      <c r="TCP42" s="44"/>
      <c r="TCQ42" s="44"/>
      <c r="TCR42" s="44"/>
      <c r="TCS42" s="44"/>
      <c r="TCT42" s="44"/>
      <c r="TCU42" s="44"/>
      <c r="TCV42" s="44"/>
      <c r="TCW42" s="44"/>
      <c r="TCX42" s="44"/>
      <c r="TCY42" s="44"/>
      <c r="TCZ42" s="44"/>
      <c r="TDA42" s="44"/>
      <c r="TDB42" s="44"/>
      <c r="TDC42" s="44"/>
      <c r="TDD42" s="44"/>
      <c r="TDE42" s="44"/>
      <c r="TDF42" s="44"/>
      <c r="TDG42" s="44"/>
      <c r="TDH42" s="44"/>
      <c r="TDI42" s="44"/>
      <c r="TDJ42" s="44"/>
      <c r="TDK42" s="44"/>
      <c r="TDL42" s="44"/>
      <c r="TDM42" s="44"/>
      <c r="TDN42" s="44"/>
      <c r="TDO42" s="44"/>
      <c r="TDP42" s="44"/>
      <c r="TDQ42" s="44"/>
      <c r="TDR42" s="44"/>
      <c r="TDS42" s="44"/>
      <c r="TDT42" s="44"/>
      <c r="TDU42" s="44"/>
      <c r="TDV42" s="44"/>
      <c r="TDW42" s="44"/>
      <c r="TDX42" s="44"/>
      <c r="TDY42" s="44"/>
      <c r="TDZ42" s="44"/>
      <c r="TEA42" s="44"/>
      <c r="TEB42" s="44"/>
      <c r="TEC42" s="44"/>
      <c r="TED42" s="44"/>
      <c r="TEE42" s="44"/>
      <c r="TEF42" s="44"/>
      <c r="TEG42" s="44"/>
      <c r="TEH42" s="44"/>
      <c r="TEI42" s="44"/>
      <c r="TEJ42" s="44"/>
      <c r="TEK42" s="44"/>
      <c r="TEL42" s="44"/>
      <c r="TEM42" s="44"/>
      <c r="TEN42" s="44"/>
      <c r="TEO42" s="44"/>
      <c r="TEP42" s="44"/>
      <c r="TEQ42" s="44"/>
      <c r="TER42" s="44"/>
      <c r="TES42" s="44"/>
      <c r="TET42" s="44"/>
      <c r="TEU42" s="44"/>
      <c r="TEV42" s="44"/>
      <c r="TEW42" s="44"/>
      <c r="TEX42" s="44"/>
      <c r="TEY42" s="44"/>
      <c r="TEZ42" s="44"/>
      <c r="TFA42" s="44"/>
      <c r="TFB42" s="44"/>
      <c r="TFC42" s="44"/>
      <c r="TFD42" s="44"/>
      <c r="TFE42" s="44"/>
      <c r="TFF42" s="44"/>
      <c r="TFG42" s="44"/>
      <c r="TFH42" s="44"/>
      <c r="TFI42" s="44"/>
      <c r="TFJ42" s="44"/>
      <c r="TFK42" s="44"/>
      <c r="TFL42" s="44"/>
      <c r="TFM42" s="44"/>
      <c r="TFN42" s="44"/>
      <c r="TFO42" s="44"/>
      <c r="TFP42" s="44"/>
      <c r="TFQ42" s="44"/>
      <c r="TFR42" s="44"/>
      <c r="TFS42" s="44"/>
      <c r="TFT42" s="44"/>
      <c r="TFU42" s="44"/>
      <c r="TFV42" s="44"/>
      <c r="TFW42" s="44"/>
      <c r="TFX42" s="44"/>
      <c r="TFY42" s="44"/>
      <c r="TFZ42" s="44"/>
      <c r="TGA42" s="44"/>
      <c r="TGB42" s="44"/>
      <c r="TGC42" s="44"/>
      <c r="TGD42" s="44"/>
      <c r="TGE42" s="44"/>
      <c r="TGF42" s="44"/>
      <c r="TGG42" s="44"/>
      <c r="TGH42" s="44"/>
      <c r="TGI42" s="44"/>
      <c r="TGJ42" s="44"/>
      <c r="TGK42" s="44"/>
      <c r="TGL42" s="44"/>
      <c r="TGM42" s="44"/>
      <c r="TGN42" s="44"/>
      <c r="TGO42" s="44"/>
      <c r="TGP42" s="44"/>
      <c r="TGQ42" s="44"/>
      <c r="TGR42" s="44"/>
      <c r="TGS42" s="44"/>
      <c r="TGT42" s="44"/>
      <c r="TGU42" s="44"/>
      <c r="TGV42" s="44"/>
      <c r="TGW42" s="44"/>
      <c r="TGX42" s="44"/>
      <c r="TGY42" s="44"/>
      <c r="TGZ42" s="44"/>
      <c r="THA42" s="44"/>
      <c r="THB42" s="44"/>
      <c r="THC42" s="44"/>
      <c r="THD42" s="44"/>
      <c r="THE42" s="44"/>
      <c r="THF42" s="44"/>
      <c r="THG42" s="44"/>
      <c r="THH42" s="44"/>
      <c r="THI42" s="44"/>
      <c r="THJ42" s="44"/>
      <c r="THK42" s="44"/>
      <c r="THL42" s="44"/>
      <c r="THM42" s="44"/>
      <c r="THN42" s="44"/>
      <c r="THO42" s="44"/>
      <c r="THP42" s="44"/>
      <c r="THQ42" s="44"/>
      <c r="THR42" s="44"/>
      <c r="THS42" s="44"/>
      <c r="THT42" s="44"/>
      <c r="THU42" s="44"/>
      <c r="THV42" s="44"/>
      <c r="THW42" s="44"/>
      <c r="THX42" s="44"/>
      <c r="THY42" s="44"/>
      <c r="THZ42" s="44"/>
      <c r="TIA42" s="44"/>
      <c r="TIB42" s="44"/>
      <c r="TIC42" s="44"/>
      <c r="TID42" s="44"/>
      <c r="TIE42" s="44"/>
      <c r="TIF42" s="44"/>
      <c r="TIG42" s="44"/>
      <c r="TIH42" s="44"/>
      <c r="TII42" s="44"/>
      <c r="TIJ42" s="44"/>
      <c r="TIK42" s="44"/>
      <c r="TIL42" s="44"/>
      <c r="TIM42" s="44"/>
      <c r="TIN42" s="44"/>
      <c r="TIO42" s="44"/>
      <c r="TIP42" s="44"/>
      <c r="TIQ42" s="44"/>
      <c r="TIR42" s="44"/>
      <c r="TIS42" s="44"/>
      <c r="TIT42" s="44"/>
      <c r="TIU42" s="44"/>
      <c r="TIV42" s="44"/>
      <c r="TIW42" s="44"/>
      <c r="TIX42" s="44"/>
      <c r="TIY42" s="44"/>
      <c r="TIZ42" s="44"/>
      <c r="TJA42" s="44"/>
      <c r="TJB42" s="44"/>
      <c r="TJC42" s="44"/>
      <c r="TJD42" s="44"/>
      <c r="TJE42" s="44"/>
      <c r="TJF42" s="44"/>
      <c r="TJG42" s="44"/>
      <c r="TJH42" s="44"/>
      <c r="TJI42" s="44"/>
      <c r="TJJ42" s="44"/>
      <c r="TJK42" s="44"/>
      <c r="TJL42" s="44"/>
      <c r="TJM42" s="44"/>
      <c r="TJN42" s="44"/>
      <c r="TJO42" s="44"/>
      <c r="TJP42" s="44"/>
      <c r="TJQ42" s="44"/>
      <c r="TJR42" s="44"/>
      <c r="TJS42" s="44"/>
      <c r="TJT42" s="44"/>
      <c r="TJU42" s="44"/>
      <c r="TJV42" s="44"/>
      <c r="TJW42" s="44"/>
      <c r="TJX42" s="44"/>
      <c r="TJY42" s="44"/>
      <c r="TJZ42" s="44"/>
      <c r="TKA42" s="44"/>
      <c r="TKB42" s="44"/>
      <c r="TKC42" s="44"/>
      <c r="TKD42" s="44"/>
      <c r="TKE42" s="44"/>
      <c r="TKF42" s="44"/>
      <c r="TKG42" s="44"/>
      <c r="TKH42" s="44"/>
      <c r="TKI42" s="44"/>
      <c r="TKJ42" s="44"/>
      <c r="TKK42" s="44"/>
      <c r="TKL42" s="44"/>
      <c r="TKM42" s="44"/>
      <c r="TKN42" s="44"/>
      <c r="TKO42" s="44"/>
      <c r="TKP42" s="44"/>
      <c r="TKQ42" s="44"/>
      <c r="TKR42" s="44"/>
      <c r="TKS42" s="44"/>
      <c r="TKT42" s="44"/>
      <c r="TKU42" s="44"/>
      <c r="TKV42" s="44"/>
      <c r="TKW42" s="44"/>
      <c r="TKX42" s="44"/>
      <c r="TKY42" s="44"/>
      <c r="TKZ42" s="44"/>
      <c r="TLA42" s="44"/>
      <c r="TLB42" s="44"/>
      <c r="TLC42" s="44"/>
      <c r="TLD42" s="44"/>
      <c r="TLE42" s="44"/>
      <c r="TLF42" s="44"/>
      <c r="TLG42" s="44"/>
      <c r="TLH42" s="44"/>
      <c r="TLI42" s="44"/>
      <c r="TLJ42" s="44"/>
      <c r="TLK42" s="44"/>
      <c r="TLL42" s="44"/>
      <c r="TLM42" s="44"/>
      <c r="TLN42" s="44"/>
      <c r="TLO42" s="44"/>
      <c r="TLP42" s="44"/>
      <c r="TLQ42" s="44"/>
      <c r="TLR42" s="44"/>
      <c r="TLS42" s="44"/>
      <c r="TLT42" s="44"/>
      <c r="TLU42" s="44"/>
      <c r="TLV42" s="44"/>
      <c r="TLW42" s="44"/>
      <c r="TLX42" s="44"/>
      <c r="TLY42" s="44"/>
      <c r="TLZ42" s="44"/>
      <c r="TMA42" s="44"/>
      <c r="TMB42" s="44"/>
      <c r="TMC42" s="44"/>
      <c r="TMD42" s="44"/>
      <c r="TME42" s="44"/>
      <c r="TMF42" s="44"/>
      <c r="TMG42" s="44"/>
      <c r="TMH42" s="44"/>
      <c r="TMI42" s="44"/>
      <c r="TMJ42" s="44"/>
      <c r="TMK42" s="44"/>
      <c r="TML42" s="44"/>
      <c r="TMM42" s="44"/>
      <c r="TMN42" s="44"/>
      <c r="TMO42" s="44"/>
      <c r="TMP42" s="44"/>
      <c r="TMQ42" s="44"/>
      <c r="TMR42" s="44"/>
      <c r="TMS42" s="44"/>
      <c r="TMT42" s="44"/>
      <c r="TMU42" s="44"/>
      <c r="TMV42" s="44"/>
      <c r="TMW42" s="44"/>
      <c r="TMX42" s="44"/>
      <c r="TMY42" s="44"/>
      <c r="TMZ42" s="44"/>
      <c r="TNA42" s="44"/>
      <c r="TNB42" s="44"/>
      <c r="TNC42" s="44"/>
      <c r="TND42" s="44"/>
      <c r="TNE42" s="44"/>
      <c r="TNF42" s="44"/>
      <c r="TNG42" s="44"/>
      <c r="TNH42" s="44"/>
      <c r="TNI42" s="44"/>
      <c r="TNJ42" s="44"/>
      <c r="TNK42" s="44"/>
      <c r="TNL42" s="44"/>
      <c r="TNM42" s="44"/>
      <c r="TNN42" s="44"/>
      <c r="TNO42" s="44"/>
      <c r="TNP42" s="44"/>
      <c r="TNQ42" s="44"/>
      <c r="TNR42" s="44"/>
      <c r="TNS42" s="44"/>
      <c r="TNT42" s="44"/>
      <c r="TNU42" s="44"/>
      <c r="TNV42" s="44"/>
      <c r="TNW42" s="44"/>
      <c r="TNX42" s="44"/>
      <c r="TNY42" s="44"/>
      <c r="TNZ42" s="44"/>
      <c r="TOA42" s="44"/>
      <c r="TOB42" s="44"/>
      <c r="TOC42" s="44"/>
      <c r="TOD42" s="44"/>
      <c r="TOE42" s="44"/>
      <c r="TOF42" s="44"/>
      <c r="TOG42" s="44"/>
      <c r="TOH42" s="44"/>
      <c r="TOI42" s="44"/>
      <c r="TOJ42" s="44"/>
      <c r="TOK42" s="44"/>
      <c r="TOL42" s="44"/>
      <c r="TOM42" s="44"/>
      <c r="TON42" s="44"/>
      <c r="TOO42" s="44"/>
      <c r="TOP42" s="44"/>
      <c r="TOQ42" s="44"/>
      <c r="TOR42" s="44"/>
      <c r="TOS42" s="44"/>
      <c r="TOT42" s="44"/>
      <c r="TOU42" s="44"/>
      <c r="TOV42" s="44"/>
      <c r="TOW42" s="44"/>
      <c r="TOX42" s="44"/>
      <c r="TOY42" s="44"/>
      <c r="TOZ42" s="44"/>
      <c r="TPA42" s="44"/>
      <c r="TPB42" s="44"/>
      <c r="TPC42" s="44"/>
      <c r="TPD42" s="44"/>
      <c r="TPE42" s="44"/>
      <c r="TPF42" s="44"/>
      <c r="TPG42" s="44"/>
      <c r="TPH42" s="44"/>
      <c r="TPI42" s="44"/>
      <c r="TPJ42" s="44"/>
      <c r="TPK42" s="44"/>
      <c r="TPL42" s="44"/>
      <c r="TPM42" s="44"/>
      <c r="TPN42" s="44"/>
      <c r="TPO42" s="44"/>
      <c r="TPP42" s="44"/>
      <c r="TPQ42" s="44"/>
      <c r="TPR42" s="44"/>
      <c r="TPS42" s="44"/>
      <c r="TPT42" s="44"/>
      <c r="TPU42" s="44"/>
      <c r="TPV42" s="44"/>
      <c r="TPW42" s="44"/>
      <c r="TPX42" s="44"/>
      <c r="TPY42" s="44"/>
      <c r="TPZ42" s="44"/>
      <c r="TQA42" s="44"/>
      <c r="TQB42" s="44"/>
      <c r="TQC42" s="44"/>
      <c r="TQD42" s="44"/>
      <c r="TQE42" s="44"/>
      <c r="TQF42" s="44"/>
      <c r="TQG42" s="44"/>
      <c r="TQH42" s="44"/>
      <c r="TQI42" s="44"/>
      <c r="TQJ42" s="44"/>
      <c r="TQK42" s="44"/>
      <c r="TQL42" s="44"/>
      <c r="TQM42" s="44"/>
      <c r="TQN42" s="44"/>
      <c r="TQO42" s="44"/>
      <c r="TQP42" s="44"/>
      <c r="TQQ42" s="44"/>
      <c r="TQR42" s="44"/>
      <c r="TQS42" s="44"/>
      <c r="TQT42" s="44"/>
      <c r="TQU42" s="44"/>
      <c r="TQV42" s="44"/>
      <c r="TQW42" s="44"/>
      <c r="TQX42" s="44"/>
      <c r="TQY42" s="44"/>
      <c r="TQZ42" s="44"/>
      <c r="TRA42" s="44"/>
      <c r="TRB42" s="44"/>
      <c r="TRC42" s="44"/>
      <c r="TRD42" s="44"/>
      <c r="TRE42" s="44"/>
      <c r="TRF42" s="44"/>
      <c r="TRG42" s="44"/>
      <c r="TRH42" s="44"/>
      <c r="TRI42" s="44"/>
      <c r="TRJ42" s="44"/>
      <c r="TRK42" s="44"/>
      <c r="TRL42" s="44"/>
      <c r="TRM42" s="44"/>
      <c r="TRN42" s="44"/>
      <c r="TRO42" s="44"/>
      <c r="TRP42" s="44"/>
      <c r="TRQ42" s="44"/>
      <c r="TRR42" s="44"/>
      <c r="TRS42" s="44"/>
      <c r="TRT42" s="44"/>
      <c r="TRU42" s="44"/>
      <c r="TRV42" s="44"/>
      <c r="TRW42" s="44"/>
      <c r="TRX42" s="44"/>
      <c r="TRY42" s="44"/>
      <c r="TRZ42" s="44"/>
      <c r="TSA42" s="44"/>
      <c r="TSB42" s="44"/>
      <c r="TSC42" s="44"/>
      <c r="TSD42" s="44"/>
      <c r="TSE42" s="44"/>
      <c r="TSF42" s="44"/>
      <c r="TSG42" s="44"/>
      <c r="TSH42" s="44"/>
      <c r="TSI42" s="44"/>
      <c r="TSJ42" s="44"/>
      <c r="TSK42" s="44"/>
      <c r="TSL42" s="44"/>
      <c r="TSM42" s="44"/>
      <c r="TSN42" s="44"/>
      <c r="TSO42" s="44"/>
      <c r="TSP42" s="44"/>
      <c r="TSQ42" s="44"/>
      <c r="TSR42" s="44"/>
      <c r="TSS42" s="44"/>
      <c r="TST42" s="44"/>
      <c r="TSU42" s="44"/>
      <c r="TSV42" s="44"/>
      <c r="TSW42" s="44"/>
      <c r="TSX42" s="44"/>
      <c r="TSY42" s="44"/>
      <c r="TSZ42" s="44"/>
      <c r="TTA42" s="44"/>
      <c r="TTB42" s="44"/>
      <c r="TTC42" s="44"/>
      <c r="TTD42" s="44"/>
      <c r="TTE42" s="44"/>
      <c r="TTF42" s="44"/>
      <c r="TTG42" s="44"/>
      <c r="TTH42" s="44"/>
      <c r="TTI42" s="44"/>
      <c r="TTJ42" s="44"/>
      <c r="TTK42" s="44"/>
      <c r="TTL42" s="44"/>
      <c r="TTM42" s="44"/>
      <c r="TTN42" s="44"/>
      <c r="TTO42" s="44"/>
      <c r="TTP42" s="44"/>
      <c r="TTQ42" s="44"/>
      <c r="TTR42" s="44"/>
      <c r="TTS42" s="44"/>
      <c r="TTT42" s="44"/>
      <c r="TTU42" s="44"/>
      <c r="TTV42" s="44"/>
      <c r="TTW42" s="44"/>
      <c r="TTX42" s="44"/>
      <c r="TTY42" s="44"/>
      <c r="TTZ42" s="44"/>
      <c r="TUA42" s="44"/>
      <c r="TUB42" s="44"/>
      <c r="TUC42" s="44"/>
      <c r="TUD42" s="44"/>
      <c r="TUE42" s="44"/>
      <c r="TUF42" s="44"/>
      <c r="TUG42" s="44"/>
      <c r="TUH42" s="44"/>
      <c r="TUI42" s="44"/>
      <c r="TUJ42" s="44"/>
      <c r="TUK42" s="44"/>
      <c r="TUL42" s="44"/>
      <c r="TUM42" s="44"/>
      <c r="TUN42" s="44"/>
      <c r="TUO42" s="44"/>
      <c r="TUP42" s="44"/>
      <c r="TUQ42" s="44"/>
      <c r="TUR42" s="44"/>
      <c r="TUS42" s="44"/>
      <c r="TUT42" s="44"/>
      <c r="TUU42" s="44"/>
      <c r="TUV42" s="44"/>
      <c r="TUW42" s="44"/>
      <c r="TUX42" s="44"/>
      <c r="TUY42" s="44"/>
      <c r="TUZ42" s="44"/>
      <c r="TVA42" s="44"/>
      <c r="TVB42" s="44"/>
      <c r="TVC42" s="44"/>
      <c r="TVD42" s="44"/>
      <c r="TVE42" s="44"/>
      <c r="TVF42" s="44"/>
      <c r="TVG42" s="44"/>
      <c r="TVH42" s="44"/>
      <c r="TVI42" s="44"/>
      <c r="TVJ42" s="44"/>
      <c r="TVK42" s="44"/>
      <c r="TVL42" s="44"/>
      <c r="TVM42" s="44"/>
      <c r="TVN42" s="44"/>
      <c r="TVO42" s="44"/>
      <c r="TVP42" s="44"/>
      <c r="TVQ42" s="44"/>
      <c r="TVR42" s="44"/>
      <c r="TVS42" s="44"/>
      <c r="TVT42" s="44"/>
      <c r="TVU42" s="44"/>
      <c r="TVV42" s="44"/>
      <c r="TVW42" s="44"/>
      <c r="TVX42" s="44"/>
      <c r="TVY42" s="44"/>
      <c r="TVZ42" s="44"/>
      <c r="TWA42" s="44"/>
      <c r="TWB42" s="44"/>
      <c r="TWC42" s="44"/>
      <c r="TWD42" s="44"/>
      <c r="TWE42" s="44"/>
      <c r="TWF42" s="44"/>
      <c r="TWG42" s="44"/>
      <c r="TWH42" s="44"/>
      <c r="TWI42" s="44"/>
      <c r="TWJ42" s="44"/>
      <c r="TWK42" s="44"/>
      <c r="TWL42" s="44"/>
      <c r="TWM42" s="44"/>
      <c r="TWN42" s="44"/>
      <c r="TWO42" s="44"/>
      <c r="TWP42" s="44"/>
      <c r="TWQ42" s="44"/>
      <c r="TWR42" s="44"/>
      <c r="TWS42" s="44"/>
      <c r="TWT42" s="44"/>
      <c r="TWU42" s="44"/>
      <c r="TWV42" s="44"/>
      <c r="TWW42" s="44"/>
      <c r="TWX42" s="44"/>
      <c r="TWY42" s="44"/>
      <c r="TWZ42" s="44"/>
      <c r="TXA42" s="44"/>
      <c r="TXB42" s="44"/>
      <c r="TXC42" s="44"/>
      <c r="TXD42" s="44"/>
      <c r="TXE42" s="44"/>
      <c r="TXF42" s="44"/>
      <c r="TXG42" s="44"/>
      <c r="TXH42" s="44"/>
      <c r="TXI42" s="44"/>
      <c r="TXJ42" s="44"/>
      <c r="TXK42" s="44"/>
      <c r="TXL42" s="44"/>
      <c r="TXM42" s="44"/>
      <c r="TXN42" s="44"/>
      <c r="TXO42" s="44"/>
      <c r="TXP42" s="44"/>
      <c r="TXQ42" s="44"/>
      <c r="TXR42" s="44"/>
      <c r="TXS42" s="44"/>
      <c r="TXT42" s="44"/>
      <c r="TXU42" s="44"/>
      <c r="TXV42" s="44"/>
      <c r="TXW42" s="44"/>
      <c r="TXX42" s="44"/>
      <c r="TXY42" s="44"/>
      <c r="TXZ42" s="44"/>
      <c r="TYA42" s="44"/>
      <c r="TYB42" s="44"/>
      <c r="TYC42" s="44"/>
      <c r="TYD42" s="44"/>
      <c r="TYE42" s="44"/>
      <c r="TYF42" s="44"/>
      <c r="TYG42" s="44"/>
      <c r="TYH42" s="44"/>
      <c r="TYI42" s="44"/>
      <c r="TYJ42" s="44"/>
      <c r="TYK42" s="44"/>
      <c r="TYL42" s="44"/>
      <c r="TYM42" s="44"/>
      <c r="TYN42" s="44"/>
      <c r="TYO42" s="44"/>
      <c r="TYP42" s="44"/>
      <c r="TYQ42" s="44"/>
      <c r="TYR42" s="44"/>
      <c r="TYS42" s="44"/>
      <c r="TYT42" s="44"/>
      <c r="TYU42" s="44"/>
      <c r="TYV42" s="44"/>
      <c r="TYW42" s="44"/>
      <c r="TYX42" s="44"/>
      <c r="TYY42" s="44"/>
      <c r="TYZ42" s="44"/>
      <c r="TZA42" s="44"/>
      <c r="TZB42" s="44"/>
      <c r="TZC42" s="44"/>
      <c r="TZD42" s="44"/>
      <c r="TZE42" s="44"/>
      <c r="TZF42" s="44"/>
      <c r="TZG42" s="44"/>
      <c r="TZH42" s="44"/>
      <c r="TZI42" s="44"/>
      <c r="TZJ42" s="44"/>
      <c r="TZK42" s="44"/>
      <c r="TZL42" s="44"/>
      <c r="TZM42" s="44"/>
      <c r="TZN42" s="44"/>
      <c r="TZO42" s="44"/>
      <c r="TZP42" s="44"/>
      <c r="TZQ42" s="44"/>
      <c r="TZR42" s="44"/>
      <c r="TZS42" s="44"/>
      <c r="TZT42" s="44"/>
      <c r="TZU42" s="44"/>
      <c r="TZV42" s="44"/>
      <c r="TZW42" s="44"/>
      <c r="TZX42" s="44"/>
      <c r="TZY42" s="44"/>
      <c r="TZZ42" s="44"/>
      <c r="UAA42" s="44"/>
      <c r="UAB42" s="44"/>
      <c r="UAC42" s="44"/>
      <c r="UAD42" s="44"/>
      <c r="UAE42" s="44"/>
      <c r="UAF42" s="44"/>
      <c r="UAG42" s="44"/>
      <c r="UAH42" s="44"/>
      <c r="UAI42" s="44"/>
      <c r="UAJ42" s="44"/>
      <c r="UAK42" s="44"/>
      <c r="UAL42" s="44"/>
      <c r="UAM42" s="44"/>
      <c r="UAN42" s="44"/>
      <c r="UAO42" s="44"/>
      <c r="UAP42" s="44"/>
      <c r="UAQ42" s="44"/>
      <c r="UAR42" s="44"/>
      <c r="UAS42" s="44"/>
      <c r="UAT42" s="44"/>
      <c r="UAU42" s="44"/>
      <c r="UAV42" s="44"/>
      <c r="UAW42" s="44"/>
      <c r="UAX42" s="44"/>
      <c r="UAY42" s="44"/>
      <c r="UAZ42" s="44"/>
      <c r="UBA42" s="44"/>
      <c r="UBB42" s="44"/>
      <c r="UBC42" s="44"/>
      <c r="UBD42" s="44"/>
      <c r="UBE42" s="44"/>
      <c r="UBF42" s="44"/>
      <c r="UBG42" s="44"/>
      <c r="UBH42" s="44"/>
      <c r="UBI42" s="44"/>
      <c r="UBJ42" s="44"/>
      <c r="UBK42" s="44"/>
      <c r="UBL42" s="44"/>
      <c r="UBM42" s="44"/>
      <c r="UBN42" s="44"/>
      <c r="UBO42" s="44"/>
      <c r="UBP42" s="44"/>
      <c r="UBQ42" s="44"/>
      <c r="UBR42" s="44"/>
      <c r="UBS42" s="44"/>
      <c r="UBT42" s="44"/>
      <c r="UBU42" s="44"/>
      <c r="UBV42" s="44"/>
      <c r="UBW42" s="44"/>
      <c r="UBX42" s="44"/>
      <c r="UBY42" s="44"/>
      <c r="UBZ42" s="44"/>
      <c r="UCA42" s="44"/>
      <c r="UCB42" s="44"/>
      <c r="UCC42" s="44"/>
      <c r="UCD42" s="44"/>
      <c r="UCE42" s="44"/>
      <c r="UCF42" s="44"/>
      <c r="UCG42" s="44"/>
      <c r="UCH42" s="44"/>
      <c r="UCI42" s="44"/>
      <c r="UCJ42" s="44"/>
      <c r="UCK42" s="44"/>
      <c r="UCL42" s="44"/>
      <c r="UCM42" s="44"/>
      <c r="UCN42" s="44"/>
      <c r="UCO42" s="44"/>
      <c r="UCP42" s="44"/>
      <c r="UCQ42" s="44"/>
      <c r="UCR42" s="44"/>
      <c r="UCS42" s="44"/>
      <c r="UCT42" s="44"/>
      <c r="UCU42" s="44"/>
      <c r="UCV42" s="44"/>
      <c r="UCW42" s="44"/>
      <c r="UCX42" s="44"/>
      <c r="UCY42" s="44"/>
      <c r="UCZ42" s="44"/>
      <c r="UDA42" s="44"/>
      <c r="UDB42" s="44"/>
      <c r="UDC42" s="44"/>
      <c r="UDD42" s="44"/>
      <c r="UDE42" s="44"/>
      <c r="UDF42" s="44"/>
      <c r="UDG42" s="44"/>
      <c r="UDH42" s="44"/>
      <c r="UDI42" s="44"/>
      <c r="UDJ42" s="44"/>
      <c r="UDK42" s="44"/>
      <c r="UDL42" s="44"/>
      <c r="UDM42" s="44"/>
      <c r="UDN42" s="44"/>
      <c r="UDO42" s="44"/>
      <c r="UDP42" s="44"/>
      <c r="UDQ42" s="44"/>
      <c r="UDR42" s="44"/>
      <c r="UDS42" s="44"/>
      <c r="UDT42" s="44"/>
      <c r="UDU42" s="44"/>
      <c r="UDV42" s="44"/>
      <c r="UDW42" s="44"/>
      <c r="UDX42" s="44"/>
      <c r="UDY42" s="44"/>
      <c r="UDZ42" s="44"/>
      <c r="UEA42" s="44"/>
      <c r="UEB42" s="44"/>
      <c r="UEC42" s="44"/>
      <c r="UED42" s="44"/>
      <c r="UEE42" s="44"/>
      <c r="UEF42" s="44"/>
      <c r="UEG42" s="44"/>
      <c r="UEH42" s="44"/>
      <c r="UEI42" s="44"/>
      <c r="UEJ42" s="44"/>
      <c r="UEK42" s="44"/>
      <c r="UEL42" s="44"/>
      <c r="UEM42" s="44"/>
      <c r="UEN42" s="44"/>
      <c r="UEO42" s="44"/>
      <c r="UEP42" s="44"/>
      <c r="UEQ42" s="44"/>
      <c r="UER42" s="44"/>
      <c r="UES42" s="44"/>
      <c r="UET42" s="44"/>
      <c r="UEU42" s="44"/>
      <c r="UEV42" s="44"/>
      <c r="UEW42" s="44"/>
      <c r="UEX42" s="44"/>
      <c r="UEY42" s="44"/>
      <c r="UEZ42" s="44"/>
      <c r="UFA42" s="44"/>
      <c r="UFB42" s="44"/>
      <c r="UFC42" s="44"/>
      <c r="UFD42" s="44"/>
      <c r="UFE42" s="44"/>
      <c r="UFF42" s="44"/>
      <c r="UFG42" s="44"/>
      <c r="UFH42" s="44"/>
      <c r="UFI42" s="44"/>
      <c r="UFJ42" s="44"/>
      <c r="UFK42" s="44"/>
      <c r="UFL42" s="44"/>
      <c r="UFM42" s="44"/>
      <c r="UFN42" s="44"/>
      <c r="UFO42" s="44"/>
      <c r="UFP42" s="44"/>
      <c r="UFQ42" s="44"/>
      <c r="UFR42" s="44"/>
      <c r="UFS42" s="44"/>
      <c r="UFT42" s="44"/>
      <c r="UFU42" s="44"/>
      <c r="UFV42" s="44"/>
      <c r="UFW42" s="44"/>
      <c r="UFX42" s="44"/>
      <c r="UFY42" s="44"/>
      <c r="UFZ42" s="44"/>
      <c r="UGA42" s="44"/>
      <c r="UGB42" s="44"/>
      <c r="UGC42" s="44"/>
      <c r="UGD42" s="44"/>
      <c r="UGE42" s="44"/>
      <c r="UGF42" s="44"/>
      <c r="UGG42" s="44"/>
      <c r="UGH42" s="44"/>
      <c r="UGI42" s="44"/>
      <c r="UGJ42" s="44"/>
      <c r="UGK42" s="44"/>
      <c r="UGL42" s="44"/>
      <c r="UGM42" s="44"/>
      <c r="UGN42" s="44"/>
      <c r="UGO42" s="44"/>
      <c r="UGP42" s="44"/>
      <c r="UGQ42" s="44"/>
      <c r="UGR42" s="44"/>
      <c r="UGS42" s="44"/>
      <c r="UGT42" s="44"/>
      <c r="UGU42" s="44"/>
      <c r="UGV42" s="44"/>
      <c r="UGW42" s="44"/>
      <c r="UGX42" s="44"/>
      <c r="UGY42" s="44"/>
      <c r="UGZ42" s="44"/>
      <c r="UHA42" s="44"/>
      <c r="UHB42" s="44"/>
      <c r="UHC42" s="44"/>
      <c r="UHD42" s="44"/>
      <c r="UHE42" s="44"/>
      <c r="UHF42" s="44"/>
      <c r="UHG42" s="44"/>
      <c r="UHH42" s="44"/>
      <c r="UHI42" s="44"/>
      <c r="UHJ42" s="44"/>
      <c r="UHK42" s="44"/>
      <c r="UHL42" s="44"/>
      <c r="UHM42" s="44"/>
      <c r="UHN42" s="44"/>
      <c r="UHO42" s="44"/>
      <c r="UHP42" s="44"/>
      <c r="UHQ42" s="44"/>
      <c r="UHR42" s="44"/>
      <c r="UHS42" s="44"/>
      <c r="UHT42" s="44"/>
      <c r="UHU42" s="44"/>
      <c r="UHV42" s="44"/>
      <c r="UHW42" s="44"/>
      <c r="UHX42" s="44"/>
      <c r="UHY42" s="44"/>
      <c r="UHZ42" s="44"/>
      <c r="UIA42" s="44"/>
      <c r="UIB42" s="44"/>
      <c r="UIC42" s="44"/>
      <c r="UID42" s="44"/>
      <c r="UIE42" s="44"/>
      <c r="UIF42" s="44"/>
      <c r="UIG42" s="44"/>
      <c r="UIH42" s="44"/>
      <c r="UII42" s="44"/>
      <c r="UIJ42" s="44"/>
      <c r="UIK42" s="44"/>
      <c r="UIL42" s="44"/>
      <c r="UIM42" s="44"/>
      <c r="UIN42" s="44"/>
      <c r="UIO42" s="44"/>
      <c r="UIP42" s="44"/>
      <c r="UIQ42" s="44"/>
      <c r="UIR42" s="44"/>
      <c r="UIS42" s="44"/>
      <c r="UIT42" s="44"/>
      <c r="UIU42" s="44"/>
      <c r="UIV42" s="44"/>
      <c r="UIW42" s="44"/>
      <c r="UIX42" s="44"/>
      <c r="UIY42" s="44"/>
      <c r="UIZ42" s="44"/>
      <c r="UJA42" s="44"/>
      <c r="UJB42" s="44"/>
      <c r="UJC42" s="44"/>
      <c r="UJD42" s="44"/>
      <c r="UJE42" s="44"/>
      <c r="UJF42" s="44"/>
      <c r="UJG42" s="44"/>
      <c r="UJH42" s="44"/>
      <c r="UJI42" s="44"/>
      <c r="UJJ42" s="44"/>
      <c r="UJK42" s="44"/>
      <c r="UJL42" s="44"/>
      <c r="UJM42" s="44"/>
      <c r="UJN42" s="44"/>
      <c r="UJO42" s="44"/>
      <c r="UJP42" s="44"/>
      <c r="UJQ42" s="44"/>
      <c r="UJR42" s="44"/>
      <c r="UJS42" s="44"/>
      <c r="UJT42" s="44"/>
      <c r="UJU42" s="44"/>
      <c r="UJV42" s="44"/>
      <c r="UJW42" s="44"/>
      <c r="UJX42" s="44"/>
      <c r="UJY42" s="44"/>
      <c r="UJZ42" s="44"/>
      <c r="UKA42" s="44"/>
      <c r="UKB42" s="44"/>
      <c r="UKC42" s="44"/>
      <c r="UKD42" s="44"/>
      <c r="UKE42" s="44"/>
      <c r="UKF42" s="44"/>
      <c r="UKG42" s="44"/>
      <c r="UKH42" s="44"/>
      <c r="UKI42" s="44"/>
      <c r="UKJ42" s="44"/>
      <c r="UKK42" s="44"/>
      <c r="UKL42" s="44"/>
      <c r="UKM42" s="44"/>
      <c r="UKN42" s="44"/>
      <c r="UKO42" s="44"/>
      <c r="UKP42" s="44"/>
      <c r="UKQ42" s="44"/>
      <c r="UKR42" s="44"/>
      <c r="UKS42" s="44"/>
      <c r="UKT42" s="44"/>
      <c r="UKU42" s="44"/>
      <c r="UKV42" s="44"/>
      <c r="UKW42" s="44"/>
      <c r="UKX42" s="44"/>
      <c r="UKY42" s="44"/>
      <c r="UKZ42" s="44"/>
      <c r="ULA42" s="44"/>
      <c r="ULB42" s="44"/>
      <c r="ULC42" s="44"/>
      <c r="ULD42" s="44"/>
      <c r="ULE42" s="44"/>
      <c r="ULF42" s="44"/>
      <c r="ULG42" s="44"/>
      <c r="ULH42" s="44"/>
      <c r="ULI42" s="44"/>
      <c r="ULJ42" s="44"/>
      <c r="ULK42" s="44"/>
      <c r="ULL42" s="44"/>
      <c r="ULM42" s="44"/>
      <c r="ULN42" s="44"/>
      <c r="ULO42" s="44"/>
      <c r="ULP42" s="44"/>
      <c r="ULQ42" s="44"/>
      <c r="ULR42" s="44"/>
      <c r="ULS42" s="44"/>
      <c r="ULT42" s="44"/>
      <c r="ULU42" s="44"/>
      <c r="ULV42" s="44"/>
      <c r="ULW42" s="44"/>
      <c r="ULX42" s="44"/>
      <c r="ULY42" s="44"/>
      <c r="ULZ42" s="44"/>
      <c r="UMA42" s="44"/>
      <c r="UMB42" s="44"/>
      <c r="UMC42" s="44"/>
      <c r="UMD42" s="44"/>
      <c r="UME42" s="44"/>
      <c r="UMF42" s="44"/>
      <c r="UMG42" s="44"/>
      <c r="UMH42" s="44"/>
      <c r="UMI42" s="44"/>
      <c r="UMJ42" s="44"/>
      <c r="UMK42" s="44"/>
      <c r="UML42" s="44"/>
      <c r="UMM42" s="44"/>
      <c r="UMN42" s="44"/>
      <c r="UMO42" s="44"/>
      <c r="UMP42" s="44"/>
      <c r="UMQ42" s="44"/>
      <c r="UMR42" s="44"/>
      <c r="UMS42" s="44"/>
      <c r="UMT42" s="44"/>
      <c r="UMU42" s="44"/>
      <c r="UMV42" s="44"/>
      <c r="UMW42" s="44"/>
      <c r="UMX42" s="44"/>
      <c r="UMY42" s="44"/>
      <c r="UMZ42" s="44"/>
      <c r="UNA42" s="44"/>
      <c r="UNB42" s="44"/>
      <c r="UNC42" s="44"/>
      <c r="UND42" s="44"/>
      <c r="UNE42" s="44"/>
      <c r="UNF42" s="44"/>
      <c r="UNG42" s="44"/>
      <c r="UNH42" s="44"/>
      <c r="UNI42" s="44"/>
      <c r="UNJ42" s="44"/>
      <c r="UNK42" s="44"/>
      <c r="UNL42" s="44"/>
      <c r="UNM42" s="44"/>
      <c r="UNN42" s="44"/>
      <c r="UNO42" s="44"/>
      <c r="UNP42" s="44"/>
      <c r="UNQ42" s="44"/>
      <c r="UNR42" s="44"/>
      <c r="UNS42" s="44"/>
      <c r="UNT42" s="44"/>
      <c r="UNU42" s="44"/>
      <c r="UNV42" s="44"/>
      <c r="UNW42" s="44"/>
      <c r="UNX42" s="44"/>
      <c r="UNY42" s="44"/>
      <c r="UNZ42" s="44"/>
      <c r="UOA42" s="44"/>
      <c r="UOB42" s="44"/>
      <c r="UOC42" s="44"/>
      <c r="UOD42" s="44"/>
      <c r="UOE42" s="44"/>
      <c r="UOF42" s="44"/>
      <c r="UOG42" s="44"/>
      <c r="UOH42" s="44"/>
      <c r="UOI42" s="44"/>
      <c r="UOJ42" s="44"/>
      <c r="UOK42" s="44"/>
      <c r="UOL42" s="44"/>
      <c r="UOM42" s="44"/>
      <c r="UON42" s="44"/>
      <c r="UOO42" s="44"/>
      <c r="UOP42" s="44"/>
      <c r="UOQ42" s="44"/>
      <c r="UOR42" s="44"/>
      <c r="UOS42" s="44"/>
      <c r="UOT42" s="44"/>
      <c r="UOU42" s="44"/>
      <c r="UOV42" s="44"/>
      <c r="UOW42" s="44"/>
      <c r="UOX42" s="44"/>
      <c r="UOY42" s="44"/>
      <c r="UOZ42" s="44"/>
      <c r="UPA42" s="44"/>
      <c r="UPB42" s="44"/>
      <c r="UPC42" s="44"/>
      <c r="UPD42" s="44"/>
      <c r="UPE42" s="44"/>
      <c r="UPF42" s="44"/>
      <c r="UPG42" s="44"/>
      <c r="UPH42" s="44"/>
      <c r="UPI42" s="44"/>
      <c r="UPJ42" s="44"/>
      <c r="UPK42" s="44"/>
      <c r="UPL42" s="44"/>
      <c r="UPM42" s="44"/>
      <c r="UPN42" s="44"/>
      <c r="UPO42" s="44"/>
      <c r="UPP42" s="44"/>
      <c r="UPQ42" s="44"/>
      <c r="UPR42" s="44"/>
      <c r="UPS42" s="44"/>
      <c r="UPT42" s="44"/>
      <c r="UPU42" s="44"/>
      <c r="UPV42" s="44"/>
      <c r="UPW42" s="44"/>
      <c r="UPX42" s="44"/>
      <c r="UPY42" s="44"/>
      <c r="UPZ42" s="44"/>
      <c r="UQA42" s="44"/>
      <c r="UQB42" s="44"/>
      <c r="UQC42" s="44"/>
      <c r="UQD42" s="44"/>
      <c r="UQE42" s="44"/>
      <c r="UQF42" s="44"/>
      <c r="UQG42" s="44"/>
      <c r="UQH42" s="44"/>
      <c r="UQI42" s="44"/>
      <c r="UQJ42" s="44"/>
      <c r="UQK42" s="44"/>
      <c r="UQL42" s="44"/>
      <c r="UQM42" s="44"/>
      <c r="UQN42" s="44"/>
      <c r="UQO42" s="44"/>
      <c r="UQP42" s="44"/>
      <c r="UQQ42" s="44"/>
      <c r="UQR42" s="44"/>
      <c r="UQS42" s="44"/>
      <c r="UQT42" s="44"/>
      <c r="UQU42" s="44"/>
      <c r="UQV42" s="44"/>
      <c r="UQW42" s="44"/>
      <c r="UQX42" s="44"/>
      <c r="UQY42" s="44"/>
      <c r="UQZ42" s="44"/>
      <c r="URA42" s="44"/>
      <c r="URB42" s="44"/>
      <c r="URC42" s="44"/>
      <c r="URD42" s="44"/>
      <c r="URE42" s="44"/>
      <c r="URF42" s="44"/>
      <c r="URG42" s="44"/>
      <c r="URH42" s="44"/>
      <c r="URI42" s="44"/>
      <c r="URJ42" s="44"/>
      <c r="URK42" s="44"/>
      <c r="URL42" s="44"/>
      <c r="URM42" s="44"/>
      <c r="URN42" s="44"/>
      <c r="URO42" s="44"/>
      <c r="URP42" s="44"/>
      <c r="URQ42" s="44"/>
      <c r="URR42" s="44"/>
      <c r="URS42" s="44"/>
      <c r="URT42" s="44"/>
      <c r="URU42" s="44"/>
      <c r="URV42" s="44"/>
      <c r="URW42" s="44"/>
      <c r="URX42" s="44"/>
      <c r="URY42" s="44"/>
      <c r="URZ42" s="44"/>
      <c r="USA42" s="44"/>
      <c r="USB42" s="44"/>
      <c r="USC42" s="44"/>
      <c r="USD42" s="44"/>
      <c r="USE42" s="44"/>
      <c r="USF42" s="44"/>
      <c r="USG42" s="44"/>
      <c r="USH42" s="44"/>
      <c r="USI42" s="44"/>
      <c r="USJ42" s="44"/>
      <c r="USK42" s="44"/>
      <c r="USL42" s="44"/>
      <c r="USM42" s="44"/>
      <c r="USN42" s="44"/>
      <c r="USO42" s="44"/>
      <c r="USP42" s="44"/>
      <c r="USQ42" s="44"/>
      <c r="USR42" s="44"/>
      <c r="USS42" s="44"/>
      <c r="UST42" s="44"/>
      <c r="USU42" s="44"/>
      <c r="USV42" s="44"/>
      <c r="USW42" s="44"/>
      <c r="USX42" s="44"/>
      <c r="USY42" s="44"/>
      <c r="USZ42" s="44"/>
      <c r="UTA42" s="44"/>
      <c r="UTB42" s="44"/>
      <c r="UTC42" s="44"/>
      <c r="UTD42" s="44"/>
      <c r="UTE42" s="44"/>
      <c r="UTF42" s="44"/>
      <c r="UTG42" s="44"/>
      <c r="UTH42" s="44"/>
      <c r="UTI42" s="44"/>
      <c r="UTJ42" s="44"/>
      <c r="UTK42" s="44"/>
      <c r="UTL42" s="44"/>
      <c r="UTM42" s="44"/>
      <c r="UTN42" s="44"/>
      <c r="UTO42" s="44"/>
      <c r="UTP42" s="44"/>
      <c r="UTQ42" s="44"/>
      <c r="UTR42" s="44"/>
      <c r="UTS42" s="44"/>
      <c r="UTT42" s="44"/>
      <c r="UTU42" s="44"/>
      <c r="UTV42" s="44"/>
      <c r="UTW42" s="44"/>
      <c r="UTX42" s="44"/>
      <c r="UTY42" s="44"/>
      <c r="UTZ42" s="44"/>
      <c r="UUA42" s="44"/>
      <c r="UUB42" s="44"/>
      <c r="UUC42" s="44"/>
      <c r="UUD42" s="44"/>
      <c r="UUE42" s="44"/>
      <c r="UUF42" s="44"/>
      <c r="UUG42" s="44"/>
      <c r="UUH42" s="44"/>
      <c r="UUI42" s="44"/>
      <c r="UUJ42" s="44"/>
      <c r="UUK42" s="44"/>
      <c r="UUL42" s="44"/>
      <c r="UUM42" s="44"/>
      <c r="UUN42" s="44"/>
      <c r="UUO42" s="44"/>
      <c r="UUP42" s="44"/>
      <c r="UUQ42" s="44"/>
      <c r="UUR42" s="44"/>
      <c r="UUS42" s="44"/>
      <c r="UUT42" s="44"/>
      <c r="UUU42" s="44"/>
      <c r="UUV42" s="44"/>
      <c r="UUW42" s="44"/>
      <c r="UUX42" s="44"/>
      <c r="UUY42" s="44"/>
      <c r="UUZ42" s="44"/>
      <c r="UVA42" s="44"/>
      <c r="UVB42" s="44"/>
      <c r="UVC42" s="44"/>
      <c r="UVD42" s="44"/>
      <c r="UVE42" s="44"/>
      <c r="UVF42" s="44"/>
      <c r="UVG42" s="44"/>
      <c r="UVH42" s="44"/>
      <c r="UVI42" s="44"/>
      <c r="UVJ42" s="44"/>
      <c r="UVK42" s="44"/>
      <c r="UVL42" s="44"/>
      <c r="UVM42" s="44"/>
      <c r="UVN42" s="44"/>
      <c r="UVO42" s="44"/>
      <c r="UVP42" s="44"/>
      <c r="UVQ42" s="44"/>
      <c r="UVR42" s="44"/>
      <c r="UVS42" s="44"/>
      <c r="UVT42" s="44"/>
      <c r="UVU42" s="44"/>
      <c r="UVV42" s="44"/>
      <c r="UVW42" s="44"/>
      <c r="UVX42" s="44"/>
      <c r="UVY42" s="44"/>
      <c r="UVZ42" s="44"/>
      <c r="UWA42" s="44"/>
      <c r="UWB42" s="44"/>
      <c r="UWC42" s="44"/>
      <c r="UWD42" s="44"/>
      <c r="UWE42" s="44"/>
      <c r="UWF42" s="44"/>
      <c r="UWG42" s="44"/>
      <c r="UWH42" s="44"/>
      <c r="UWI42" s="44"/>
      <c r="UWJ42" s="44"/>
      <c r="UWK42" s="44"/>
      <c r="UWL42" s="44"/>
      <c r="UWM42" s="44"/>
      <c r="UWN42" s="44"/>
      <c r="UWO42" s="44"/>
      <c r="UWP42" s="44"/>
      <c r="UWQ42" s="44"/>
      <c r="UWR42" s="44"/>
      <c r="UWS42" s="44"/>
      <c r="UWT42" s="44"/>
      <c r="UWU42" s="44"/>
      <c r="UWV42" s="44"/>
      <c r="UWW42" s="44"/>
      <c r="UWX42" s="44"/>
      <c r="UWY42" s="44"/>
      <c r="UWZ42" s="44"/>
      <c r="UXA42" s="44"/>
      <c r="UXB42" s="44"/>
      <c r="UXC42" s="44"/>
      <c r="UXD42" s="44"/>
      <c r="UXE42" s="44"/>
      <c r="UXF42" s="44"/>
      <c r="UXG42" s="44"/>
      <c r="UXH42" s="44"/>
      <c r="UXI42" s="44"/>
      <c r="UXJ42" s="44"/>
      <c r="UXK42" s="44"/>
      <c r="UXL42" s="44"/>
      <c r="UXM42" s="44"/>
      <c r="UXN42" s="44"/>
      <c r="UXO42" s="44"/>
      <c r="UXP42" s="44"/>
      <c r="UXQ42" s="44"/>
      <c r="UXR42" s="44"/>
      <c r="UXS42" s="44"/>
      <c r="UXT42" s="44"/>
      <c r="UXU42" s="44"/>
      <c r="UXV42" s="44"/>
      <c r="UXW42" s="44"/>
      <c r="UXX42" s="44"/>
      <c r="UXY42" s="44"/>
      <c r="UXZ42" s="44"/>
      <c r="UYA42" s="44"/>
      <c r="UYB42" s="44"/>
      <c r="UYC42" s="44"/>
      <c r="UYD42" s="44"/>
      <c r="UYE42" s="44"/>
      <c r="UYF42" s="44"/>
      <c r="UYG42" s="44"/>
      <c r="UYH42" s="44"/>
      <c r="UYI42" s="44"/>
      <c r="UYJ42" s="44"/>
      <c r="UYK42" s="44"/>
      <c r="UYL42" s="44"/>
      <c r="UYM42" s="44"/>
      <c r="UYN42" s="44"/>
      <c r="UYO42" s="44"/>
      <c r="UYP42" s="44"/>
      <c r="UYQ42" s="44"/>
      <c r="UYR42" s="44"/>
      <c r="UYS42" s="44"/>
      <c r="UYT42" s="44"/>
      <c r="UYU42" s="44"/>
      <c r="UYV42" s="44"/>
      <c r="UYW42" s="44"/>
      <c r="UYX42" s="44"/>
      <c r="UYY42" s="44"/>
      <c r="UYZ42" s="44"/>
      <c r="UZA42" s="44"/>
      <c r="UZB42" s="44"/>
      <c r="UZC42" s="44"/>
      <c r="UZD42" s="44"/>
      <c r="UZE42" s="44"/>
      <c r="UZF42" s="44"/>
      <c r="UZG42" s="44"/>
      <c r="UZH42" s="44"/>
      <c r="UZI42" s="44"/>
      <c r="UZJ42" s="44"/>
      <c r="UZK42" s="44"/>
      <c r="UZL42" s="44"/>
      <c r="UZM42" s="44"/>
      <c r="UZN42" s="44"/>
      <c r="UZO42" s="44"/>
      <c r="UZP42" s="44"/>
      <c r="UZQ42" s="44"/>
      <c r="UZR42" s="44"/>
      <c r="UZS42" s="44"/>
      <c r="UZT42" s="44"/>
      <c r="UZU42" s="44"/>
      <c r="UZV42" s="44"/>
      <c r="UZW42" s="44"/>
      <c r="UZX42" s="44"/>
      <c r="UZY42" s="44"/>
      <c r="UZZ42" s="44"/>
      <c r="VAA42" s="44"/>
      <c r="VAB42" s="44"/>
      <c r="VAC42" s="44"/>
      <c r="VAD42" s="44"/>
      <c r="VAE42" s="44"/>
      <c r="VAF42" s="44"/>
      <c r="VAG42" s="44"/>
      <c r="VAH42" s="44"/>
      <c r="VAI42" s="44"/>
      <c r="VAJ42" s="44"/>
      <c r="VAK42" s="44"/>
      <c r="VAL42" s="44"/>
      <c r="VAM42" s="44"/>
      <c r="VAN42" s="44"/>
      <c r="VAO42" s="44"/>
      <c r="VAP42" s="44"/>
      <c r="VAQ42" s="44"/>
      <c r="VAR42" s="44"/>
      <c r="VAS42" s="44"/>
      <c r="VAT42" s="44"/>
      <c r="VAU42" s="44"/>
      <c r="VAV42" s="44"/>
      <c r="VAW42" s="44"/>
      <c r="VAX42" s="44"/>
      <c r="VAY42" s="44"/>
      <c r="VAZ42" s="44"/>
      <c r="VBA42" s="44"/>
      <c r="VBB42" s="44"/>
      <c r="VBC42" s="44"/>
      <c r="VBD42" s="44"/>
      <c r="VBE42" s="44"/>
      <c r="VBF42" s="44"/>
      <c r="VBG42" s="44"/>
      <c r="VBH42" s="44"/>
      <c r="VBI42" s="44"/>
      <c r="VBJ42" s="44"/>
      <c r="VBK42" s="44"/>
      <c r="VBL42" s="44"/>
      <c r="VBM42" s="44"/>
      <c r="VBN42" s="44"/>
      <c r="VBO42" s="44"/>
      <c r="VBP42" s="44"/>
      <c r="VBQ42" s="44"/>
      <c r="VBR42" s="44"/>
      <c r="VBS42" s="44"/>
      <c r="VBT42" s="44"/>
      <c r="VBU42" s="44"/>
      <c r="VBV42" s="44"/>
      <c r="VBW42" s="44"/>
      <c r="VBX42" s="44"/>
      <c r="VBY42" s="44"/>
      <c r="VBZ42" s="44"/>
      <c r="VCA42" s="44"/>
      <c r="VCB42" s="44"/>
      <c r="VCC42" s="44"/>
      <c r="VCD42" s="44"/>
      <c r="VCE42" s="44"/>
      <c r="VCF42" s="44"/>
      <c r="VCG42" s="44"/>
      <c r="VCH42" s="44"/>
      <c r="VCI42" s="44"/>
      <c r="VCJ42" s="44"/>
      <c r="VCK42" s="44"/>
      <c r="VCL42" s="44"/>
      <c r="VCM42" s="44"/>
      <c r="VCN42" s="44"/>
      <c r="VCO42" s="44"/>
      <c r="VCP42" s="44"/>
      <c r="VCQ42" s="44"/>
      <c r="VCR42" s="44"/>
      <c r="VCS42" s="44"/>
      <c r="VCT42" s="44"/>
      <c r="VCU42" s="44"/>
      <c r="VCV42" s="44"/>
      <c r="VCW42" s="44"/>
      <c r="VCX42" s="44"/>
      <c r="VCY42" s="44"/>
      <c r="VCZ42" s="44"/>
      <c r="VDA42" s="44"/>
      <c r="VDB42" s="44"/>
      <c r="VDC42" s="44"/>
      <c r="VDD42" s="44"/>
      <c r="VDE42" s="44"/>
      <c r="VDF42" s="44"/>
      <c r="VDG42" s="44"/>
      <c r="VDH42" s="44"/>
      <c r="VDI42" s="44"/>
      <c r="VDJ42" s="44"/>
      <c r="VDK42" s="44"/>
      <c r="VDL42" s="44"/>
      <c r="VDM42" s="44"/>
      <c r="VDN42" s="44"/>
      <c r="VDO42" s="44"/>
      <c r="VDP42" s="44"/>
      <c r="VDQ42" s="44"/>
      <c r="VDR42" s="44"/>
      <c r="VDS42" s="44"/>
      <c r="VDT42" s="44"/>
      <c r="VDU42" s="44"/>
      <c r="VDV42" s="44"/>
      <c r="VDW42" s="44"/>
      <c r="VDX42" s="44"/>
      <c r="VDY42" s="44"/>
      <c r="VDZ42" s="44"/>
      <c r="VEA42" s="44"/>
      <c r="VEB42" s="44"/>
      <c r="VEC42" s="44"/>
      <c r="VED42" s="44"/>
      <c r="VEE42" s="44"/>
      <c r="VEF42" s="44"/>
      <c r="VEG42" s="44"/>
      <c r="VEH42" s="44"/>
      <c r="VEI42" s="44"/>
      <c r="VEJ42" s="44"/>
      <c r="VEK42" s="44"/>
      <c r="VEL42" s="44"/>
      <c r="VEM42" s="44"/>
      <c r="VEN42" s="44"/>
      <c r="VEO42" s="44"/>
      <c r="VEP42" s="44"/>
      <c r="VEQ42" s="44"/>
      <c r="VER42" s="44"/>
      <c r="VES42" s="44"/>
      <c r="VET42" s="44"/>
      <c r="VEU42" s="44"/>
      <c r="VEV42" s="44"/>
      <c r="VEW42" s="44"/>
      <c r="VEX42" s="44"/>
      <c r="VEY42" s="44"/>
      <c r="VEZ42" s="44"/>
      <c r="VFA42" s="44"/>
      <c r="VFB42" s="44"/>
      <c r="VFC42" s="44"/>
      <c r="VFD42" s="44"/>
      <c r="VFE42" s="44"/>
      <c r="VFF42" s="44"/>
      <c r="VFG42" s="44"/>
      <c r="VFH42" s="44"/>
      <c r="VFI42" s="44"/>
      <c r="VFJ42" s="44"/>
      <c r="VFK42" s="44"/>
      <c r="VFL42" s="44"/>
      <c r="VFM42" s="44"/>
      <c r="VFN42" s="44"/>
      <c r="VFO42" s="44"/>
      <c r="VFP42" s="44"/>
      <c r="VFQ42" s="44"/>
      <c r="VFR42" s="44"/>
      <c r="VFS42" s="44"/>
      <c r="VFT42" s="44"/>
      <c r="VFU42" s="44"/>
      <c r="VFV42" s="44"/>
      <c r="VFW42" s="44"/>
      <c r="VFX42" s="44"/>
      <c r="VFY42" s="44"/>
      <c r="VFZ42" s="44"/>
      <c r="VGA42" s="44"/>
      <c r="VGB42" s="44"/>
      <c r="VGC42" s="44"/>
      <c r="VGD42" s="44"/>
      <c r="VGE42" s="44"/>
      <c r="VGF42" s="44"/>
      <c r="VGG42" s="44"/>
      <c r="VGH42" s="44"/>
      <c r="VGI42" s="44"/>
      <c r="VGJ42" s="44"/>
      <c r="VGK42" s="44"/>
      <c r="VGL42" s="44"/>
      <c r="VGM42" s="44"/>
      <c r="VGN42" s="44"/>
      <c r="VGO42" s="44"/>
      <c r="VGP42" s="44"/>
      <c r="VGQ42" s="44"/>
      <c r="VGR42" s="44"/>
      <c r="VGS42" s="44"/>
      <c r="VGT42" s="44"/>
      <c r="VGU42" s="44"/>
      <c r="VGV42" s="44"/>
      <c r="VGW42" s="44"/>
      <c r="VGX42" s="44"/>
      <c r="VGY42" s="44"/>
      <c r="VGZ42" s="44"/>
      <c r="VHA42" s="44"/>
      <c r="VHB42" s="44"/>
      <c r="VHC42" s="44"/>
      <c r="VHD42" s="44"/>
      <c r="VHE42" s="44"/>
      <c r="VHF42" s="44"/>
      <c r="VHG42" s="44"/>
      <c r="VHH42" s="44"/>
      <c r="VHI42" s="44"/>
      <c r="VHJ42" s="44"/>
      <c r="VHK42" s="44"/>
      <c r="VHL42" s="44"/>
      <c r="VHM42" s="44"/>
      <c r="VHN42" s="44"/>
      <c r="VHO42" s="44"/>
      <c r="VHP42" s="44"/>
      <c r="VHQ42" s="44"/>
      <c r="VHR42" s="44"/>
      <c r="VHS42" s="44"/>
      <c r="VHT42" s="44"/>
      <c r="VHU42" s="44"/>
      <c r="VHV42" s="44"/>
      <c r="VHW42" s="44"/>
      <c r="VHX42" s="44"/>
      <c r="VHY42" s="44"/>
      <c r="VHZ42" s="44"/>
      <c r="VIA42" s="44"/>
      <c r="VIB42" s="44"/>
      <c r="VIC42" s="44"/>
      <c r="VID42" s="44"/>
      <c r="VIE42" s="44"/>
      <c r="VIF42" s="44"/>
      <c r="VIG42" s="44"/>
      <c r="VIH42" s="44"/>
      <c r="VII42" s="44"/>
      <c r="VIJ42" s="44"/>
      <c r="VIK42" s="44"/>
      <c r="VIL42" s="44"/>
      <c r="VIM42" s="44"/>
      <c r="VIN42" s="44"/>
      <c r="VIO42" s="44"/>
      <c r="VIP42" s="44"/>
      <c r="VIQ42" s="44"/>
      <c r="VIR42" s="44"/>
      <c r="VIS42" s="44"/>
      <c r="VIT42" s="44"/>
      <c r="VIU42" s="44"/>
      <c r="VIV42" s="44"/>
      <c r="VIW42" s="44"/>
      <c r="VIX42" s="44"/>
      <c r="VIY42" s="44"/>
      <c r="VIZ42" s="44"/>
      <c r="VJA42" s="44"/>
      <c r="VJB42" s="44"/>
      <c r="VJC42" s="44"/>
      <c r="VJD42" s="44"/>
      <c r="VJE42" s="44"/>
      <c r="VJF42" s="44"/>
      <c r="VJG42" s="44"/>
      <c r="VJH42" s="44"/>
      <c r="VJI42" s="44"/>
      <c r="VJJ42" s="44"/>
      <c r="VJK42" s="44"/>
      <c r="VJL42" s="44"/>
      <c r="VJM42" s="44"/>
      <c r="VJN42" s="44"/>
      <c r="VJO42" s="44"/>
      <c r="VJP42" s="44"/>
      <c r="VJQ42" s="44"/>
      <c r="VJR42" s="44"/>
      <c r="VJS42" s="44"/>
      <c r="VJT42" s="44"/>
      <c r="VJU42" s="44"/>
      <c r="VJV42" s="44"/>
      <c r="VJW42" s="44"/>
      <c r="VJX42" s="44"/>
      <c r="VJY42" s="44"/>
      <c r="VJZ42" s="44"/>
      <c r="VKA42" s="44"/>
      <c r="VKB42" s="44"/>
      <c r="VKC42" s="44"/>
      <c r="VKD42" s="44"/>
      <c r="VKE42" s="44"/>
      <c r="VKF42" s="44"/>
      <c r="VKG42" s="44"/>
      <c r="VKH42" s="44"/>
      <c r="VKI42" s="44"/>
      <c r="VKJ42" s="44"/>
      <c r="VKK42" s="44"/>
      <c r="VKL42" s="44"/>
      <c r="VKM42" s="44"/>
      <c r="VKN42" s="44"/>
      <c r="VKO42" s="44"/>
      <c r="VKP42" s="44"/>
      <c r="VKQ42" s="44"/>
      <c r="VKR42" s="44"/>
      <c r="VKS42" s="44"/>
      <c r="VKT42" s="44"/>
      <c r="VKU42" s="44"/>
      <c r="VKV42" s="44"/>
      <c r="VKW42" s="44"/>
      <c r="VKX42" s="44"/>
      <c r="VKY42" s="44"/>
      <c r="VKZ42" s="44"/>
      <c r="VLA42" s="44"/>
      <c r="VLB42" s="44"/>
      <c r="VLC42" s="44"/>
      <c r="VLD42" s="44"/>
      <c r="VLE42" s="44"/>
      <c r="VLF42" s="44"/>
      <c r="VLG42" s="44"/>
      <c r="VLH42" s="44"/>
      <c r="VLI42" s="44"/>
      <c r="VLJ42" s="44"/>
      <c r="VLK42" s="44"/>
      <c r="VLL42" s="44"/>
      <c r="VLM42" s="44"/>
      <c r="VLN42" s="44"/>
      <c r="VLO42" s="44"/>
      <c r="VLP42" s="44"/>
      <c r="VLQ42" s="44"/>
      <c r="VLR42" s="44"/>
      <c r="VLS42" s="44"/>
      <c r="VLT42" s="44"/>
      <c r="VLU42" s="44"/>
      <c r="VLV42" s="44"/>
      <c r="VLW42" s="44"/>
      <c r="VLX42" s="44"/>
      <c r="VLY42" s="44"/>
      <c r="VLZ42" s="44"/>
      <c r="VMA42" s="44"/>
      <c r="VMB42" s="44"/>
      <c r="VMC42" s="44"/>
      <c r="VMD42" s="44"/>
      <c r="VME42" s="44"/>
      <c r="VMF42" s="44"/>
      <c r="VMG42" s="44"/>
      <c r="VMH42" s="44"/>
      <c r="VMI42" s="44"/>
      <c r="VMJ42" s="44"/>
      <c r="VMK42" s="44"/>
      <c r="VML42" s="44"/>
      <c r="VMM42" s="44"/>
      <c r="VMN42" s="44"/>
      <c r="VMO42" s="44"/>
      <c r="VMP42" s="44"/>
      <c r="VMQ42" s="44"/>
      <c r="VMR42" s="44"/>
      <c r="VMS42" s="44"/>
      <c r="VMT42" s="44"/>
      <c r="VMU42" s="44"/>
      <c r="VMV42" s="44"/>
      <c r="VMW42" s="44"/>
      <c r="VMX42" s="44"/>
      <c r="VMY42" s="44"/>
      <c r="VMZ42" s="44"/>
      <c r="VNA42" s="44"/>
      <c r="VNB42" s="44"/>
      <c r="VNC42" s="44"/>
      <c r="VND42" s="44"/>
      <c r="VNE42" s="44"/>
      <c r="VNF42" s="44"/>
      <c r="VNG42" s="44"/>
      <c r="VNH42" s="44"/>
      <c r="VNI42" s="44"/>
      <c r="VNJ42" s="44"/>
      <c r="VNK42" s="44"/>
      <c r="VNL42" s="44"/>
      <c r="VNM42" s="44"/>
      <c r="VNN42" s="44"/>
      <c r="VNO42" s="44"/>
      <c r="VNP42" s="44"/>
      <c r="VNQ42" s="44"/>
      <c r="VNR42" s="44"/>
      <c r="VNS42" s="44"/>
      <c r="VNT42" s="44"/>
      <c r="VNU42" s="44"/>
      <c r="VNV42" s="44"/>
      <c r="VNW42" s="44"/>
      <c r="VNX42" s="44"/>
      <c r="VNY42" s="44"/>
      <c r="VNZ42" s="44"/>
      <c r="VOA42" s="44"/>
      <c r="VOB42" s="44"/>
      <c r="VOC42" s="44"/>
      <c r="VOD42" s="44"/>
      <c r="VOE42" s="44"/>
      <c r="VOF42" s="44"/>
      <c r="VOG42" s="44"/>
      <c r="VOH42" s="44"/>
      <c r="VOI42" s="44"/>
      <c r="VOJ42" s="44"/>
      <c r="VOK42" s="44"/>
      <c r="VOL42" s="44"/>
      <c r="VOM42" s="44"/>
      <c r="VON42" s="44"/>
      <c r="VOO42" s="44"/>
      <c r="VOP42" s="44"/>
      <c r="VOQ42" s="44"/>
      <c r="VOR42" s="44"/>
      <c r="VOS42" s="44"/>
      <c r="VOT42" s="44"/>
      <c r="VOU42" s="44"/>
      <c r="VOV42" s="44"/>
      <c r="VOW42" s="44"/>
      <c r="VOX42" s="44"/>
      <c r="VOY42" s="44"/>
      <c r="VOZ42" s="44"/>
      <c r="VPA42" s="44"/>
      <c r="VPB42" s="44"/>
      <c r="VPC42" s="44"/>
      <c r="VPD42" s="44"/>
      <c r="VPE42" s="44"/>
      <c r="VPF42" s="44"/>
      <c r="VPG42" s="44"/>
      <c r="VPH42" s="44"/>
      <c r="VPI42" s="44"/>
      <c r="VPJ42" s="44"/>
      <c r="VPK42" s="44"/>
      <c r="VPL42" s="44"/>
      <c r="VPM42" s="44"/>
      <c r="VPN42" s="44"/>
      <c r="VPO42" s="44"/>
      <c r="VPP42" s="44"/>
      <c r="VPQ42" s="44"/>
      <c r="VPR42" s="44"/>
      <c r="VPS42" s="44"/>
      <c r="VPT42" s="44"/>
      <c r="VPU42" s="44"/>
      <c r="VPV42" s="44"/>
      <c r="VPW42" s="44"/>
      <c r="VPX42" s="44"/>
      <c r="VPY42" s="44"/>
      <c r="VPZ42" s="44"/>
      <c r="VQA42" s="44"/>
      <c r="VQB42" s="44"/>
      <c r="VQC42" s="44"/>
      <c r="VQD42" s="44"/>
      <c r="VQE42" s="44"/>
      <c r="VQF42" s="44"/>
      <c r="VQG42" s="44"/>
      <c r="VQH42" s="44"/>
      <c r="VQI42" s="44"/>
      <c r="VQJ42" s="44"/>
      <c r="VQK42" s="44"/>
      <c r="VQL42" s="44"/>
      <c r="VQM42" s="44"/>
      <c r="VQN42" s="44"/>
      <c r="VQO42" s="44"/>
      <c r="VQP42" s="44"/>
      <c r="VQQ42" s="44"/>
      <c r="VQR42" s="44"/>
      <c r="VQS42" s="44"/>
      <c r="VQT42" s="44"/>
      <c r="VQU42" s="44"/>
      <c r="VQV42" s="44"/>
      <c r="VQW42" s="44"/>
      <c r="VQX42" s="44"/>
      <c r="VQY42" s="44"/>
      <c r="VQZ42" s="44"/>
      <c r="VRA42" s="44"/>
      <c r="VRB42" s="44"/>
      <c r="VRC42" s="44"/>
      <c r="VRD42" s="44"/>
      <c r="VRE42" s="44"/>
      <c r="VRF42" s="44"/>
      <c r="VRG42" s="44"/>
      <c r="VRH42" s="44"/>
      <c r="VRI42" s="44"/>
      <c r="VRJ42" s="44"/>
      <c r="VRK42" s="44"/>
      <c r="VRL42" s="44"/>
      <c r="VRM42" s="44"/>
      <c r="VRN42" s="44"/>
      <c r="VRO42" s="44"/>
      <c r="VRP42" s="44"/>
      <c r="VRQ42" s="44"/>
      <c r="VRR42" s="44"/>
      <c r="VRS42" s="44"/>
      <c r="VRT42" s="44"/>
      <c r="VRU42" s="44"/>
      <c r="VRV42" s="44"/>
      <c r="VRW42" s="44"/>
      <c r="VRX42" s="44"/>
      <c r="VRY42" s="44"/>
      <c r="VRZ42" s="44"/>
      <c r="VSA42" s="44"/>
      <c r="VSB42" s="44"/>
      <c r="VSC42" s="44"/>
      <c r="VSD42" s="44"/>
      <c r="VSE42" s="44"/>
      <c r="VSF42" s="44"/>
      <c r="VSG42" s="44"/>
      <c r="VSH42" s="44"/>
      <c r="VSI42" s="44"/>
      <c r="VSJ42" s="44"/>
      <c r="VSK42" s="44"/>
      <c r="VSL42" s="44"/>
      <c r="VSM42" s="44"/>
      <c r="VSN42" s="44"/>
      <c r="VSO42" s="44"/>
      <c r="VSP42" s="44"/>
      <c r="VSQ42" s="44"/>
      <c r="VSR42" s="44"/>
      <c r="VSS42" s="44"/>
      <c r="VST42" s="44"/>
      <c r="VSU42" s="44"/>
      <c r="VSV42" s="44"/>
      <c r="VSW42" s="44"/>
      <c r="VSX42" s="44"/>
      <c r="VSY42" s="44"/>
      <c r="VSZ42" s="44"/>
      <c r="VTA42" s="44"/>
      <c r="VTB42" s="44"/>
      <c r="VTC42" s="44"/>
      <c r="VTD42" s="44"/>
      <c r="VTE42" s="44"/>
      <c r="VTF42" s="44"/>
      <c r="VTG42" s="44"/>
      <c r="VTH42" s="44"/>
      <c r="VTI42" s="44"/>
      <c r="VTJ42" s="44"/>
      <c r="VTK42" s="44"/>
      <c r="VTL42" s="44"/>
      <c r="VTM42" s="44"/>
      <c r="VTN42" s="44"/>
      <c r="VTO42" s="44"/>
      <c r="VTP42" s="44"/>
      <c r="VTQ42" s="44"/>
      <c r="VTR42" s="44"/>
      <c r="VTS42" s="44"/>
      <c r="VTT42" s="44"/>
      <c r="VTU42" s="44"/>
      <c r="VTV42" s="44"/>
      <c r="VTW42" s="44"/>
      <c r="VTX42" s="44"/>
      <c r="VTY42" s="44"/>
      <c r="VTZ42" s="44"/>
      <c r="VUA42" s="44"/>
      <c r="VUB42" s="44"/>
      <c r="VUC42" s="44"/>
      <c r="VUD42" s="44"/>
      <c r="VUE42" s="44"/>
      <c r="VUF42" s="44"/>
      <c r="VUG42" s="44"/>
      <c r="VUH42" s="44"/>
      <c r="VUI42" s="44"/>
      <c r="VUJ42" s="44"/>
      <c r="VUK42" s="44"/>
      <c r="VUL42" s="44"/>
      <c r="VUM42" s="44"/>
      <c r="VUN42" s="44"/>
      <c r="VUO42" s="44"/>
      <c r="VUP42" s="44"/>
      <c r="VUQ42" s="44"/>
      <c r="VUR42" s="44"/>
      <c r="VUS42" s="44"/>
      <c r="VUT42" s="44"/>
      <c r="VUU42" s="44"/>
      <c r="VUV42" s="44"/>
      <c r="VUW42" s="44"/>
      <c r="VUX42" s="44"/>
      <c r="VUY42" s="44"/>
      <c r="VUZ42" s="44"/>
      <c r="VVA42" s="44"/>
      <c r="VVB42" s="44"/>
      <c r="VVC42" s="44"/>
      <c r="VVD42" s="44"/>
      <c r="VVE42" s="44"/>
      <c r="VVF42" s="44"/>
      <c r="VVG42" s="44"/>
      <c r="VVH42" s="44"/>
      <c r="VVI42" s="44"/>
      <c r="VVJ42" s="44"/>
      <c r="VVK42" s="44"/>
      <c r="VVL42" s="44"/>
      <c r="VVM42" s="44"/>
      <c r="VVN42" s="44"/>
      <c r="VVO42" s="44"/>
      <c r="VVP42" s="44"/>
      <c r="VVQ42" s="44"/>
      <c r="VVR42" s="44"/>
      <c r="VVS42" s="44"/>
      <c r="VVT42" s="44"/>
      <c r="VVU42" s="44"/>
      <c r="VVV42" s="44"/>
      <c r="VVW42" s="44"/>
      <c r="VVX42" s="44"/>
      <c r="VVY42" s="44"/>
      <c r="VVZ42" s="44"/>
      <c r="VWA42" s="44"/>
      <c r="VWB42" s="44"/>
      <c r="VWC42" s="44"/>
      <c r="VWD42" s="44"/>
      <c r="VWE42" s="44"/>
      <c r="VWF42" s="44"/>
      <c r="VWG42" s="44"/>
      <c r="VWH42" s="44"/>
      <c r="VWI42" s="44"/>
      <c r="VWJ42" s="44"/>
      <c r="VWK42" s="44"/>
      <c r="VWL42" s="44"/>
      <c r="VWM42" s="44"/>
      <c r="VWN42" s="44"/>
      <c r="VWO42" s="44"/>
      <c r="VWP42" s="44"/>
      <c r="VWQ42" s="44"/>
      <c r="VWR42" s="44"/>
      <c r="VWS42" s="44"/>
      <c r="VWT42" s="44"/>
      <c r="VWU42" s="44"/>
      <c r="VWV42" s="44"/>
      <c r="VWW42" s="44"/>
      <c r="VWX42" s="44"/>
      <c r="VWY42" s="44"/>
      <c r="VWZ42" s="44"/>
      <c r="VXA42" s="44"/>
      <c r="VXB42" s="44"/>
      <c r="VXC42" s="44"/>
      <c r="VXD42" s="44"/>
      <c r="VXE42" s="44"/>
      <c r="VXF42" s="44"/>
      <c r="VXG42" s="44"/>
      <c r="VXH42" s="44"/>
      <c r="VXI42" s="44"/>
      <c r="VXJ42" s="44"/>
      <c r="VXK42" s="44"/>
      <c r="VXL42" s="44"/>
      <c r="VXM42" s="44"/>
      <c r="VXN42" s="44"/>
      <c r="VXO42" s="44"/>
      <c r="VXP42" s="44"/>
      <c r="VXQ42" s="44"/>
      <c r="VXR42" s="44"/>
      <c r="VXS42" s="44"/>
      <c r="VXT42" s="44"/>
      <c r="VXU42" s="44"/>
      <c r="VXV42" s="44"/>
      <c r="VXW42" s="44"/>
      <c r="VXX42" s="44"/>
      <c r="VXY42" s="44"/>
      <c r="VXZ42" s="44"/>
      <c r="VYA42" s="44"/>
      <c r="VYB42" s="44"/>
      <c r="VYC42" s="44"/>
      <c r="VYD42" s="44"/>
      <c r="VYE42" s="44"/>
      <c r="VYF42" s="44"/>
      <c r="VYG42" s="44"/>
      <c r="VYH42" s="44"/>
      <c r="VYI42" s="44"/>
      <c r="VYJ42" s="44"/>
      <c r="VYK42" s="44"/>
      <c r="VYL42" s="44"/>
      <c r="VYM42" s="44"/>
      <c r="VYN42" s="44"/>
      <c r="VYO42" s="44"/>
      <c r="VYP42" s="44"/>
      <c r="VYQ42" s="44"/>
      <c r="VYR42" s="44"/>
      <c r="VYS42" s="44"/>
      <c r="VYT42" s="44"/>
      <c r="VYU42" s="44"/>
      <c r="VYV42" s="44"/>
      <c r="VYW42" s="44"/>
      <c r="VYX42" s="44"/>
      <c r="VYY42" s="44"/>
      <c r="VYZ42" s="44"/>
      <c r="VZA42" s="44"/>
      <c r="VZB42" s="44"/>
      <c r="VZC42" s="44"/>
      <c r="VZD42" s="44"/>
      <c r="VZE42" s="44"/>
      <c r="VZF42" s="44"/>
      <c r="VZG42" s="44"/>
      <c r="VZH42" s="44"/>
      <c r="VZI42" s="44"/>
      <c r="VZJ42" s="44"/>
      <c r="VZK42" s="44"/>
      <c r="VZL42" s="44"/>
      <c r="VZM42" s="44"/>
      <c r="VZN42" s="44"/>
      <c r="VZO42" s="44"/>
      <c r="VZP42" s="44"/>
      <c r="VZQ42" s="44"/>
      <c r="VZR42" s="44"/>
      <c r="VZS42" s="44"/>
      <c r="VZT42" s="44"/>
      <c r="VZU42" s="44"/>
      <c r="VZV42" s="44"/>
      <c r="VZW42" s="44"/>
      <c r="VZX42" s="44"/>
      <c r="VZY42" s="44"/>
      <c r="VZZ42" s="44"/>
      <c r="WAA42" s="44"/>
      <c r="WAB42" s="44"/>
      <c r="WAC42" s="44"/>
      <c r="WAD42" s="44"/>
      <c r="WAE42" s="44"/>
      <c r="WAF42" s="44"/>
      <c r="WAG42" s="44"/>
      <c r="WAH42" s="44"/>
      <c r="WAI42" s="44"/>
      <c r="WAJ42" s="44"/>
      <c r="WAK42" s="44"/>
      <c r="WAL42" s="44"/>
      <c r="WAM42" s="44"/>
      <c r="WAN42" s="44"/>
      <c r="WAO42" s="44"/>
      <c r="WAP42" s="44"/>
      <c r="WAQ42" s="44"/>
      <c r="WAR42" s="44"/>
      <c r="WAS42" s="44"/>
      <c r="WAT42" s="44"/>
      <c r="WAU42" s="44"/>
      <c r="WAV42" s="44"/>
      <c r="WAW42" s="44"/>
      <c r="WAX42" s="44"/>
      <c r="WAY42" s="44"/>
      <c r="WAZ42" s="44"/>
      <c r="WBA42" s="44"/>
      <c r="WBB42" s="44"/>
      <c r="WBC42" s="44"/>
      <c r="WBD42" s="44"/>
      <c r="WBE42" s="44"/>
      <c r="WBF42" s="44"/>
      <c r="WBG42" s="44"/>
      <c r="WBH42" s="44"/>
      <c r="WBI42" s="44"/>
      <c r="WBJ42" s="44"/>
      <c r="WBK42" s="44"/>
      <c r="WBL42" s="44"/>
      <c r="WBM42" s="44"/>
      <c r="WBN42" s="44"/>
      <c r="WBO42" s="44"/>
      <c r="WBP42" s="44"/>
      <c r="WBQ42" s="44"/>
      <c r="WBR42" s="44"/>
      <c r="WBS42" s="44"/>
      <c r="WBT42" s="44"/>
      <c r="WBU42" s="44"/>
      <c r="WBV42" s="44"/>
      <c r="WBW42" s="44"/>
      <c r="WBX42" s="44"/>
      <c r="WBY42" s="44"/>
      <c r="WBZ42" s="44"/>
      <c r="WCA42" s="44"/>
      <c r="WCB42" s="44"/>
      <c r="WCC42" s="44"/>
      <c r="WCD42" s="44"/>
      <c r="WCE42" s="44"/>
      <c r="WCF42" s="44"/>
      <c r="WCG42" s="44"/>
      <c r="WCH42" s="44"/>
      <c r="WCI42" s="44"/>
      <c r="WCJ42" s="44"/>
      <c r="WCK42" s="44"/>
      <c r="WCL42" s="44"/>
      <c r="WCM42" s="44"/>
      <c r="WCN42" s="44"/>
      <c r="WCO42" s="44"/>
      <c r="WCP42" s="44"/>
      <c r="WCQ42" s="44"/>
      <c r="WCR42" s="44"/>
      <c r="WCS42" s="44"/>
      <c r="WCT42" s="44"/>
      <c r="WCU42" s="44"/>
      <c r="WCV42" s="44"/>
      <c r="WCW42" s="44"/>
      <c r="WCX42" s="44"/>
      <c r="WCY42" s="44"/>
      <c r="WCZ42" s="44"/>
      <c r="WDA42" s="44"/>
      <c r="WDB42" s="44"/>
      <c r="WDC42" s="44"/>
      <c r="WDD42" s="44"/>
      <c r="WDE42" s="44"/>
      <c r="WDF42" s="44"/>
      <c r="WDG42" s="44"/>
      <c r="WDH42" s="44"/>
      <c r="WDI42" s="44"/>
      <c r="WDJ42" s="44"/>
      <c r="WDK42" s="44"/>
      <c r="WDL42" s="44"/>
      <c r="WDM42" s="44"/>
      <c r="WDN42" s="44"/>
      <c r="WDO42" s="44"/>
      <c r="WDP42" s="44"/>
      <c r="WDQ42" s="44"/>
      <c r="WDR42" s="44"/>
      <c r="WDS42" s="44"/>
      <c r="WDT42" s="44"/>
      <c r="WDU42" s="44"/>
      <c r="WDV42" s="44"/>
      <c r="WDW42" s="44"/>
      <c r="WDX42" s="44"/>
      <c r="WDY42" s="44"/>
      <c r="WDZ42" s="44"/>
      <c r="WEA42" s="44"/>
      <c r="WEB42" s="44"/>
      <c r="WEC42" s="44"/>
      <c r="WED42" s="44"/>
      <c r="WEE42" s="44"/>
      <c r="WEF42" s="44"/>
      <c r="WEG42" s="44"/>
      <c r="WEH42" s="44"/>
      <c r="WEI42" s="44"/>
      <c r="WEJ42" s="44"/>
      <c r="WEK42" s="44"/>
      <c r="WEL42" s="44"/>
      <c r="WEM42" s="44"/>
      <c r="WEN42" s="44"/>
      <c r="WEO42" s="44"/>
      <c r="WEP42" s="44"/>
      <c r="WEQ42" s="44"/>
      <c r="WER42" s="44"/>
      <c r="WES42" s="44"/>
      <c r="WET42" s="44"/>
      <c r="WEU42" s="44"/>
      <c r="WEV42" s="44"/>
      <c r="WEW42" s="44"/>
      <c r="WEX42" s="44"/>
      <c r="WEY42" s="44"/>
      <c r="WEZ42" s="44"/>
      <c r="WFA42" s="44"/>
      <c r="WFB42" s="44"/>
      <c r="WFC42" s="44"/>
      <c r="WFD42" s="44"/>
      <c r="WFE42" s="44"/>
      <c r="WFF42" s="44"/>
      <c r="WFG42" s="44"/>
      <c r="WFH42" s="44"/>
      <c r="WFI42" s="44"/>
      <c r="WFJ42" s="44"/>
      <c r="WFK42" s="44"/>
      <c r="WFL42" s="44"/>
      <c r="WFM42" s="44"/>
      <c r="WFN42" s="44"/>
      <c r="WFO42" s="44"/>
      <c r="WFP42" s="44"/>
      <c r="WFQ42" s="44"/>
      <c r="WFR42" s="44"/>
      <c r="WFS42" s="44"/>
      <c r="WFT42" s="44"/>
      <c r="WFU42" s="44"/>
      <c r="WFV42" s="44"/>
      <c r="WFW42" s="44"/>
      <c r="WFX42" s="44"/>
      <c r="WFY42" s="44"/>
      <c r="WFZ42" s="44"/>
      <c r="WGA42" s="44"/>
      <c r="WGB42" s="44"/>
      <c r="WGC42" s="44"/>
      <c r="WGD42" s="44"/>
      <c r="WGE42" s="44"/>
      <c r="WGF42" s="44"/>
      <c r="WGG42" s="44"/>
      <c r="WGH42" s="44"/>
      <c r="WGI42" s="44"/>
      <c r="WGJ42" s="44"/>
      <c r="WGK42" s="44"/>
      <c r="WGL42" s="44"/>
      <c r="WGM42" s="44"/>
      <c r="WGN42" s="44"/>
      <c r="WGO42" s="44"/>
      <c r="WGP42" s="44"/>
      <c r="WGQ42" s="44"/>
      <c r="WGR42" s="44"/>
      <c r="WGS42" s="44"/>
      <c r="WGT42" s="44"/>
      <c r="WGU42" s="44"/>
      <c r="WGV42" s="44"/>
      <c r="WGW42" s="44"/>
      <c r="WGX42" s="44"/>
      <c r="WGY42" s="44"/>
      <c r="WGZ42" s="44"/>
      <c r="WHA42" s="44"/>
      <c r="WHB42" s="44"/>
      <c r="WHC42" s="44"/>
      <c r="WHD42" s="44"/>
      <c r="WHE42" s="44"/>
      <c r="WHF42" s="44"/>
      <c r="WHG42" s="44"/>
      <c r="WHH42" s="44"/>
      <c r="WHI42" s="44"/>
      <c r="WHJ42" s="44"/>
      <c r="WHK42" s="44"/>
      <c r="WHL42" s="44"/>
      <c r="WHM42" s="44"/>
      <c r="WHN42" s="44"/>
      <c r="WHO42" s="44"/>
      <c r="WHP42" s="44"/>
      <c r="WHQ42" s="44"/>
      <c r="WHR42" s="44"/>
      <c r="WHS42" s="44"/>
      <c r="WHT42" s="44"/>
      <c r="WHU42" s="44"/>
      <c r="WHV42" s="44"/>
      <c r="WHW42" s="44"/>
      <c r="WHX42" s="44"/>
      <c r="WHY42" s="44"/>
      <c r="WHZ42" s="44"/>
      <c r="WIA42" s="44"/>
      <c r="WIB42" s="44"/>
      <c r="WIC42" s="44"/>
      <c r="WID42" s="44"/>
      <c r="WIE42" s="44"/>
      <c r="WIF42" s="44"/>
      <c r="WIG42" s="44"/>
      <c r="WIH42" s="44"/>
      <c r="WII42" s="44"/>
      <c r="WIJ42" s="44"/>
      <c r="WIK42" s="44"/>
      <c r="WIL42" s="44"/>
      <c r="WIM42" s="44"/>
      <c r="WIN42" s="44"/>
      <c r="WIO42" s="44"/>
      <c r="WIP42" s="44"/>
      <c r="WIQ42" s="44"/>
      <c r="WIR42" s="44"/>
      <c r="WIS42" s="44"/>
      <c r="WIT42" s="44"/>
      <c r="WIU42" s="44"/>
      <c r="WIV42" s="44"/>
      <c r="WIW42" s="44"/>
      <c r="WIX42" s="44"/>
      <c r="WIY42" s="44"/>
      <c r="WIZ42" s="44"/>
      <c r="WJA42" s="44"/>
      <c r="WJB42" s="44"/>
      <c r="WJC42" s="44"/>
      <c r="WJD42" s="44"/>
      <c r="WJE42" s="44"/>
      <c r="WJF42" s="44"/>
      <c r="WJG42" s="44"/>
      <c r="WJH42" s="44"/>
      <c r="WJI42" s="44"/>
      <c r="WJJ42" s="44"/>
      <c r="WJK42" s="44"/>
      <c r="WJL42" s="44"/>
      <c r="WJM42" s="44"/>
      <c r="WJN42" s="44"/>
      <c r="WJO42" s="44"/>
      <c r="WJP42" s="44"/>
      <c r="WJQ42" s="44"/>
      <c r="WJR42" s="44"/>
      <c r="WJS42" s="44"/>
      <c r="WJT42" s="44"/>
      <c r="WJU42" s="44"/>
      <c r="WJV42" s="44"/>
      <c r="WJW42" s="44"/>
      <c r="WJX42" s="44"/>
      <c r="WJY42" s="44"/>
      <c r="WJZ42" s="44"/>
      <c r="WKA42" s="44"/>
      <c r="WKB42" s="44"/>
      <c r="WKC42" s="44"/>
      <c r="WKD42" s="44"/>
      <c r="WKE42" s="44"/>
      <c r="WKF42" s="44"/>
      <c r="WKG42" s="44"/>
      <c r="WKH42" s="44"/>
      <c r="WKI42" s="44"/>
      <c r="WKJ42" s="44"/>
      <c r="WKK42" s="44"/>
      <c r="WKL42" s="44"/>
      <c r="WKM42" s="44"/>
      <c r="WKN42" s="44"/>
      <c r="WKO42" s="44"/>
      <c r="WKP42" s="44"/>
      <c r="WKQ42" s="44"/>
      <c r="WKR42" s="44"/>
      <c r="WKS42" s="44"/>
      <c r="WKT42" s="44"/>
      <c r="WKU42" s="44"/>
      <c r="WKV42" s="44"/>
      <c r="WKW42" s="44"/>
      <c r="WKX42" s="44"/>
      <c r="WKY42" s="44"/>
      <c r="WKZ42" s="44"/>
      <c r="WLA42" s="44"/>
      <c r="WLB42" s="44"/>
      <c r="WLC42" s="44"/>
      <c r="WLD42" s="44"/>
      <c r="WLE42" s="44"/>
      <c r="WLF42" s="44"/>
      <c r="WLG42" s="44"/>
      <c r="WLH42" s="44"/>
      <c r="WLI42" s="44"/>
      <c r="WLJ42" s="44"/>
      <c r="WLK42" s="44"/>
      <c r="WLL42" s="44"/>
      <c r="WLM42" s="44"/>
      <c r="WLN42" s="44"/>
      <c r="WLO42" s="44"/>
      <c r="WLP42" s="44"/>
      <c r="WLQ42" s="44"/>
      <c r="WLR42" s="44"/>
      <c r="WLS42" s="44"/>
      <c r="WLT42" s="44"/>
      <c r="WLU42" s="44"/>
      <c r="WLV42" s="44"/>
      <c r="WLW42" s="44"/>
      <c r="WLX42" s="44"/>
      <c r="WLY42" s="44"/>
      <c r="WLZ42" s="44"/>
      <c r="WMA42" s="44"/>
      <c r="WMB42" s="44"/>
      <c r="WMC42" s="44"/>
      <c r="WMD42" s="44"/>
      <c r="WME42" s="44"/>
      <c r="WMF42" s="44"/>
      <c r="WMG42" s="44"/>
      <c r="WMH42" s="44"/>
      <c r="WMI42" s="44"/>
      <c r="WMJ42" s="44"/>
      <c r="WMK42" s="44"/>
      <c r="WML42" s="44"/>
      <c r="WMM42" s="44"/>
      <c r="WMN42" s="44"/>
      <c r="WMO42" s="44"/>
      <c r="WMP42" s="44"/>
      <c r="WMQ42" s="44"/>
      <c r="WMR42" s="44"/>
      <c r="WMS42" s="44"/>
      <c r="WMT42" s="44"/>
      <c r="WMU42" s="44"/>
      <c r="WMV42" s="44"/>
      <c r="WMW42" s="44"/>
      <c r="WMX42" s="44"/>
      <c r="WMY42" s="44"/>
      <c r="WMZ42" s="44"/>
      <c r="WNA42" s="44"/>
      <c r="WNB42" s="44"/>
      <c r="WNC42" s="44"/>
      <c r="WND42" s="44"/>
      <c r="WNE42" s="44"/>
      <c r="WNF42" s="44"/>
      <c r="WNG42" s="44"/>
      <c r="WNH42" s="44"/>
      <c r="WNI42" s="44"/>
      <c r="WNJ42" s="44"/>
      <c r="WNK42" s="44"/>
      <c r="WNL42" s="44"/>
      <c r="WNM42" s="44"/>
      <c r="WNN42" s="44"/>
      <c r="WNO42" s="44"/>
      <c r="WNP42" s="44"/>
      <c r="WNQ42" s="44"/>
      <c r="WNR42" s="44"/>
      <c r="WNS42" s="44"/>
      <c r="WNT42" s="44"/>
      <c r="WNU42" s="44"/>
      <c r="WNV42" s="44"/>
      <c r="WNW42" s="44"/>
      <c r="WNX42" s="44"/>
      <c r="WNY42" s="44"/>
      <c r="WNZ42" s="44"/>
      <c r="WOA42" s="44"/>
      <c r="WOB42" s="44"/>
      <c r="WOC42" s="44"/>
      <c r="WOD42" s="44"/>
      <c r="WOE42" s="44"/>
      <c r="WOF42" s="44"/>
      <c r="WOG42" s="44"/>
      <c r="WOH42" s="44"/>
      <c r="WOI42" s="44"/>
      <c r="WOJ42" s="44"/>
      <c r="WOK42" s="44"/>
      <c r="WOL42" s="44"/>
      <c r="WOM42" s="44"/>
      <c r="WON42" s="44"/>
      <c r="WOO42" s="44"/>
      <c r="WOP42" s="44"/>
      <c r="WOQ42" s="44"/>
      <c r="WOR42" s="44"/>
      <c r="WOS42" s="44"/>
      <c r="WOT42" s="44"/>
      <c r="WOU42" s="44"/>
      <c r="WOV42" s="44"/>
      <c r="WOW42" s="44"/>
      <c r="WOX42" s="44"/>
      <c r="WOY42" s="44"/>
      <c r="WOZ42" s="44"/>
      <c r="WPA42" s="44"/>
      <c r="WPB42" s="44"/>
      <c r="WPC42" s="44"/>
      <c r="WPD42" s="44"/>
      <c r="WPE42" s="44"/>
      <c r="WPF42" s="44"/>
      <c r="WPG42" s="44"/>
      <c r="WPH42" s="44"/>
      <c r="WPI42" s="44"/>
      <c r="WPJ42" s="44"/>
      <c r="WPK42" s="44"/>
      <c r="WPL42" s="44"/>
      <c r="WPM42" s="44"/>
      <c r="WPN42" s="44"/>
      <c r="WPO42" s="44"/>
      <c r="WPP42" s="44"/>
      <c r="WPQ42" s="44"/>
      <c r="WPR42" s="44"/>
      <c r="WPS42" s="44"/>
      <c r="WPT42" s="44"/>
      <c r="WPU42" s="44"/>
      <c r="WPV42" s="44"/>
      <c r="WPW42" s="44"/>
      <c r="WPX42" s="44"/>
      <c r="WPY42" s="44"/>
      <c r="WPZ42" s="44"/>
      <c r="WQA42" s="44"/>
      <c r="WQB42" s="44"/>
      <c r="WQC42" s="44"/>
      <c r="WQD42" s="44"/>
      <c r="WQE42" s="44"/>
      <c r="WQF42" s="44"/>
      <c r="WQG42" s="44"/>
      <c r="WQH42" s="44"/>
      <c r="WQI42" s="44"/>
      <c r="WQJ42" s="44"/>
      <c r="WQK42" s="44"/>
      <c r="WQL42" s="44"/>
      <c r="WQM42" s="44"/>
      <c r="WQN42" s="44"/>
      <c r="WQO42" s="44"/>
      <c r="WQP42" s="44"/>
      <c r="WQQ42" s="44"/>
      <c r="WQR42" s="44"/>
      <c r="WQS42" s="44"/>
      <c r="WQT42" s="44"/>
      <c r="WQU42" s="44"/>
      <c r="WQV42" s="44"/>
      <c r="WQW42" s="44"/>
      <c r="WQX42" s="44"/>
      <c r="WQY42" s="44"/>
      <c r="WQZ42" s="44"/>
      <c r="WRA42" s="44"/>
      <c r="WRB42" s="44"/>
      <c r="WRC42" s="44"/>
      <c r="WRD42" s="44"/>
      <c r="WRE42" s="44"/>
      <c r="WRF42" s="44"/>
      <c r="WRG42" s="44"/>
      <c r="WRH42" s="44"/>
      <c r="WRI42" s="44"/>
      <c r="WRJ42" s="44"/>
      <c r="WRK42" s="44"/>
      <c r="WRL42" s="44"/>
      <c r="WRM42" s="44"/>
      <c r="WRN42" s="44"/>
      <c r="WRO42" s="44"/>
      <c r="WRP42" s="44"/>
      <c r="WRQ42" s="44"/>
      <c r="WRR42" s="44"/>
      <c r="WRS42" s="44"/>
      <c r="WRT42" s="44"/>
      <c r="WRU42" s="44"/>
      <c r="WRV42" s="44"/>
      <c r="WRW42" s="44"/>
      <c r="WRX42" s="44"/>
      <c r="WRY42" s="44"/>
      <c r="WRZ42" s="44"/>
      <c r="WSA42" s="44"/>
      <c r="WSB42" s="44"/>
      <c r="WSC42" s="44"/>
      <c r="WSD42" s="44"/>
      <c r="WSE42" s="44"/>
      <c r="WSF42" s="44"/>
      <c r="WSG42" s="44"/>
      <c r="WSH42" s="44"/>
      <c r="WSI42" s="44"/>
      <c r="WSJ42" s="44"/>
      <c r="WSK42" s="44"/>
      <c r="WSL42" s="44"/>
      <c r="WSM42" s="44"/>
      <c r="WSN42" s="44"/>
      <c r="WSO42" s="44"/>
      <c r="WSP42" s="44"/>
      <c r="WSQ42" s="44"/>
      <c r="WSR42" s="44"/>
      <c r="WSS42" s="44"/>
      <c r="WST42" s="44"/>
      <c r="WSU42" s="44"/>
      <c r="WSV42" s="44"/>
      <c r="WSW42" s="44"/>
      <c r="WSX42" s="44"/>
      <c r="WSY42" s="44"/>
      <c r="WSZ42" s="44"/>
      <c r="WTA42" s="44"/>
      <c r="WTB42" s="44"/>
      <c r="WTC42" s="44"/>
      <c r="WTD42" s="44"/>
      <c r="WTE42" s="44"/>
      <c r="WTF42" s="44"/>
      <c r="WTG42" s="44"/>
      <c r="WTH42" s="44"/>
      <c r="WTI42" s="44"/>
      <c r="WTJ42" s="44"/>
      <c r="WTK42" s="44"/>
      <c r="WTL42" s="44"/>
      <c r="WTM42" s="44"/>
      <c r="WTN42" s="44"/>
      <c r="WTO42" s="44"/>
      <c r="WTP42" s="44"/>
      <c r="WTQ42" s="44"/>
      <c r="WTR42" s="44"/>
      <c r="WTS42" s="44"/>
      <c r="WTT42" s="44"/>
      <c r="WTU42" s="44"/>
      <c r="WTV42" s="44"/>
      <c r="WTW42" s="44"/>
      <c r="WTX42" s="44"/>
      <c r="WTY42" s="44"/>
      <c r="WTZ42" s="44"/>
      <c r="WUA42" s="44"/>
      <c r="WUB42" s="44"/>
      <c r="WUC42" s="44"/>
      <c r="WUD42" s="44"/>
      <c r="WUE42" s="44"/>
      <c r="WUF42" s="44"/>
      <c r="WUG42" s="44"/>
      <c r="WUH42" s="44"/>
      <c r="WUI42" s="44"/>
      <c r="WUJ42" s="44"/>
      <c r="WUK42" s="44"/>
      <c r="WUL42" s="44"/>
      <c r="WUM42" s="44"/>
      <c r="WUN42" s="44"/>
      <c r="WUO42" s="44"/>
      <c r="WUP42" s="44"/>
      <c r="WUQ42" s="44"/>
      <c r="WUR42" s="44"/>
      <c r="WUS42" s="44"/>
      <c r="WUT42" s="44"/>
      <c r="WUU42" s="44"/>
      <c r="WUV42" s="44"/>
      <c r="WUW42" s="44"/>
      <c r="WUX42" s="44"/>
      <c r="WUY42" s="44"/>
      <c r="WUZ42" s="44"/>
      <c r="WVA42" s="44"/>
      <c r="WVB42" s="44"/>
      <c r="WVC42" s="44"/>
      <c r="WVD42" s="44"/>
      <c r="WVE42" s="44"/>
      <c r="WVF42" s="44"/>
      <c r="WVG42" s="44"/>
      <c r="WVH42" s="44"/>
      <c r="WVI42" s="44"/>
      <c r="WVJ42" s="44"/>
      <c r="WVK42" s="44"/>
      <c r="WVL42" s="44"/>
      <c r="WVM42" s="44"/>
      <c r="WVN42" s="44"/>
      <c r="WVO42" s="44"/>
      <c r="WVP42" s="44"/>
      <c r="WVQ42" s="44"/>
      <c r="WVR42" s="44"/>
      <c r="WVS42" s="44"/>
      <c r="WVT42" s="44"/>
      <c r="WVU42" s="44"/>
      <c r="WVV42" s="44"/>
      <c r="WVW42" s="44"/>
      <c r="WVX42" s="44"/>
      <c r="WVY42" s="44"/>
      <c r="WVZ42" s="44"/>
      <c r="WWA42" s="44"/>
      <c r="WWB42" s="44"/>
      <c r="WWC42" s="44"/>
      <c r="WWD42" s="44"/>
      <c r="WWE42" s="44"/>
      <c r="WWF42" s="44"/>
      <c r="WWG42" s="44"/>
      <c r="WWH42" s="44"/>
      <c r="WWI42" s="44"/>
      <c r="WWJ42" s="44"/>
      <c r="WWK42" s="44"/>
      <c r="WWL42" s="44"/>
      <c r="WWM42" s="44"/>
      <c r="WWN42" s="44"/>
      <c r="WWO42" s="44"/>
      <c r="WWP42" s="44"/>
      <c r="WWQ42" s="44"/>
      <c r="WWR42" s="44"/>
      <c r="WWS42" s="44"/>
      <c r="WWT42" s="44"/>
      <c r="WWU42" s="44"/>
      <c r="WWV42" s="44"/>
      <c r="WWW42" s="44"/>
      <c r="WWX42" s="44"/>
      <c r="WWY42" s="44"/>
      <c r="WWZ42" s="44"/>
      <c r="WXA42" s="44"/>
      <c r="WXB42" s="44"/>
      <c r="WXC42" s="44"/>
      <c r="WXD42" s="44"/>
      <c r="WXE42" s="44"/>
      <c r="WXF42" s="44"/>
      <c r="WXG42" s="44"/>
      <c r="WXH42" s="44"/>
      <c r="WXI42" s="44"/>
      <c r="WXJ42" s="44"/>
      <c r="WXK42" s="44"/>
      <c r="WXL42" s="44"/>
      <c r="WXM42" s="44"/>
      <c r="WXN42" s="44"/>
      <c r="WXO42" s="44"/>
      <c r="WXP42" s="44"/>
      <c r="WXQ42" s="44"/>
      <c r="WXR42" s="44"/>
      <c r="WXS42" s="44"/>
      <c r="WXT42" s="44"/>
      <c r="WXU42" s="44"/>
      <c r="WXV42" s="44"/>
      <c r="WXW42" s="44"/>
      <c r="WXX42" s="44"/>
      <c r="WXY42" s="44"/>
      <c r="WXZ42" s="44"/>
      <c r="WYA42" s="44"/>
      <c r="WYB42" s="44"/>
      <c r="WYC42" s="44"/>
      <c r="WYD42" s="44"/>
      <c r="WYE42" s="44"/>
      <c r="WYF42" s="44"/>
      <c r="WYG42" s="44"/>
      <c r="WYH42" s="44"/>
      <c r="WYI42" s="44"/>
      <c r="WYJ42" s="44"/>
      <c r="WYK42" s="44"/>
      <c r="WYL42" s="44"/>
      <c r="WYM42" s="44"/>
      <c r="WYN42" s="44"/>
      <c r="WYO42" s="44"/>
      <c r="WYP42" s="44"/>
      <c r="WYQ42" s="44"/>
      <c r="WYR42" s="44"/>
      <c r="WYS42" s="44"/>
      <c r="WYT42" s="44"/>
      <c r="WYU42" s="44"/>
      <c r="WYV42" s="44"/>
      <c r="WYW42" s="44"/>
      <c r="WYX42" s="44"/>
      <c r="WYY42" s="44"/>
      <c r="WYZ42" s="44"/>
      <c r="WZA42" s="44"/>
      <c r="WZB42" s="44"/>
      <c r="WZC42" s="44"/>
      <c r="WZD42" s="44"/>
      <c r="WZE42" s="44"/>
      <c r="WZF42" s="44"/>
      <c r="WZG42" s="44"/>
      <c r="WZH42" s="44"/>
      <c r="WZI42" s="44"/>
      <c r="WZJ42" s="44"/>
      <c r="WZK42" s="44"/>
      <c r="WZL42" s="44"/>
      <c r="WZM42" s="44"/>
      <c r="WZN42" s="44"/>
      <c r="WZO42" s="44"/>
      <c r="WZP42" s="44"/>
      <c r="WZQ42" s="44"/>
      <c r="WZR42" s="44"/>
      <c r="WZS42" s="44"/>
      <c r="WZT42" s="44"/>
      <c r="WZU42" s="44"/>
      <c r="WZV42" s="44"/>
      <c r="WZW42" s="44"/>
      <c r="WZX42" s="44"/>
      <c r="WZY42" s="44"/>
      <c r="WZZ42" s="44"/>
      <c r="XAA42" s="44"/>
      <c r="XAB42" s="44"/>
      <c r="XAC42" s="44"/>
      <c r="XAD42" s="44"/>
      <c r="XAE42" s="44"/>
      <c r="XAF42" s="44"/>
      <c r="XAG42" s="44"/>
      <c r="XAH42" s="44"/>
      <c r="XAI42" s="44"/>
      <c r="XAJ42" s="44"/>
      <c r="XAK42" s="44"/>
      <c r="XAL42" s="44"/>
      <c r="XAM42" s="44"/>
      <c r="XAN42" s="44"/>
      <c r="XAO42" s="44"/>
      <c r="XAP42" s="44"/>
      <c r="XAQ42" s="44"/>
      <c r="XAR42" s="44"/>
      <c r="XAS42" s="44"/>
      <c r="XAT42" s="44"/>
      <c r="XAU42" s="44"/>
      <c r="XAV42" s="44"/>
      <c r="XAW42" s="44"/>
      <c r="XAX42" s="44"/>
      <c r="XAY42" s="44"/>
      <c r="XAZ42" s="44"/>
      <c r="XBA42" s="44"/>
      <c r="XBB42" s="44"/>
      <c r="XBC42" s="44"/>
      <c r="XBD42" s="44"/>
      <c r="XBE42" s="44"/>
      <c r="XBF42" s="44"/>
      <c r="XBG42" s="44"/>
      <c r="XBH42" s="44"/>
      <c r="XBI42" s="44"/>
      <c r="XBJ42" s="44"/>
      <c r="XBK42" s="44"/>
      <c r="XBL42" s="44"/>
      <c r="XBM42" s="44"/>
      <c r="XBN42" s="44"/>
      <c r="XBO42" s="44"/>
      <c r="XBP42" s="44"/>
      <c r="XBQ42" s="44"/>
      <c r="XBR42" s="44"/>
      <c r="XBS42" s="44"/>
      <c r="XBT42" s="44"/>
      <c r="XBU42" s="44"/>
      <c r="XBV42" s="44"/>
      <c r="XBW42" s="44"/>
      <c r="XBX42" s="44"/>
      <c r="XBY42" s="44"/>
      <c r="XBZ42" s="44"/>
      <c r="XCA42" s="44"/>
      <c r="XCB42" s="44"/>
      <c r="XCC42" s="44"/>
      <c r="XCD42" s="44"/>
      <c r="XCE42" s="44"/>
      <c r="XCF42" s="44"/>
      <c r="XCG42" s="44"/>
      <c r="XCH42" s="44"/>
      <c r="XCI42" s="44"/>
      <c r="XCJ42" s="44"/>
      <c r="XCK42" s="44"/>
      <c r="XCL42" s="44"/>
      <c r="XCM42" s="44"/>
      <c r="XCN42" s="44"/>
      <c r="XCO42" s="44"/>
      <c r="XCP42" s="44"/>
      <c r="XCQ42" s="44"/>
      <c r="XCR42" s="44"/>
      <c r="XCS42" s="44"/>
      <c r="XCT42" s="44"/>
      <c r="XCU42" s="44"/>
      <c r="XCV42" s="44"/>
      <c r="XCW42" s="44"/>
      <c r="XCX42" s="44"/>
      <c r="XCY42" s="44"/>
      <c r="XCZ42" s="44"/>
      <c r="XDA42" s="44"/>
      <c r="XDB42" s="44"/>
      <c r="XDC42" s="44"/>
      <c r="XDD42" s="44"/>
      <c r="XDE42" s="44"/>
      <c r="XDF42" s="44"/>
      <c r="XDG42" s="44"/>
      <c r="XDH42" s="44"/>
      <c r="XDI42" s="44"/>
      <c r="XDJ42" s="44"/>
      <c r="XDK42" s="44"/>
      <c r="XDL42" s="44"/>
      <c r="XDM42" s="44"/>
      <c r="XDN42" s="44"/>
      <c r="XDO42" s="44"/>
      <c r="XDP42" s="44"/>
      <c r="XDQ42" s="44"/>
      <c r="XDR42" s="44"/>
      <c r="XDS42" s="44"/>
      <c r="XDT42" s="44"/>
      <c r="XDU42" s="44"/>
      <c r="XDV42" s="44"/>
      <c r="XDW42" s="44"/>
      <c r="XDX42" s="44"/>
      <c r="XDY42" s="44"/>
      <c r="XDZ42" s="44"/>
      <c r="XEA42" s="44"/>
      <c r="XEB42" s="44"/>
      <c r="XEC42" s="44"/>
      <c r="XED42" s="44"/>
      <c r="XEE42" s="44"/>
      <c r="XEF42" s="44"/>
      <c r="XEG42" s="44"/>
      <c r="XEH42" s="44"/>
      <c r="XEI42" s="44"/>
      <c r="XEJ42" s="44"/>
      <c r="XEK42" s="44"/>
      <c r="XEL42" s="44"/>
      <c r="XEM42" s="44"/>
      <c r="XEN42" s="44"/>
      <c r="XEO42" s="44"/>
      <c r="XEP42" s="44"/>
      <c r="XEQ42" s="44"/>
      <c r="XER42" s="44"/>
      <c r="XES42" s="44"/>
      <c r="XET42" s="44"/>
      <c r="XEU42" s="44"/>
      <c r="XEV42" s="44"/>
      <c r="XEW42" s="44"/>
      <c r="XEX42" s="44"/>
      <c r="XEY42" s="44"/>
      <c r="XEZ42" s="44"/>
      <c r="XFA42" s="44"/>
      <c r="XFB42" s="44"/>
      <c r="XFC42" s="44"/>
    </row>
    <row r="44" spans="3:16383">
      <c r="C44" s="19" t="s">
        <v>47</v>
      </c>
      <c r="E44" s="43" t="s">
        <v>187</v>
      </c>
      <c r="G44" s="44">
        <v>37.600270201806971</v>
      </c>
      <c r="H44" s="44">
        <f>H115*(H96-EOMONTH(H96,-12))/H62</f>
        <v>48.081131906510251</v>
      </c>
      <c r="I44" s="44"/>
      <c r="J44" s="44"/>
      <c r="K44" s="44">
        <f>K115*(K96-EOMONTH(K96,-12))/K62</f>
        <v>149.23452419268318</v>
      </c>
      <c r="L44" s="44"/>
      <c r="M44" s="496"/>
      <c r="N44" s="496"/>
      <c r="O44" s="496"/>
      <c r="P44" s="496"/>
      <c r="Q44" s="496"/>
      <c r="R44" s="496"/>
      <c r="S44" s="496"/>
      <c r="T44" s="496"/>
      <c r="U44" s="496"/>
      <c r="V44" s="496"/>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4"/>
      <c r="DD44" s="44"/>
      <c r="DE44" s="44"/>
      <c r="DF44" s="44"/>
      <c r="DG44" s="44"/>
      <c r="DH44" s="44"/>
      <c r="DI44" s="44"/>
      <c r="DJ44" s="44"/>
      <c r="DK44" s="44"/>
      <c r="DL44" s="44"/>
      <c r="DM44" s="44"/>
      <c r="DN44" s="44"/>
      <c r="DO44" s="44"/>
      <c r="DP44" s="44"/>
      <c r="DQ44" s="44"/>
      <c r="DR44" s="44"/>
      <c r="DS44" s="44"/>
      <c r="DT44" s="44"/>
      <c r="DU44" s="44"/>
      <c r="DV44" s="44"/>
      <c r="DW44" s="44"/>
      <c r="DX44" s="44"/>
      <c r="DY44" s="44"/>
      <c r="DZ44" s="44"/>
      <c r="EA44" s="44"/>
      <c r="EB44" s="44"/>
      <c r="EC44" s="44"/>
      <c r="ED44" s="44"/>
      <c r="EE44" s="44"/>
      <c r="EF44" s="44"/>
      <c r="EG44" s="44"/>
      <c r="EH44" s="44"/>
      <c r="EI44" s="44"/>
      <c r="EJ44" s="44"/>
      <c r="EK44" s="44"/>
      <c r="EL44" s="44"/>
      <c r="EM44" s="44"/>
      <c r="EN44" s="44"/>
      <c r="EO44" s="44"/>
      <c r="EP44" s="44"/>
      <c r="EQ44" s="44"/>
      <c r="ER44" s="44"/>
      <c r="ES44" s="44"/>
      <c r="ET44" s="44"/>
      <c r="EU44" s="44"/>
      <c r="EV44" s="44"/>
      <c r="EW44" s="44"/>
      <c r="EX44" s="44"/>
      <c r="EY44" s="44"/>
      <c r="EZ44" s="44"/>
      <c r="FA44" s="44"/>
      <c r="FB44" s="44"/>
      <c r="FC44" s="44"/>
      <c r="FD44" s="44"/>
      <c r="FE44" s="44"/>
      <c r="FF44" s="44"/>
      <c r="FG44" s="44"/>
      <c r="FH44" s="44"/>
      <c r="FI44" s="44"/>
      <c r="FJ44" s="44"/>
      <c r="FK44" s="44"/>
      <c r="FL44" s="44"/>
      <c r="FM44" s="44"/>
      <c r="FN44" s="44"/>
      <c r="FO44" s="44"/>
      <c r="FP44" s="44"/>
      <c r="FQ44" s="44"/>
      <c r="FR44" s="44"/>
      <c r="FS44" s="44"/>
      <c r="FT44" s="44"/>
      <c r="FU44" s="44"/>
      <c r="FV44" s="44"/>
      <c r="FW44" s="44"/>
      <c r="FX44" s="44"/>
      <c r="FY44" s="44"/>
      <c r="FZ44" s="44"/>
      <c r="GA44" s="44"/>
      <c r="GB44" s="44"/>
      <c r="GC44" s="44"/>
      <c r="GD44" s="44"/>
      <c r="GE44" s="44"/>
      <c r="GF44" s="44"/>
      <c r="GG44" s="44"/>
      <c r="GH44" s="44"/>
      <c r="GI44" s="44"/>
      <c r="GJ44" s="44"/>
      <c r="GK44" s="44"/>
      <c r="GL44" s="44"/>
      <c r="GM44" s="44"/>
      <c r="GN44" s="44"/>
      <c r="GO44" s="44"/>
      <c r="GP44" s="44"/>
      <c r="GQ44" s="44"/>
      <c r="GR44" s="44"/>
      <c r="GS44" s="44"/>
      <c r="GT44" s="44"/>
      <c r="GU44" s="44"/>
      <c r="GV44" s="44"/>
      <c r="GW44" s="44"/>
      <c r="GX44" s="44"/>
      <c r="GY44" s="44"/>
      <c r="GZ44" s="44"/>
      <c r="HA44" s="44"/>
      <c r="HB44" s="44"/>
      <c r="HC44" s="44"/>
      <c r="HD44" s="44"/>
      <c r="HE44" s="44"/>
      <c r="HF44" s="44"/>
      <c r="HG44" s="44"/>
      <c r="HH44" s="44"/>
      <c r="HI44" s="44"/>
      <c r="HJ44" s="44"/>
      <c r="HK44" s="44"/>
      <c r="HL44" s="44"/>
      <c r="HM44" s="44"/>
      <c r="HN44" s="44"/>
      <c r="HO44" s="44"/>
      <c r="HP44" s="44"/>
      <c r="HQ44" s="44"/>
      <c r="HR44" s="44"/>
      <c r="HS44" s="44"/>
      <c r="HT44" s="44"/>
      <c r="HU44" s="44"/>
      <c r="HV44" s="44"/>
      <c r="HW44" s="44"/>
      <c r="HX44" s="44"/>
      <c r="HY44" s="44"/>
      <c r="HZ44" s="44"/>
      <c r="IA44" s="44"/>
      <c r="IB44" s="44"/>
      <c r="IC44" s="44"/>
      <c r="ID44" s="44"/>
      <c r="IE44" s="44"/>
      <c r="IF44" s="44"/>
      <c r="IG44" s="44"/>
      <c r="IH44" s="44"/>
      <c r="II44" s="44"/>
      <c r="IJ44" s="44"/>
      <c r="IK44" s="44"/>
      <c r="IL44" s="44"/>
      <c r="IM44" s="44"/>
      <c r="IN44" s="44"/>
      <c r="IO44" s="44"/>
      <c r="IP44" s="44"/>
      <c r="IQ44" s="44"/>
      <c r="IR44" s="44"/>
      <c r="IS44" s="44"/>
      <c r="IT44" s="44"/>
      <c r="IU44" s="44"/>
      <c r="IV44" s="44"/>
      <c r="IW44" s="44"/>
      <c r="IX44" s="44"/>
      <c r="IY44" s="44"/>
      <c r="IZ44" s="44"/>
      <c r="JA44" s="44"/>
      <c r="JB44" s="44"/>
      <c r="JC44" s="44"/>
      <c r="JD44" s="44"/>
      <c r="JE44" s="44"/>
      <c r="JF44" s="44"/>
      <c r="JG44" s="44"/>
      <c r="JH44" s="44"/>
      <c r="JI44" s="44"/>
      <c r="JJ44" s="44"/>
      <c r="JK44" s="44"/>
      <c r="JL44" s="44"/>
      <c r="JM44" s="44"/>
      <c r="JN44" s="44"/>
      <c r="JO44" s="44"/>
      <c r="JP44" s="44"/>
      <c r="JQ44" s="44"/>
      <c r="JR44" s="44"/>
      <c r="JS44" s="44"/>
      <c r="JT44" s="44"/>
      <c r="JU44" s="44"/>
      <c r="JV44" s="44"/>
      <c r="JW44" s="44"/>
      <c r="JX44" s="44"/>
      <c r="JY44" s="44"/>
      <c r="JZ44" s="44"/>
      <c r="KA44" s="44"/>
      <c r="KB44" s="44"/>
      <c r="KC44" s="44"/>
      <c r="KD44" s="44"/>
      <c r="KE44" s="44"/>
      <c r="KF44" s="44"/>
      <c r="KG44" s="44"/>
      <c r="KH44" s="44"/>
      <c r="KI44" s="44"/>
      <c r="KJ44" s="44"/>
      <c r="KK44" s="44"/>
      <c r="KL44" s="44"/>
      <c r="KM44" s="44"/>
      <c r="KN44" s="44"/>
      <c r="KO44" s="44"/>
      <c r="KP44" s="44"/>
      <c r="KQ44" s="44"/>
      <c r="KR44" s="44"/>
      <c r="KS44" s="44"/>
      <c r="KT44" s="44"/>
      <c r="KU44" s="44"/>
      <c r="KV44" s="44"/>
      <c r="KW44" s="44"/>
      <c r="KX44" s="44"/>
      <c r="KY44" s="44"/>
      <c r="KZ44" s="44"/>
      <c r="LA44" s="44"/>
      <c r="LB44" s="44"/>
      <c r="LC44" s="44"/>
      <c r="LD44" s="44"/>
      <c r="LE44" s="44"/>
      <c r="LF44" s="44"/>
      <c r="LG44" s="44"/>
      <c r="LH44" s="44"/>
      <c r="LI44" s="44"/>
      <c r="LJ44" s="44"/>
      <c r="LK44" s="44"/>
      <c r="LL44" s="44"/>
      <c r="LM44" s="44"/>
      <c r="LN44" s="44"/>
      <c r="LO44" s="44"/>
      <c r="LP44" s="44"/>
      <c r="LQ44" s="44"/>
      <c r="LR44" s="44"/>
      <c r="LS44" s="44"/>
      <c r="LT44" s="44"/>
      <c r="LU44" s="44"/>
      <c r="LV44" s="44"/>
      <c r="LW44" s="44"/>
      <c r="LX44" s="44"/>
      <c r="LY44" s="44"/>
      <c r="LZ44" s="44"/>
      <c r="MA44" s="44"/>
      <c r="MB44" s="44"/>
      <c r="MC44" s="44"/>
      <c r="MD44" s="44"/>
      <c r="ME44" s="44"/>
      <c r="MF44" s="44"/>
      <c r="MG44" s="44"/>
      <c r="MH44" s="44"/>
      <c r="MI44" s="44"/>
      <c r="MJ44" s="44"/>
      <c r="MK44" s="44"/>
      <c r="ML44" s="44"/>
      <c r="MM44" s="44"/>
      <c r="MN44" s="44"/>
      <c r="MO44" s="44"/>
      <c r="MP44" s="44"/>
      <c r="MQ44" s="44"/>
      <c r="MR44" s="44"/>
      <c r="MS44" s="44"/>
      <c r="MT44" s="44"/>
      <c r="MU44" s="44"/>
      <c r="MV44" s="44"/>
      <c r="MW44" s="44"/>
      <c r="MX44" s="44"/>
      <c r="MY44" s="44"/>
      <c r="MZ44" s="44"/>
      <c r="NA44" s="44"/>
      <c r="NB44" s="44"/>
      <c r="NC44" s="44"/>
      <c r="ND44" s="44"/>
      <c r="NE44" s="44"/>
      <c r="NF44" s="44"/>
      <c r="NG44" s="44"/>
      <c r="NH44" s="44"/>
      <c r="NI44" s="44"/>
      <c r="NJ44" s="44"/>
      <c r="NK44" s="44"/>
      <c r="NL44" s="44"/>
      <c r="NM44" s="44"/>
      <c r="NN44" s="44"/>
      <c r="NO44" s="44"/>
      <c r="NP44" s="44"/>
      <c r="NQ44" s="44"/>
      <c r="NR44" s="44"/>
      <c r="NS44" s="44"/>
      <c r="NT44" s="44"/>
      <c r="NU44" s="44"/>
      <c r="NV44" s="44"/>
      <c r="NW44" s="44"/>
      <c r="NX44" s="44"/>
      <c r="NY44" s="44"/>
      <c r="NZ44" s="44"/>
      <c r="OA44" s="44"/>
      <c r="OB44" s="44"/>
      <c r="OC44" s="44"/>
      <c r="OD44" s="44"/>
      <c r="OE44" s="44"/>
      <c r="OF44" s="44"/>
      <c r="OG44" s="44"/>
      <c r="OH44" s="44"/>
      <c r="OI44" s="44"/>
      <c r="OJ44" s="44"/>
      <c r="OK44" s="44"/>
      <c r="OL44" s="44"/>
      <c r="OM44" s="44"/>
      <c r="ON44" s="44"/>
      <c r="OO44" s="44"/>
      <c r="OP44" s="44"/>
      <c r="OQ44" s="44"/>
      <c r="OR44" s="44"/>
      <c r="OS44" s="44"/>
      <c r="OT44" s="44"/>
      <c r="OU44" s="44"/>
      <c r="OV44" s="44"/>
      <c r="OW44" s="44"/>
      <c r="OX44" s="44"/>
      <c r="OY44" s="44"/>
      <c r="OZ44" s="44"/>
      <c r="PA44" s="44"/>
      <c r="PB44" s="44"/>
      <c r="PC44" s="44"/>
      <c r="PD44" s="44"/>
      <c r="PE44" s="44"/>
      <c r="PF44" s="44"/>
      <c r="PG44" s="44"/>
      <c r="PH44" s="44"/>
      <c r="PI44" s="44"/>
      <c r="PJ44" s="44"/>
      <c r="PK44" s="44"/>
      <c r="PL44" s="44"/>
      <c r="PM44" s="44"/>
      <c r="PN44" s="44"/>
      <c r="PO44" s="44"/>
      <c r="PP44" s="44"/>
      <c r="PQ44" s="44"/>
      <c r="PR44" s="44"/>
      <c r="PS44" s="44"/>
      <c r="PT44" s="44"/>
      <c r="PU44" s="44"/>
      <c r="PV44" s="44"/>
      <c r="PW44" s="44"/>
      <c r="PX44" s="44"/>
      <c r="PY44" s="44"/>
      <c r="PZ44" s="44"/>
      <c r="QA44" s="44"/>
      <c r="QB44" s="44"/>
      <c r="QC44" s="44"/>
      <c r="QD44" s="44"/>
      <c r="QE44" s="44"/>
      <c r="QF44" s="44"/>
      <c r="QG44" s="44"/>
      <c r="QH44" s="44"/>
      <c r="QI44" s="44"/>
      <c r="QJ44" s="44"/>
      <c r="QK44" s="44"/>
      <c r="QL44" s="44"/>
      <c r="QM44" s="44"/>
      <c r="QN44" s="44"/>
      <c r="QO44" s="44"/>
      <c r="QP44" s="44"/>
      <c r="QQ44" s="44"/>
      <c r="QR44" s="44"/>
      <c r="QS44" s="44"/>
      <c r="QT44" s="44"/>
      <c r="QU44" s="44"/>
      <c r="QV44" s="44"/>
      <c r="QW44" s="44"/>
      <c r="QX44" s="44"/>
      <c r="QY44" s="44"/>
      <c r="QZ44" s="44"/>
      <c r="RA44" s="44"/>
      <c r="RB44" s="44"/>
      <c r="RC44" s="44"/>
      <c r="RD44" s="44"/>
      <c r="RE44" s="44"/>
      <c r="RF44" s="44"/>
      <c r="RG44" s="44"/>
      <c r="RH44" s="44"/>
      <c r="RI44" s="44"/>
      <c r="RJ44" s="44"/>
      <c r="RK44" s="44"/>
      <c r="RL44" s="44"/>
      <c r="RM44" s="44"/>
      <c r="RN44" s="44"/>
      <c r="RO44" s="44"/>
      <c r="RP44" s="44"/>
      <c r="RQ44" s="44"/>
      <c r="RR44" s="44"/>
      <c r="RS44" s="44"/>
      <c r="RT44" s="44"/>
      <c r="RU44" s="44"/>
      <c r="RV44" s="44"/>
      <c r="RW44" s="44"/>
      <c r="RX44" s="44"/>
      <c r="RY44" s="44"/>
      <c r="RZ44" s="44"/>
      <c r="SA44" s="44"/>
      <c r="SB44" s="44"/>
      <c r="SC44" s="44"/>
      <c r="SD44" s="44"/>
      <c r="SE44" s="44"/>
      <c r="SF44" s="44"/>
      <c r="SG44" s="44"/>
      <c r="SH44" s="44"/>
      <c r="SI44" s="44"/>
      <c r="SJ44" s="44"/>
      <c r="SK44" s="44"/>
      <c r="SL44" s="44"/>
      <c r="SM44" s="44"/>
      <c r="SN44" s="44"/>
      <c r="SO44" s="44"/>
      <c r="SP44" s="44"/>
      <c r="SQ44" s="44"/>
      <c r="SR44" s="44"/>
      <c r="SS44" s="44"/>
      <c r="ST44" s="44"/>
      <c r="SU44" s="44"/>
      <c r="SV44" s="44"/>
      <c r="SW44" s="44"/>
      <c r="SX44" s="44"/>
      <c r="SY44" s="44"/>
      <c r="SZ44" s="44"/>
      <c r="TA44" s="44"/>
      <c r="TB44" s="44"/>
      <c r="TC44" s="44"/>
      <c r="TD44" s="44"/>
      <c r="TE44" s="44"/>
      <c r="TF44" s="44"/>
      <c r="TG44" s="44"/>
      <c r="TH44" s="44"/>
      <c r="TI44" s="44"/>
      <c r="TJ44" s="44"/>
      <c r="TK44" s="44"/>
      <c r="TL44" s="44"/>
      <c r="TM44" s="44"/>
      <c r="TN44" s="44"/>
      <c r="TO44" s="44"/>
      <c r="TP44" s="44"/>
      <c r="TQ44" s="44"/>
      <c r="TR44" s="44"/>
      <c r="TS44" s="44"/>
      <c r="TT44" s="44"/>
      <c r="TU44" s="44"/>
      <c r="TV44" s="44"/>
      <c r="TW44" s="44"/>
      <c r="TX44" s="44"/>
      <c r="TY44" s="44"/>
      <c r="TZ44" s="44"/>
      <c r="UA44" s="44"/>
      <c r="UB44" s="44"/>
      <c r="UC44" s="44"/>
      <c r="UD44" s="44"/>
      <c r="UE44" s="44"/>
      <c r="UF44" s="44"/>
      <c r="UG44" s="44"/>
      <c r="UH44" s="44"/>
      <c r="UI44" s="44"/>
      <c r="UJ44" s="44"/>
      <c r="UK44" s="44"/>
      <c r="UL44" s="44"/>
      <c r="UM44" s="44"/>
      <c r="UN44" s="44"/>
      <c r="UO44" s="44"/>
      <c r="UP44" s="44"/>
      <c r="UQ44" s="44"/>
      <c r="UR44" s="44"/>
      <c r="US44" s="44"/>
      <c r="UT44" s="44"/>
      <c r="UU44" s="44"/>
      <c r="UV44" s="44"/>
      <c r="UW44" s="44"/>
      <c r="UX44" s="44"/>
      <c r="UY44" s="44"/>
      <c r="UZ44" s="44"/>
      <c r="VA44" s="44"/>
      <c r="VB44" s="44"/>
      <c r="VC44" s="44"/>
      <c r="VD44" s="44"/>
      <c r="VE44" s="44"/>
      <c r="VF44" s="44"/>
      <c r="VG44" s="44"/>
      <c r="VH44" s="44"/>
      <c r="VI44" s="44"/>
      <c r="VJ44" s="44"/>
      <c r="VK44" s="44"/>
      <c r="VL44" s="44"/>
      <c r="VM44" s="44"/>
      <c r="VN44" s="44"/>
      <c r="VO44" s="44"/>
      <c r="VP44" s="44"/>
      <c r="VQ44" s="44"/>
      <c r="VR44" s="44"/>
      <c r="VS44" s="44"/>
      <c r="VT44" s="44"/>
      <c r="VU44" s="44"/>
      <c r="VV44" s="44"/>
      <c r="VW44" s="44"/>
      <c r="VX44" s="44"/>
      <c r="VY44" s="44"/>
      <c r="VZ44" s="44"/>
      <c r="WA44" s="44"/>
      <c r="WB44" s="44"/>
      <c r="WC44" s="44"/>
      <c r="WD44" s="44"/>
      <c r="WE44" s="44"/>
      <c r="WF44" s="44"/>
      <c r="WG44" s="44"/>
      <c r="WH44" s="44"/>
      <c r="WI44" s="44"/>
      <c r="WJ44" s="44"/>
      <c r="WK44" s="44"/>
      <c r="WL44" s="44"/>
      <c r="WM44" s="44"/>
      <c r="WN44" s="44"/>
      <c r="WO44" s="44"/>
      <c r="WP44" s="44"/>
      <c r="WQ44" s="44"/>
      <c r="WR44" s="44"/>
      <c r="WS44" s="44"/>
      <c r="WT44" s="44"/>
      <c r="WU44" s="44"/>
      <c r="WV44" s="44"/>
      <c r="WW44" s="44"/>
      <c r="WX44" s="44"/>
      <c r="WY44" s="44"/>
      <c r="WZ44" s="44"/>
      <c r="XA44" s="44"/>
      <c r="XB44" s="44"/>
      <c r="XC44" s="44"/>
      <c r="XD44" s="44"/>
      <c r="XE44" s="44"/>
      <c r="XF44" s="44"/>
      <c r="XG44" s="44"/>
      <c r="XH44" s="44"/>
      <c r="XI44" s="44"/>
      <c r="XJ44" s="44"/>
      <c r="XK44" s="44"/>
      <c r="XL44" s="44"/>
      <c r="XM44" s="44"/>
      <c r="XN44" s="44"/>
      <c r="XO44" s="44"/>
      <c r="XP44" s="44"/>
      <c r="XQ44" s="44"/>
      <c r="XR44" s="44"/>
      <c r="XS44" s="44"/>
      <c r="XT44" s="44"/>
      <c r="XU44" s="44"/>
      <c r="XV44" s="44"/>
      <c r="XW44" s="44"/>
      <c r="XX44" s="44"/>
      <c r="XY44" s="44"/>
      <c r="XZ44" s="44"/>
      <c r="YA44" s="44"/>
      <c r="YB44" s="44"/>
      <c r="YC44" s="44"/>
      <c r="YD44" s="44"/>
      <c r="YE44" s="44"/>
      <c r="YF44" s="44"/>
      <c r="YG44" s="44"/>
      <c r="YH44" s="44"/>
      <c r="YI44" s="44"/>
      <c r="YJ44" s="44"/>
      <c r="YK44" s="44"/>
      <c r="YL44" s="44"/>
      <c r="YM44" s="44"/>
      <c r="YN44" s="44"/>
      <c r="YO44" s="44"/>
      <c r="YP44" s="44"/>
      <c r="YQ44" s="44"/>
      <c r="YR44" s="44"/>
      <c r="YS44" s="44"/>
      <c r="YT44" s="44"/>
      <c r="YU44" s="44"/>
      <c r="YV44" s="44"/>
      <c r="YW44" s="44"/>
      <c r="YX44" s="44"/>
      <c r="YY44" s="44"/>
      <c r="YZ44" s="44"/>
      <c r="ZA44" s="44"/>
      <c r="ZB44" s="44"/>
      <c r="ZC44" s="44"/>
      <c r="ZD44" s="44"/>
      <c r="ZE44" s="44"/>
      <c r="ZF44" s="44"/>
      <c r="ZG44" s="44"/>
      <c r="ZH44" s="44"/>
      <c r="ZI44" s="44"/>
      <c r="ZJ44" s="44"/>
      <c r="ZK44" s="44"/>
      <c r="ZL44" s="44"/>
      <c r="ZM44" s="44"/>
      <c r="ZN44" s="44"/>
      <c r="ZO44" s="44"/>
      <c r="ZP44" s="44"/>
      <c r="ZQ44" s="44"/>
      <c r="ZR44" s="44"/>
      <c r="ZS44" s="44"/>
      <c r="ZT44" s="44"/>
      <c r="ZU44" s="44"/>
      <c r="ZV44" s="44"/>
      <c r="ZW44" s="44"/>
      <c r="ZX44" s="44"/>
      <c r="ZY44" s="44"/>
      <c r="ZZ44" s="44"/>
      <c r="AAA44" s="44"/>
      <c r="AAB44" s="44"/>
      <c r="AAC44" s="44"/>
      <c r="AAD44" s="44"/>
      <c r="AAE44" s="44"/>
      <c r="AAF44" s="44"/>
      <c r="AAG44" s="44"/>
      <c r="AAH44" s="44"/>
      <c r="AAI44" s="44"/>
      <c r="AAJ44" s="44"/>
      <c r="AAK44" s="44"/>
      <c r="AAL44" s="44"/>
      <c r="AAM44" s="44"/>
      <c r="AAN44" s="44"/>
      <c r="AAO44" s="44"/>
      <c r="AAP44" s="44"/>
      <c r="AAQ44" s="44"/>
      <c r="AAR44" s="44"/>
      <c r="AAS44" s="44"/>
      <c r="AAT44" s="44"/>
      <c r="AAU44" s="44"/>
      <c r="AAV44" s="44"/>
      <c r="AAW44" s="44"/>
      <c r="AAX44" s="44"/>
      <c r="AAY44" s="44"/>
      <c r="AAZ44" s="44"/>
      <c r="ABA44" s="44"/>
      <c r="ABB44" s="44"/>
      <c r="ABC44" s="44"/>
      <c r="ABD44" s="44"/>
      <c r="ABE44" s="44"/>
      <c r="ABF44" s="44"/>
      <c r="ABG44" s="44"/>
      <c r="ABH44" s="44"/>
      <c r="ABI44" s="44"/>
      <c r="ABJ44" s="44"/>
      <c r="ABK44" s="44"/>
      <c r="ABL44" s="44"/>
      <c r="ABM44" s="44"/>
      <c r="ABN44" s="44"/>
      <c r="ABO44" s="44"/>
      <c r="ABP44" s="44"/>
      <c r="ABQ44" s="44"/>
      <c r="ABR44" s="44"/>
      <c r="ABS44" s="44"/>
      <c r="ABT44" s="44"/>
      <c r="ABU44" s="44"/>
      <c r="ABV44" s="44"/>
      <c r="ABW44" s="44"/>
      <c r="ABX44" s="44"/>
      <c r="ABY44" s="44"/>
      <c r="ABZ44" s="44"/>
      <c r="ACA44" s="44"/>
      <c r="ACB44" s="44"/>
      <c r="ACC44" s="44"/>
      <c r="ACD44" s="44"/>
      <c r="ACE44" s="44"/>
      <c r="ACF44" s="44"/>
      <c r="ACG44" s="44"/>
      <c r="ACH44" s="44"/>
      <c r="ACI44" s="44"/>
      <c r="ACJ44" s="44"/>
      <c r="ACK44" s="44"/>
      <c r="ACL44" s="44"/>
      <c r="ACM44" s="44"/>
      <c r="ACN44" s="44"/>
      <c r="ACO44" s="44"/>
      <c r="ACP44" s="44"/>
      <c r="ACQ44" s="44"/>
      <c r="ACR44" s="44"/>
      <c r="ACS44" s="44"/>
      <c r="ACT44" s="44"/>
      <c r="ACU44" s="44"/>
      <c r="ACV44" s="44"/>
      <c r="ACW44" s="44"/>
      <c r="ACX44" s="44"/>
      <c r="ACY44" s="44"/>
      <c r="ACZ44" s="44"/>
      <c r="ADA44" s="44"/>
      <c r="ADB44" s="44"/>
      <c r="ADC44" s="44"/>
      <c r="ADD44" s="44"/>
      <c r="ADE44" s="44"/>
      <c r="ADF44" s="44"/>
      <c r="ADG44" s="44"/>
      <c r="ADH44" s="44"/>
      <c r="ADI44" s="44"/>
      <c r="ADJ44" s="44"/>
      <c r="ADK44" s="44"/>
      <c r="ADL44" s="44"/>
      <c r="ADM44" s="44"/>
      <c r="ADN44" s="44"/>
      <c r="ADO44" s="44"/>
      <c r="ADP44" s="44"/>
      <c r="ADQ44" s="44"/>
      <c r="ADR44" s="44"/>
      <c r="ADS44" s="44"/>
      <c r="ADT44" s="44"/>
      <c r="ADU44" s="44"/>
      <c r="ADV44" s="44"/>
      <c r="ADW44" s="44"/>
      <c r="ADX44" s="44"/>
      <c r="ADY44" s="44"/>
      <c r="ADZ44" s="44"/>
      <c r="AEA44" s="44"/>
      <c r="AEB44" s="44"/>
      <c r="AEC44" s="44"/>
      <c r="AED44" s="44"/>
      <c r="AEE44" s="44"/>
      <c r="AEF44" s="44"/>
      <c r="AEG44" s="44"/>
      <c r="AEH44" s="44"/>
      <c r="AEI44" s="44"/>
      <c r="AEJ44" s="44"/>
      <c r="AEK44" s="44"/>
      <c r="AEL44" s="44"/>
      <c r="AEM44" s="44"/>
      <c r="AEN44" s="44"/>
      <c r="AEO44" s="44"/>
      <c r="AEP44" s="44"/>
      <c r="AEQ44" s="44"/>
      <c r="AER44" s="44"/>
      <c r="AES44" s="44"/>
      <c r="AET44" s="44"/>
      <c r="AEU44" s="44"/>
      <c r="AEV44" s="44"/>
      <c r="AEW44" s="44"/>
      <c r="AEX44" s="44"/>
      <c r="AEY44" s="44"/>
      <c r="AEZ44" s="44"/>
      <c r="AFA44" s="44"/>
      <c r="AFB44" s="44"/>
      <c r="AFC44" s="44"/>
      <c r="AFD44" s="44"/>
      <c r="AFE44" s="44"/>
      <c r="AFF44" s="44"/>
      <c r="AFG44" s="44"/>
      <c r="AFH44" s="44"/>
      <c r="AFI44" s="44"/>
      <c r="AFJ44" s="44"/>
      <c r="AFK44" s="44"/>
      <c r="AFL44" s="44"/>
      <c r="AFM44" s="44"/>
      <c r="AFN44" s="44"/>
      <c r="AFO44" s="44"/>
      <c r="AFP44" s="44"/>
      <c r="AFQ44" s="44"/>
      <c r="AFR44" s="44"/>
      <c r="AFS44" s="44"/>
      <c r="AFT44" s="44"/>
      <c r="AFU44" s="44"/>
      <c r="AFV44" s="44"/>
      <c r="AFW44" s="44"/>
      <c r="AFX44" s="44"/>
      <c r="AFY44" s="44"/>
      <c r="AFZ44" s="44"/>
      <c r="AGA44" s="44"/>
      <c r="AGB44" s="44"/>
      <c r="AGC44" s="44"/>
      <c r="AGD44" s="44"/>
      <c r="AGE44" s="44"/>
      <c r="AGF44" s="44"/>
      <c r="AGG44" s="44"/>
      <c r="AGH44" s="44"/>
      <c r="AGI44" s="44"/>
      <c r="AGJ44" s="44"/>
      <c r="AGK44" s="44"/>
      <c r="AGL44" s="44"/>
      <c r="AGM44" s="44"/>
      <c r="AGN44" s="44"/>
      <c r="AGO44" s="44"/>
      <c r="AGP44" s="44"/>
      <c r="AGQ44" s="44"/>
      <c r="AGR44" s="44"/>
      <c r="AGS44" s="44"/>
      <c r="AGT44" s="44"/>
      <c r="AGU44" s="44"/>
      <c r="AGV44" s="44"/>
      <c r="AGW44" s="44"/>
      <c r="AGX44" s="44"/>
      <c r="AGY44" s="44"/>
      <c r="AGZ44" s="44"/>
      <c r="AHA44" s="44"/>
      <c r="AHB44" s="44"/>
      <c r="AHC44" s="44"/>
      <c r="AHD44" s="44"/>
      <c r="AHE44" s="44"/>
      <c r="AHF44" s="44"/>
      <c r="AHG44" s="44"/>
      <c r="AHH44" s="44"/>
      <c r="AHI44" s="44"/>
      <c r="AHJ44" s="44"/>
      <c r="AHK44" s="44"/>
      <c r="AHL44" s="44"/>
      <c r="AHM44" s="44"/>
      <c r="AHN44" s="44"/>
      <c r="AHO44" s="44"/>
      <c r="AHP44" s="44"/>
      <c r="AHQ44" s="44"/>
      <c r="AHR44" s="44"/>
      <c r="AHS44" s="44"/>
      <c r="AHT44" s="44"/>
      <c r="AHU44" s="44"/>
      <c r="AHV44" s="44"/>
      <c r="AHW44" s="44"/>
      <c r="AHX44" s="44"/>
      <c r="AHY44" s="44"/>
      <c r="AHZ44" s="44"/>
      <c r="AIA44" s="44"/>
      <c r="AIB44" s="44"/>
      <c r="AIC44" s="44"/>
      <c r="AID44" s="44"/>
      <c r="AIE44" s="44"/>
      <c r="AIF44" s="44"/>
      <c r="AIG44" s="44"/>
      <c r="AIH44" s="44"/>
      <c r="AII44" s="44"/>
      <c r="AIJ44" s="44"/>
      <c r="AIK44" s="44"/>
      <c r="AIL44" s="44"/>
      <c r="AIM44" s="44"/>
      <c r="AIN44" s="44"/>
      <c r="AIO44" s="44"/>
      <c r="AIP44" s="44"/>
      <c r="AIQ44" s="44"/>
      <c r="AIR44" s="44"/>
      <c r="AIS44" s="44"/>
      <c r="AIT44" s="44"/>
      <c r="AIU44" s="44"/>
      <c r="AIV44" s="44"/>
      <c r="AIW44" s="44"/>
      <c r="AIX44" s="44"/>
      <c r="AIY44" s="44"/>
      <c r="AIZ44" s="44"/>
      <c r="AJA44" s="44"/>
      <c r="AJB44" s="44"/>
      <c r="AJC44" s="44"/>
      <c r="AJD44" s="44"/>
      <c r="AJE44" s="44"/>
      <c r="AJF44" s="44"/>
      <c r="AJG44" s="44"/>
      <c r="AJH44" s="44"/>
      <c r="AJI44" s="44"/>
      <c r="AJJ44" s="44"/>
      <c r="AJK44" s="44"/>
      <c r="AJL44" s="44"/>
      <c r="AJM44" s="44"/>
      <c r="AJN44" s="44"/>
      <c r="AJO44" s="44"/>
      <c r="AJP44" s="44"/>
      <c r="AJQ44" s="44"/>
      <c r="AJR44" s="44"/>
      <c r="AJS44" s="44"/>
      <c r="AJT44" s="44"/>
      <c r="AJU44" s="44"/>
      <c r="AJV44" s="44"/>
      <c r="AJW44" s="44"/>
      <c r="AJX44" s="44"/>
      <c r="AJY44" s="44"/>
      <c r="AJZ44" s="44"/>
      <c r="AKA44" s="44"/>
      <c r="AKB44" s="44"/>
      <c r="AKC44" s="44"/>
      <c r="AKD44" s="44"/>
      <c r="AKE44" s="44"/>
      <c r="AKF44" s="44"/>
      <c r="AKG44" s="44"/>
      <c r="AKH44" s="44"/>
      <c r="AKI44" s="44"/>
      <c r="AKJ44" s="44"/>
      <c r="AKK44" s="44"/>
      <c r="AKL44" s="44"/>
      <c r="AKM44" s="44"/>
      <c r="AKN44" s="44"/>
      <c r="AKO44" s="44"/>
      <c r="AKP44" s="44"/>
      <c r="AKQ44" s="44"/>
      <c r="AKR44" s="44"/>
      <c r="AKS44" s="44"/>
      <c r="AKT44" s="44"/>
      <c r="AKU44" s="44"/>
      <c r="AKV44" s="44"/>
      <c r="AKW44" s="44"/>
      <c r="AKX44" s="44"/>
      <c r="AKY44" s="44"/>
      <c r="AKZ44" s="44"/>
      <c r="ALA44" s="44"/>
      <c r="ALB44" s="44"/>
      <c r="ALC44" s="44"/>
      <c r="ALD44" s="44"/>
      <c r="ALE44" s="44"/>
      <c r="ALF44" s="44"/>
      <c r="ALG44" s="44"/>
      <c r="ALH44" s="44"/>
      <c r="ALI44" s="44"/>
      <c r="ALJ44" s="44"/>
      <c r="ALK44" s="44"/>
      <c r="ALL44" s="44"/>
      <c r="ALM44" s="44"/>
      <c r="ALN44" s="44"/>
      <c r="ALO44" s="44"/>
      <c r="ALP44" s="44"/>
      <c r="ALQ44" s="44"/>
      <c r="ALR44" s="44"/>
      <c r="ALS44" s="44"/>
      <c r="ALT44" s="44"/>
      <c r="ALU44" s="44"/>
      <c r="ALV44" s="44"/>
      <c r="ALW44" s="44"/>
      <c r="ALX44" s="44"/>
      <c r="ALY44" s="44"/>
      <c r="ALZ44" s="44"/>
      <c r="AMA44" s="44"/>
      <c r="AMB44" s="44"/>
      <c r="AMC44" s="44"/>
      <c r="AMD44" s="44"/>
      <c r="AME44" s="44"/>
      <c r="AMF44" s="44"/>
      <c r="AMG44" s="44"/>
      <c r="AMH44" s="44"/>
      <c r="AMI44" s="44"/>
      <c r="AMJ44" s="44"/>
      <c r="AMK44" s="44"/>
      <c r="AML44" s="44"/>
      <c r="AMM44" s="44"/>
      <c r="AMN44" s="44"/>
      <c r="AMO44" s="44"/>
      <c r="AMP44" s="44"/>
      <c r="AMQ44" s="44"/>
      <c r="AMR44" s="44"/>
      <c r="AMS44" s="44"/>
      <c r="AMT44" s="44"/>
      <c r="AMU44" s="44"/>
      <c r="AMV44" s="44"/>
      <c r="AMW44" s="44"/>
      <c r="AMX44" s="44"/>
      <c r="AMY44" s="44"/>
      <c r="AMZ44" s="44"/>
      <c r="ANA44" s="44"/>
      <c r="ANB44" s="44"/>
      <c r="ANC44" s="44"/>
      <c r="AND44" s="44"/>
      <c r="ANE44" s="44"/>
      <c r="ANF44" s="44"/>
      <c r="ANG44" s="44"/>
      <c r="ANH44" s="44"/>
      <c r="ANI44" s="44"/>
      <c r="ANJ44" s="44"/>
      <c r="ANK44" s="44"/>
      <c r="ANL44" s="44"/>
      <c r="ANM44" s="44"/>
      <c r="ANN44" s="44"/>
      <c r="ANO44" s="44"/>
      <c r="ANP44" s="44"/>
      <c r="ANQ44" s="44"/>
      <c r="ANR44" s="44"/>
      <c r="ANS44" s="44"/>
      <c r="ANT44" s="44"/>
      <c r="ANU44" s="44"/>
      <c r="ANV44" s="44"/>
      <c r="ANW44" s="44"/>
      <c r="ANX44" s="44"/>
      <c r="ANY44" s="44"/>
      <c r="ANZ44" s="44"/>
      <c r="AOA44" s="44"/>
      <c r="AOB44" s="44"/>
      <c r="AOC44" s="44"/>
      <c r="AOD44" s="44"/>
      <c r="AOE44" s="44"/>
      <c r="AOF44" s="44"/>
      <c r="AOG44" s="44"/>
      <c r="AOH44" s="44"/>
      <c r="AOI44" s="44"/>
      <c r="AOJ44" s="44"/>
      <c r="AOK44" s="44"/>
      <c r="AOL44" s="44"/>
      <c r="AOM44" s="44"/>
      <c r="AON44" s="44"/>
      <c r="AOO44" s="44"/>
      <c r="AOP44" s="44"/>
      <c r="AOQ44" s="44"/>
      <c r="AOR44" s="44"/>
      <c r="AOS44" s="44"/>
      <c r="AOT44" s="44"/>
      <c r="AOU44" s="44"/>
      <c r="AOV44" s="44"/>
      <c r="AOW44" s="44"/>
      <c r="AOX44" s="44"/>
      <c r="AOY44" s="44"/>
      <c r="AOZ44" s="44"/>
      <c r="APA44" s="44"/>
      <c r="APB44" s="44"/>
      <c r="APC44" s="44"/>
      <c r="APD44" s="44"/>
      <c r="APE44" s="44"/>
      <c r="APF44" s="44"/>
      <c r="APG44" s="44"/>
      <c r="APH44" s="44"/>
      <c r="API44" s="44"/>
      <c r="APJ44" s="44"/>
      <c r="APK44" s="44"/>
      <c r="APL44" s="44"/>
      <c r="APM44" s="44"/>
      <c r="APN44" s="44"/>
      <c r="APO44" s="44"/>
      <c r="APP44" s="44"/>
      <c r="APQ44" s="44"/>
      <c r="APR44" s="44"/>
      <c r="APS44" s="44"/>
      <c r="APT44" s="44"/>
      <c r="APU44" s="44"/>
      <c r="APV44" s="44"/>
      <c r="APW44" s="44"/>
      <c r="APX44" s="44"/>
      <c r="APY44" s="44"/>
      <c r="APZ44" s="44"/>
      <c r="AQA44" s="44"/>
      <c r="AQB44" s="44"/>
      <c r="AQC44" s="44"/>
      <c r="AQD44" s="44"/>
      <c r="AQE44" s="44"/>
      <c r="AQF44" s="44"/>
      <c r="AQG44" s="44"/>
      <c r="AQH44" s="44"/>
      <c r="AQI44" s="44"/>
      <c r="AQJ44" s="44"/>
      <c r="AQK44" s="44"/>
      <c r="AQL44" s="44"/>
      <c r="AQM44" s="44"/>
      <c r="AQN44" s="44"/>
      <c r="AQO44" s="44"/>
      <c r="AQP44" s="44"/>
      <c r="AQQ44" s="44"/>
      <c r="AQR44" s="44"/>
      <c r="AQS44" s="44"/>
      <c r="AQT44" s="44"/>
      <c r="AQU44" s="44"/>
      <c r="AQV44" s="44"/>
      <c r="AQW44" s="44"/>
      <c r="AQX44" s="44"/>
      <c r="AQY44" s="44"/>
      <c r="AQZ44" s="44"/>
      <c r="ARA44" s="44"/>
      <c r="ARB44" s="44"/>
      <c r="ARC44" s="44"/>
      <c r="ARD44" s="44"/>
      <c r="ARE44" s="44"/>
      <c r="ARF44" s="44"/>
      <c r="ARG44" s="44"/>
      <c r="ARH44" s="44"/>
      <c r="ARI44" s="44"/>
      <c r="ARJ44" s="44"/>
      <c r="ARK44" s="44"/>
      <c r="ARL44" s="44"/>
      <c r="ARM44" s="44"/>
      <c r="ARN44" s="44"/>
      <c r="ARO44" s="44"/>
      <c r="ARP44" s="44"/>
      <c r="ARQ44" s="44"/>
      <c r="ARR44" s="44"/>
      <c r="ARS44" s="44"/>
      <c r="ART44" s="44"/>
      <c r="ARU44" s="44"/>
      <c r="ARV44" s="44"/>
      <c r="ARW44" s="44"/>
      <c r="ARX44" s="44"/>
      <c r="ARY44" s="44"/>
      <c r="ARZ44" s="44"/>
      <c r="ASA44" s="44"/>
      <c r="ASB44" s="44"/>
      <c r="ASC44" s="44"/>
      <c r="ASD44" s="44"/>
      <c r="ASE44" s="44"/>
      <c r="ASF44" s="44"/>
      <c r="ASG44" s="44"/>
      <c r="ASH44" s="44"/>
      <c r="ASI44" s="44"/>
      <c r="ASJ44" s="44"/>
      <c r="ASK44" s="44"/>
      <c r="ASL44" s="44"/>
      <c r="ASM44" s="44"/>
      <c r="ASN44" s="44"/>
      <c r="ASO44" s="44"/>
      <c r="ASP44" s="44"/>
      <c r="ASQ44" s="44"/>
      <c r="ASR44" s="44"/>
      <c r="ASS44" s="44"/>
      <c r="AST44" s="44"/>
      <c r="ASU44" s="44"/>
      <c r="ASV44" s="44"/>
      <c r="ASW44" s="44"/>
      <c r="ASX44" s="44"/>
      <c r="ASY44" s="44"/>
      <c r="ASZ44" s="44"/>
      <c r="ATA44" s="44"/>
      <c r="ATB44" s="44"/>
      <c r="ATC44" s="44"/>
      <c r="ATD44" s="44"/>
      <c r="ATE44" s="44"/>
      <c r="ATF44" s="44"/>
      <c r="ATG44" s="44"/>
      <c r="ATH44" s="44"/>
      <c r="ATI44" s="44"/>
      <c r="ATJ44" s="44"/>
      <c r="ATK44" s="44"/>
      <c r="ATL44" s="44"/>
      <c r="ATM44" s="44"/>
      <c r="ATN44" s="44"/>
      <c r="ATO44" s="44"/>
      <c r="ATP44" s="44"/>
      <c r="ATQ44" s="44"/>
      <c r="ATR44" s="44"/>
      <c r="ATS44" s="44"/>
      <c r="ATT44" s="44"/>
      <c r="ATU44" s="44"/>
      <c r="ATV44" s="44"/>
      <c r="ATW44" s="44"/>
      <c r="ATX44" s="44"/>
      <c r="ATY44" s="44"/>
      <c r="ATZ44" s="44"/>
      <c r="AUA44" s="44"/>
      <c r="AUB44" s="44"/>
      <c r="AUC44" s="44"/>
      <c r="AUD44" s="44"/>
      <c r="AUE44" s="44"/>
      <c r="AUF44" s="44"/>
      <c r="AUG44" s="44"/>
      <c r="AUH44" s="44"/>
      <c r="AUI44" s="44"/>
      <c r="AUJ44" s="44"/>
      <c r="AUK44" s="44"/>
      <c r="AUL44" s="44"/>
      <c r="AUM44" s="44"/>
      <c r="AUN44" s="44"/>
      <c r="AUO44" s="44"/>
      <c r="AUP44" s="44"/>
      <c r="AUQ44" s="44"/>
      <c r="AUR44" s="44"/>
      <c r="AUS44" s="44"/>
      <c r="AUT44" s="44"/>
      <c r="AUU44" s="44"/>
      <c r="AUV44" s="44"/>
      <c r="AUW44" s="44"/>
      <c r="AUX44" s="44"/>
      <c r="AUY44" s="44"/>
      <c r="AUZ44" s="44"/>
      <c r="AVA44" s="44"/>
      <c r="AVB44" s="44"/>
      <c r="AVC44" s="44"/>
      <c r="AVD44" s="44"/>
      <c r="AVE44" s="44"/>
      <c r="AVF44" s="44"/>
      <c r="AVG44" s="44"/>
      <c r="AVH44" s="44"/>
      <c r="AVI44" s="44"/>
      <c r="AVJ44" s="44"/>
      <c r="AVK44" s="44"/>
      <c r="AVL44" s="44"/>
      <c r="AVM44" s="44"/>
      <c r="AVN44" s="44"/>
      <c r="AVO44" s="44"/>
      <c r="AVP44" s="44"/>
      <c r="AVQ44" s="44"/>
      <c r="AVR44" s="44"/>
      <c r="AVS44" s="44"/>
      <c r="AVT44" s="44"/>
      <c r="AVU44" s="44"/>
      <c r="AVV44" s="44"/>
      <c r="AVW44" s="44"/>
      <c r="AVX44" s="44"/>
      <c r="AVY44" s="44"/>
      <c r="AVZ44" s="44"/>
      <c r="AWA44" s="44"/>
      <c r="AWB44" s="44"/>
      <c r="AWC44" s="44"/>
      <c r="AWD44" s="44"/>
      <c r="AWE44" s="44"/>
      <c r="AWF44" s="44"/>
      <c r="AWG44" s="44"/>
      <c r="AWH44" s="44"/>
      <c r="AWI44" s="44"/>
      <c r="AWJ44" s="44"/>
      <c r="AWK44" s="44"/>
      <c r="AWL44" s="44"/>
      <c r="AWM44" s="44"/>
      <c r="AWN44" s="44"/>
      <c r="AWO44" s="44"/>
      <c r="AWP44" s="44"/>
      <c r="AWQ44" s="44"/>
      <c r="AWR44" s="44"/>
      <c r="AWS44" s="44"/>
      <c r="AWT44" s="44"/>
      <c r="AWU44" s="44"/>
      <c r="AWV44" s="44"/>
      <c r="AWW44" s="44"/>
      <c r="AWX44" s="44"/>
      <c r="AWY44" s="44"/>
      <c r="AWZ44" s="44"/>
      <c r="AXA44" s="44"/>
      <c r="AXB44" s="44"/>
      <c r="AXC44" s="44"/>
      <c r="AXD44" s="44"/>
      <c r="AXE44" s="44"/>
      <c r="AXF44" s="44"/>
      <c r="AXG44" s="44"/>
      <c r="AXH44" s="44"/>
      <c r="AXI44" s="44"/>
      <c r="AXJ44" s="44"/>
      <c r="AXK44" s="44"/>
      <c r="AXL44" s="44"/>
      <c r="AXM44" s="44"/>
      <c r="AXN44" s="44"/>
      <c r="AXO44" s="44"/>
      <c r="AXP44" s="44"/>
      <c r="AXQ44" s="44"/>
      <c r="AXR44" s="44"/>
      <c r="AXS44" s="44"/>
      <c r="AXT44" s="44"/>
      <c r="AXU44" s="44"/>
      <c r="AXV44" s="44"/>
      <c r="AXW44" s="44"/>
      <c r="AXX44" s="44"/>
      <c r="AXY44" s="44"/>
      <c r="AXZ44" s="44"/>
      <c r="AYA44" s="44"/>
      <c r="AYB44" s="44"/>
      <c r="AYC44" s="44"/>
      <c r="AYD44" s="44"/>
      <c r="AYE44" s="44"/>
      <c r="AYF44" s="44"/>
      <c r="AYG44" s="44"/>
      <c r="AYH44" s="44"/>
      <c r="AYI44" s="44"/>
      <c r="AYJ44" s="44"/>
      <c r="AYK44" s="44"/>
      <c r="AYL44" s="44"/>
      <c r="AYM44" s="44"/>
      <c r="AYN44" s="44"/>
      <c r="AYO44" s="44"/>
      <c r="AYP44" s="44"/>
      <c r="AYQ44" s="44"/>
      <c r="AYR44" s="44"/>
      <c r="AYS44" s="44"/>
      <c r="AYT44" s="44"/>
      <c r="AYU44" s="44"/>
      <c r="AYV44" s="44"/>
      <c r="AYW44" s="44"/>
      <c r="AYX44" s="44"/>
      <c r="AYY44" s="44"/>
      <c r="AYZ44" s="44"/>
      <c r="AZA44" s="44"/>
      <c r="AZB44" s="44"/>
      <c r="AZC44" s="44"/>
      <c r="AZD44" s="44"/>
      <c r="AZE44" s="44"/>
      <c r="AZF44" s="44"/>
      <c r="AZG44" s="44"/>
      <c r="AZH44" s="44"/>
      <c r="AZI44" s="44"/>
      <c r="AZJ44" s="44"/>
      <c r="AZK44" s="44"/>
      <c r="AZL44" s="44"/>
      <c r="AZM44" s="44"/>
      <c r="AZN44" s="44"/>
      <c r="AZO44" s="44"/>
      <c r="AZP44" s="44"/>
      <c r="AZQ44" s="44"/>
      <c r="AZR44" s="44"/>
      <c r="AZS44" s="44"/>
      <c r="AZT44" s="44"/>
      <c r="AZU44" s="44"/>
      <c r="AZV44" s="44"/>
      <c r="AZW44" s="44"/>
      <c r="AZX44" s="44"/>
      <c r="AZY44" s="44"/>
      <c r="AZZ44" s="44"/>
      <c r="BAA44" s="44"/>
      <c r="BAB44" s="44"/>
      <c r="BAC44" s="44"/>
      <c r="BAD44" s="44"/>
      <c r="BAE44" s="44"/>
      <c r="BAF44" s="44"/>
      <c r="BAG44" s="44"/>
      <c r="BAH44" s="44"/>
      <c r="BAI44" s="44"/>
      <c r="BAJ44" s="44"/>
      <c r="BAK44" s="44"/>
      <c r="BAL44" s="44"/>
      <c r="BAM44" s="44"/>
      <c r="BAN44" s="44"/>
      <c r="BAO44" s="44"/>
      <c r="BAP44" s="44"/>
      <c r="BAQ44" s="44"/>
      <c r="BAR44" s="44"/>
      <c r="BAS44" s="44"/>
      <c r="BAT44" s="44"/>
      <c r="BAU44" s="44"/>
      <c r="BAV44" s="44"/>
      <c r="BAW44" s="44"/>
      <c r="BAX44" s="44"/>
      <c r="BAY44" s="44"/>
      <c r="BAZ44" s="44"/>
      <c r="BBA44" s="44"/>
      <c r="BBB44" s="44"/>
      <c r="BBC44" s="44"/>
      <c r="BBD44" s="44"/>
      <c r="BBE44" s="44"/>
      <c r="BBF44" s="44"/>
      <c r="BBG44" s="44"/>
      <c r="BBH44" s="44"/>
      <c r="BBI44" s="44"/>
      <c r="BBJ44" s="44"/>
      <c r="BBK44" s="44"/>
      <c r="BBL44" s="44"/>
      <c r="BBM44" s="44"/>
      <c r="BBN44" s="44"/>
      <c r="BBO44" s="44"/>
      <c r="BBP44" s="44"/>
      <c r="BBQ44" s="44"/>
      <c r="BBR44" s="44"/>
      <c r="BBS44" s="44"/>
      <c r="BBT44" s="44"/>
      <c r="BBU44" s="44"/>
      <c r="BBV44" s="44"/>
      <c r="BBW44" s="44"/>
      <c r="BBX44" s="44"/>
      <c r="BBY44" s="44"/>
      <c r="BBZ44" s="44"/>
      <c r="BCA44" s="44"/>
      <c r="BCB44" s="44"/>
      <c r="BCC44" s="44"/>
      <c r="BCD44" s="44"/>
      <c r="BCE44" s="44"/>
      <c r="BCF44" s="44"/>
      <c r="BCG44" s="44"/>
      <c r="BCH44" s="44"/>
      <c r="BCI44" s="44"/>
      <c r="BCJ44" s="44"/>
      <c r="BCK44" s="44"/>
      <c r="BCL44" s="44"/>
      <c r="BCM44" s="44"/>
      <c r="BCN44" s="44"/>
      <c r="BCO44" s="44"/>
      <c r="BCP44" s="44"/>
      <c r="BCQ44" s="44"/>
      <c r="BCR44" s="44"/>
      <c r="BCS44" s="44"/>
      <c r="BCT44" s="44"/>
      <c r="BCU44" s="44"/>
      <c r="BCV44" s="44"/>
      <c r="BCW44" s="44"/>
      <c r="BCX44" s="44"/>
      <c r="BCY44" s="44"/>
      <c r="BCZ44" s="44"/>
      <c r="BDA44" s="44"/>
      <c r="BDB44" s="44"/>
      <c r="BDC44" s="44"/>
      <c r="BDD44" s="44"/>
      <c r="BDE44" s="44"/>
      <c r="BDF44" s="44"/>
      <c r="BDG44" s="44"/>
      <c r="BDH44" s="44"/>
      <c r="BDI44" s="44"/>
      <c r="BDJ44" s="44"/>
      <c r="BDK44" s="44"/>
      <c r="BDL44" s="44"/>
      <c r="BDM44" s="44"/>
      <c r="BDN44" s="44"/>
      <c r="BDO44" s="44"/>
      <c r="BDP44" s="44"/>
      <c r="BDQ44" s="44"/>
      <c r="BDR44" s="44"/>
      <c r="BDS44" s="44"/>
      <c r="BDT44" s="44"/>
      <c r="BDU44" s="44"/>
      <c r="BDV44" s="44"/>
      <c r="BDW44" s="44"/>
      <c r="BDX44" s="44"/>
      <c r="BDY44" s="44"/>
      <c r="BDZ44" s="44"/>
      <c r="BEA44" s="44"/>
      <c r="BEB44" s="44"/>
      <c r="BEC44" s="44"/>
      <c r="BED44" s="44"/>
      <c r="BEE44" s="44"/>
      <c r="BEF44" s="44"/>
      <c r="BEG44" s="44"/>
      <c r="BEH44" s="44"/>
      <c r="BEI44" s="44"/>
      <c r="BEJ44" s="44"/>
      <c r="BEK44" s="44"/>
      <c r="BEL44" s="44"/>
      <c r="BEM44" s="44"/>
      <c r="BEN44" s="44"/>
      <c r="BEO44" s="44"/>
      <c r="BEP44" s="44"/>
      <c r="BEQ44" s="44"/>
      <c r="BER44" s="44"/>
      <c r="BES44" s="44"/>
      <c r="BET44" s="44"/>
      <c r="BEU44" s="44"/>
      <c r="BEV44" s="44"/>
      <c r="BEW44" s="44"/>
      <c r="BEX44" s="44"/>
      <c r="BEY44" s="44"/>
      <c r="BEZ44" s="44"/>
      <c r="BFA44" s="44"/>
      <c r="BFB44" s="44"/>
      <c r="BFC44" s="44"/>
      <c r="BFD44" s="44"/>
      <c r="BFE44" s="44"/>
      <c r="BFF44" s="44"/>
      <c r="BFG44" s="44"/>
      <c r="BFH44" s="44"/>
      <c r="BFI44" s="44"/>
      <c r="BFJ44" s="44"/>
      <c r="BFK44" s="44"/>
      <c r="BFL44" s="44"/>
      <c r="BFM44" s="44"/>
      <c r="BFN44" s="44"/>
      <c r="BFO44" s="44"/>
      <c r="BFP44" s="44"/>
      <c r="BFQ44" s="44"/>
      <c r="BFR44" s="44"/>
      <c r="BFS44" s="44"/>
      <c r="BFT44" s="44"/>
      <c r="BFU44" s="44"/>
      <c r="BFV44" s="44"/>
      <c r="BFW44" s="44"/>
      <c r="BFX44" s="44"/>
      <c r="BFY44" s="44"/>
      <c r="BFZ44" s="44"/>
      <c r="BGA44" s="44"/>
      <c r="BGB44" s="44"/>
      <c r="BGC44" s="44"/>
      <c r="BGD44" s="44"/>
      <c r="BGE44" s="44"/>
      <c r="BGF44" s="44"/>
      <c r="BGG44" s="44"/>
      <c r="BGH44" s="44"/>
      <c r="BGI44" s="44"/>
      <c r="BGJ44" s="44"/>
      <c r="BGK44" s="44"/>
      <c r="BGL44" s="44"/>
      <c r="BGM44" s="44"/>
      <c r="BGN44" s="44"/>
      <c r="BGO44" s="44"/>
      <c r="BGP44" s="44"/>
      <c r="BGQ44" s="44"/>
      <c r="BGR44" s="44"/>
      <c r="BGS44" s="44"/>
      <c r="BGT44" s="44"/>
      <c r="BGU44" s="44"/>
      <c r="BGV44" s="44"/>
      <c r="BGW44" s="44"/>
      <c r="BGX44" s="44"/>
      <c r="BGY44" s="44"/>
      <c r="BGZ44" s="44"/>
      <c r="BHA44" s="44"/>
      <c r="BHB44" s="44"/>
      <c r="BHC44" s="44"/>
      <c r="BHD44" s="44"/>
      <c r="BHE44" s="44"/>
      <c r="BHF44" s="44"/>
      <c r="BHG44" s="44"/>
      <c r="BHH44" s="44"/>
      <c r="BHI44" s="44"/>
      <c r="BHJ44" s="44"/>
      <c r="BHK44" s="44"/>
      <c r="BHL44" s="44"/>
      <c r="BHM44" s="44"/>
      <c r="BHN44" s="44"/>
      <c r="BHO44" s="44"/>
      <c r="BHP44" s="44"/>
      <c r="BHQ44" s="44"/>
      <c r="BHR44" s="44"/>
      <c r="BHS44" s="44"/>
      <c r="BHT44" s="44"/>
      <c r="BHU44" s="44"/>
      <c r="BHV44" s="44"/>
      <c r="BHW44" s="44"/>
      <c r="BHX44" s="44"/>
      <c r="BHY44" s="44"/>
      <c r="BHZ44" s="44"/>
      <c r="BIA44" s="44"/>
      <c r="BIB44" s="44"/>
      <c r="BIC44" s="44"/>
      <c r="BID44" s="44"/>
      <c r="BIE44" s="44"/>
      <c r="BIF44" s="44"/>
      <c r="BIG44" s="44"/>
      <c r="BIH44" s="44"/>
      <c r="BII44" s="44"/>
      <c r="BIJ44" s="44"/>
      <c r="BIK44" s="44"/>
      <c r="BIL44" s="44"/>
      <c r="BIM44" s="44"/>
      <c r="BIN44" s="44"/>
      <c r="BIO44" s="44"/>
      <c r="BIP44" s="44"/>
      <c r="BIQ44" s="44"/>
      <c r="BIR44" s="44"/>
      <c r="BIS44" s="44"/>
      <c r="BIT44" s="44"/>
      <c r="BIU44" s="44"/>
      <c r="BIV44" s="44"/>
      <c r="BIW44" s="44"/>
      <c r="BIX44" s="44"/>
      <c r="BIY44" s="44"/>
      <c r="BIZ44" s="44"/>
      <c r="BJA44" s="44"/>
      <c r="BJB44" s="44"/>
      <c r="BJC44" s="44"/>
      <c r="BJD44" s="44"/>
      <c r="BJE44" s="44"/>
      <c r="BJF44" s="44"/>
      <c r="BJG44" s="44"/>
      <c r="BJH44" s="44"/>
      <c r="BJI44" s="44"/>
      <c r="BJJ44" s="44"/>
      <c r="BJK44" s="44"/>
      <c r="BJL44" s="44"/>
      <c r="BJM44" s="44"/>
      <c r="BJN44" s="44"/>
      <c r="BJO44" s="44"/>
      <c r="BJP44" s="44"/>
      <c r="BJQ44" s="44"/>
      <c r="BJR44" s="44"/>
      <c r="BJS44" s="44"/>
      <c r="BJT44" s="44"/>
      <c r="BJU44" s="44"/>
      <c r="BJV44" s="44"/>
      <c r="BJW44" s="44"/>
      <c r="BJX44" s="44"/>
      <c r="BJY44" s="44"/>
      <c r="BJZ44" s="44"/>
      <c r="BKA44" s="44"/>
      <c r="BKB44" s="44"/>
      <c r="BKC44" s="44"/>
      <c r="BKD44" s="44"/>
      <c r="BKE44" s="44"/>
      <c r="BKF44" s="44"/>
      <c r="BKG44" s="44"/>
      <c r="BKH44" s="44"/>
      <c r="BKI44" s="44"/>
      <c r="BKJ44" s="44"/>
      <c r="BKK44" s="44"/>
      <c r="BKL44" s="44"/>
      <c r="BKM44" s="44"/>
      <c r="BKN44" s="44"/>
      <c r="BKO44" s="44"/>
      <c r="BKP44" s="44"/>
      <c r="BKQ44" s="44"/>
      <c r="BKR44" s="44"/>
      <c r="BKS44" s="44"/>
      <c r="BKT44" s="44"/>
      <c r="BKU44" s="44"/>
      <c r="BKV44" s="44"/>
      <c r="BKW44" s="44"/>
      <c r="BKX44" s="44"/>
      <c r="BKY44" s="44"/>
      <c r="BKZ44" s="44"/>
      <c r="BLA44" s="44"/>
      <c r="BLB44" s="44"/>
      <c r="BLC44" s="44"/>
      <c r="BLD44" s="44"/>
      <c r="BLE44" s="44"/>
      <c r="BLF44" s="44"/>
      <c r="BLG44" s="44"/>
      <c r="BLH44" s="44"/>
      <c r="BLI44" s="44"/>
      <c r="BLJ44" s="44"/>
      <c r="BLK44" s="44"/>
      <c r="BLL44" s="44"/>
      <c r="BLM44" s="44"/>
      <c r="BLN44" s="44"/>
      <c r="BLO44" s="44"/>
      <c r="BLP44" s="44"/>
      <c r="BLQ44" s="44"/>
      <c r="BLR44" s="44"/>
      <c r="BLS44" s="44"/>
      <c r="BLT44" s="44"/>
      <c r="BLU44" s="44"/>
      <c r="BLV44" s="44"/>
      <c r="BLW44" s="44"/>
      <c r="BLX44" s="44"/>
      <c r="BLY44" s="44"/>
      <c r="BLZ44" s="44"/>
      <c r="BMA44" s="44"/>
      <c r="BMB44" s="44"/>
      <c r="BMC44" s="44"/>
      <c r="BMD44" s="44"/>
      <c r="BME44" s="44"/>
      <c r="BMF44" s="44"/>
      <c r="BMG44" s="44"/>
      <c r="BMH44" s="44"/>
      <c r="BMI44" s="44"/>
      <c r="BMJ44" s="44"/>
      <c r="BMK44" s="44"/>
      <c r="BML44" s="44"/>
      <c r="BMM44" s="44"/>
      <c r="BMN44" s="44"/>
      <c r="BMO44" s="44"/>
      <c r="BMP44" s="44"/>
      <c r="BMQ44" s="44"/>
      <c r="BMR44" s="44"/>
      <c r="BMS44" s="44"/>
      <c r="BMT44" s="44"/>
      <c r="BMU44" s="44"/>
      <c r="BMV44" s="44"/>
      <c r="BMW44" s="44"/>
      <c r="BMX44" s="44"/>
      <c r="BMY44" s="44"/>
      <c r="BMZ44" s="44"/>
      <c r="BNA44" s="44"/>
      <c r="BNB44" s="44"/>
      <c r="BNC44" s="44"/>
      <c r="BND44" s="44"/>
      <c r="BNE44" s="44"/>
      <c r="BNF44" s="44"/>
      <c r="BNG44" s="44"/>
      <c r="BNH44" s="44"/>
      <c r="BNI44" s="44"/>
      <c r="BNJ44" s="44"/>
      <c r="BNK44" s="44"/>
      <c r="BNL44" s="44"/>
      <c r="BNM44" s="44"/>
      <c r="BNN44" s="44"/>
      <c r="BNO44" s="44"/>
      <c r="BNP44" s="44"/>
      <c r="BNQ44" s="44"/>
      <c r="BNR44" s="44"/>
      <c r="BNS44" s="44"/>
      <c r="BNT44" s="44"/>
      <c r="BNU44" s="44"/>
      <c r="BNV44" s="44"/>
      <c r="BNW44" s="44"/>
      <c r="BNX44" s="44"/>
      <c r="BNY44" s="44"/>
      <c r="BNZ44" s="44"/>
      <c r="BOA44" s="44"/>
      <c r="BOB44" s="44"/>
      <c r="BOC44" s="44"/>
      <c r="BOD44" s="44"/>
      <c r="BOE44" s="44"/>
      <c r="BOF44" s="44"/>
      <c r="BOG44" s="44"/>
      <c r="BOH44" s="44"/>
      <c r="BOI44" s="44"/>
      <c r="BOJ44" s="44"/>
      <c r="BOK44" s="44"/>
      <c r="BOL44" s="44"/>
      <c r="BOM44" s="44"/>
      <c r="BON44" s="44"/>
      <c r="BOO44" s="44"/>
      <c r="BOP44" s="44"/>
      <c r="BOQ44" s="44"/>
      <c r="BOR44" s="44"/>
      <c r="BOS44" s="44"/>
      <c r="BOT44" s="44"/>
      <c r="BOU44" s="44"/>
      <c r="BOV44" s="44"/>
      <c r="BOW44" s="44"/>
      <c r="BOX44" s="44"/>
      <c r="BOY44" s="44"/>
      <c r="BOZ44" s="44"/>
      <c r="BPA44" s="44"/>
      <c r="BPB44" s="44"/>
      <c r="BPC44" s="44"/>
      <c r="BPD44" s="44"/>
      <c r="BPE44" s="44"/>
      <c r="BPF44" s="44"/>
      <c r="BPG44" s="44"/>
      <c r="BPH44" s="44"/>
      <c r="BPI44" s="44"/>
      <c r="BPJ44" s="44"/>
      <c r="BPK44" s="44"/>
      <c r="BPL44" s="44"/>
      <c r="BPM44" s="44"/>
      <c r="BPN44" s="44"/>
      <c r="BPO44" s="44"/>
      <c r="BPP44" s="44"/>
      <c r="BPQ44" s="44"/>
      <c r="BPR44" s="44"/>
      <c r="BPS44" s="44"/>
      <c r="BPT44" s="44"/>
      <c r="BPU44" s="44"/>
      <c r="BPV44" s="44"/>
      <c r="BPW44" s="44"/>
      <c r="BPX44" s="44"/>
      <c r="BPY44" s="44"/>
      <c r="BPZ44" s="44"/>
      <c r="BQA44" s="44"/>
      <c r="BQB44" s="44"/>
      <c r="BQC44" s="44"/>
      <c r="BQD44" s="44"/>
      <c r="BQE44" s="44"/>
      <c r="BQF44" s="44"/>
      <c r="BQG44" s="44"/>
      <c r="BQH44" s="44"/>
      <c r="BQI44" s="44"/>
      <c r="BQJ44" s="44"/>
      <c r="BQK44" s="44"/>
      <c r="BQL44" s="44"/>
      <c r="BQM44" s="44"/>
      <c r="BQN44" s="44"/>
      <c r="BQO44" s="44"/>
      <c r="BQP44" s="44"/>
      <c r="BQQ44" s="44"/>
      <c r="BQR44" s="44"/>
      <c r="BQS44" s="44"/>
      <c r="BQT44" s="44"/>
      <c r="BQU44" s="44"/>
      <c r="BQV44" s="44"/>
      <c r="BQW44" s="44"/>
      <c r="BQX44" s="44"/>
      <c r="BQY44" s="44"/>
      <c r="BQZ44" s="44"/>
      <c r="BRA44" s="44"/>
      <c r="BRB44" s="44"/>
      <c r="BRC44" s="44"/>
      <c r="BRD44" s="44"/>
      <c r="BRE44" s="44"/>
      <c r="BRF44" s="44"/>
      <c r="BRG44" s="44"/>
      <c r="BRH44" s="44"/>
      <c r="BRI44" s="44"/>
      <c r="BRJ44" s="44"/>
      <c r="BRK44" s="44"/>
      <c r="BRL44" s="44"/>
      <c r="BRM44" s="44"/>
      <c r="BRN44" s="44"/>
      <c r="BRO44" s="44"/>
      <c r="BRP44" s="44"/>
      <c r="BRQ44" s="44"/>
      <c r="BRR44" s="44"/>
      <c r="BRS44" s="44"/>
      <c r="BRT44" s="44"/>
      <c r="BRU44" s="44"/>
      <c r="BRV44" s="44"/>
      <c r="BRW44" s="44"/>
      <c r="BRX44" s="44"/>
      <c r="BRY44" s="44"/>
      <c r="BRZ44" s="44"/>
      <c r="BSA44" s="44"/>
      <c r="BSB44" s="44"/>
      <c r="BSC44" s="44"/>
      <c r="BSD44" s="44"/>
      <c r="BSE44" s="44"/>
      <c r="BSF44" s="44"/>
      <c r="BSG44" s="44"/>
      <c r="BSH44" s="44"/>
      <c r="BSI44" s="44"/>
      <c r="BSJ44" s="44"/>
      <c r="BSK44" s="44"/>
      <c r="BSL44" s="44"/>
      <c r="BSM44" s="44"/>
      <c r="BSN44" s="44"/>
      <c r="BSO44" s="44"/>
      <c r="BSP44" s="44"/>
      <c r="BSQ44" s="44"/>
      <c r="BSR44" s="44"/>
      <c r="BSS44" s="44"/>
      <c r="BST44" s="44"/>
      <c r="BSU44" s="44"/>
      <c r="BSV44" s="44"/>
      <c r="BSW44" s="44"/>
      <c r="BSX44" s="44"/>
      <c r="BSY44" s="44"/>
      <c r="BSZ44" s="44"/>
      <c r="BTA44" s="44"/>
      <c r="BTB44" s="44"/>
      <c r="BTC44" s="44"/>
      <c r="BTD44" s="44"/>
      <c r="BTE44" s="44"/>
      <c r="BTF44" s="44"/>
      <c r="BTG44" s="44"/>
      <c r="BTH44" s="44"/>
      <c r="BTI44" s="44"/>
      <c r="BTJ44" s="44"/>
      <c r="BTK44" s="44"/>
      <c r="BTL44" s="44"/>
      <c r="BTM44" s="44"/>
      <c r="BTN44" s="44"/>
      <c r="BTO44" s="44"/>
      <c r="BTP44" s="44"/>
      <c r="BTQ44" s="44"/>
      <c r="BTR44" s="44"/>
      <c r="BTS44" s="44"/>
      <c r="BTT44" s="44"/>
      <c r="BTU44" s="44"/>
      <c r="BTV44" s="44"/>
      <c r="BTW44" s="44"/>
      <c r="BTX44" s="44"/>
      <c r="BTY44" s="44"/>
      <c r="BTZ44" s="44"/>
      <c r="BUA44" s="44"/>
      <c r="BUB44" s="44"/>
      <c r="BUC44" s="44"/>
      <c r="BUD44" s="44"/>
      <c r="BUE44" s="44"/>
      <c r="BUF44" s="44"/>
      <c r="BUG44" s="44"/>
      <c r="BUH44" s="44"/>
      <c r="BUI44" s="44"/>
      <c r="BUJ44" s="44"/>
      <c r="BUK44" s="44"/>
      <c r="BUL44" s="44"/>
      <c r="BUM44" s="44"/>
      <c r="BUN44" s="44"/>
      <c r="BUO44" s="44"/>
      <c r="BUP44" s="44"/>
      <c r="BUQ44" s="44"/>
      <c r="BUR44" s="44"/>
      <c r="BUS44" s="44"/>
      <c r="BUT44" s="44"/>
      <c r="BUU44" s="44"/>
      <c r="BUV44" s="44"/>
      <c r="BUW44" s="44"/>
      <c r="BUX44" s="44"/>
      <c r="BUY44" s="44"/>
      <c r="BUZ44" s="44"/>
      <c r="BVA44" s="44"/>
      <c r="BVB44" s="44"/>
      <c r="BVC44" s="44"/>
      <c r="BVD44" s="44"/>
      <c r="BVE44" s="44"/>
      <c r="BVF44" s="44"/>
      <c r="BVG44" s="44"/>
      <c r="BVH44" s="44"/>
      <c r="BVI44" s="44"/>
      <c r="BVJ44" s="44"/>
      <c r="BVK44" s="44"/>
      <c r="BVL44" s="44"/>
      <c r="BVM44" s="44"/>
      <c r="BVN44" s="44"/>
      <c r="BVO44" s="44"/>
      <c r="BVP44" s="44"/>
      <c r="BVQ44" s="44"/>
      <c r="BVR44" s="44"/>
      <c r="BVS44" s="44"/>
      <c r="BVT44" s="44"/>
      <c r="BVU44" s="44"/>
      <c r="BVV44" s="44"/>
      <c r="BVW44" s="44"/>
      <c r="BVX44" s="44"/>
      <c r="BVY44" s="44"/>
      <c r="BVZ44" s="44"/>
      <c r="BWA44" s="44"/>
      <c r="BWB44" s="44"/>
      <c r="BWC44" s="44"/>
      <c r="BWD44" s="44"/>
      <c r="BWE44" s="44"/>
      <c r="BWF44" s="44"/>
      <c r="BWG44" s="44"/>
      <c r="BWH44" s="44"/>
      <c r="BWI44" s="44"/>
      <c r="BWJ44" s="44"/>
      <c r="BWK44" s="44"/>
      <c r="BWL44" s="44"/>
      <c r="BWM44" s="44"/>
      <c r="BWN44" s="44"/>
      <c r="BWO44" s="44"/>
      <c r="BWP44" s="44"/>
      <c r="BWQ44" s="44"/>
      <c r="BWR44" s="44"/>
      <c r="BWS44" s="44"/>
      <c r="BWT44" s="44"/>
      <c r="BWU44" s="44"/>
      <c r="BWV44" s="44"/>
      <c r="BWW44" s="44"/>
      <c r="BWX44" s="44"/>
      <c r="BWY44" s="44"/>
      <c r="BWZ44" s="44"/>
      <c r="BXA44" s="44"/>
      <c r="BXB44" s="44"/>
      <c r="BXC44" s="44"/>
      <c r="BXD44" s="44"/>
      <c r="BXE44" s="44"/>
      <c r="BXF44" s="44"/>
      <c r="BXG44" s="44"/>
      <c r="BXH44" s="44"/>
      <c r="BXI44" s="44"/>
      <c r="BXJ44" s="44"/>
      <c r="BXK44" s="44"/>
      <c r="BXL44" s="44"/>
      <c r="BXM44" s="44"/>
      <c r="BXN44" s="44"/>
      <c r="BXO44" s="44"/>
      <c r="BXP44" s="44"/>
      <c r="BXQ44" s="44"/>
      <c r="BXR44" s="44"/>
      <c r="BXS44" s="44"/>
      <c r="BXT44" s="44"/>
      <c r="BXU44" s="44"/>
      <c r="BXV44" s="44"/>
      <c r="BXW44" s="44"/>
      <c r="BXX44" s="44"/>
      <c r="BXY44" s="44"/>
      <c r="BXZ44" s="44"/>
      <c r="BYA44" s="44"/>
      <c r="BYB44" s="44"/>
      <c r="BYC44" s="44"/>
      <c r="BYD44" s="44"/>
      <c r="BYE44" s="44"/>
      <c r="BYF44" s="44"/>
      <c r="BYG44" s="44"/>
      <c r="BYH44" s="44"/>
      <c r="BYI44" s="44"/>
      <c r="BYJ44" s="44"/>
      <c r="BYK44" s="44"/>
      <c r="BYL44" s="44"/>
      <c r="BYM44" s="44"/>
      <c r="BYN44" s="44"/>
      <c r="BYO44" s="44"/>
      <c r="BYP44" s="44"/>
      <c r="BYQ44" s="44"/>
      <c r="BYR44" s="44"/>
      <c r="BYS44" s="44"/>
      <c r="BYT44" s="44"/>
      <c r="BYU44" s="44"/>
      <c r="BYV44" s="44"/>
      <c r="BYW44" s="44"/>
      <c r="BYX44" s="44"/>
      <c r="BYY44" s="44"/>
      <c r="BYZ44" s="44"/>
      <c r="BZA44" s="44"/>
      <c r="BZB44" s="44"/>
      <c r="BZC44" s="44"/>
      <c r="BZD44" s="44"/>
      <c r="BZE44" s="44"/>
      <c r="BZF44" s="44"/>
      <c r="BZG44" s="44"/>
      <c r="BZH44" s="44"/>
      <c r="BZI44" s="44"/>
      <c r="BZJ44" s="44"/>
      <c r="BZK44" s="44"/>
      <c r="BZL44" s="44"/>
      <c r="BZM44" s="44"/>
      <c r="BZN44" s="44"/>
      <c r="BZO44" s="44"/>
      <c r="BZP44" s="44"/>
      <c r="BZQ44" s="44"/>
      <c r="BZR44" s="44"/>
      <c r="BZS44" s="44"/>
      <c r="BZT44" s="44"/>
      <c r="BZU44" s="44"/>
      <c r="BZV44" s="44"/>
      <c r="BZW44" s="44"/>
      <c r="BZX44" s="44"/>
      <c r="BZY44" s="44"/>
      <c r="BZZ44" s="44"/>
      <c r="CAA44" s="44"/>
      <c r="CAB44" s="44"/>
      <c r="CAC44" s="44"/>
      <c r="CAD44" s="44"/>
      <c r="CAE44" s="44"/>
      <c r="CAF44" s="44"/>
      <c r="CAG44" s="44"/>
      <c r="CAH44" s="44"/>
      <c r="CAI44" s="44"/>
      <c r="CAJ44" s="44"/>
      <c r="CAK44" s="44"/>
      <c r="CAL44" s="44"/>
      <c r="CAM44" s="44"/>
      <c r="CAN44" s="44"/>
      <c r="CAO44" s="44"/>
      <c r="CAP44" s="44"/>
      <c r="CAQ44" s="44"/>
      <c r="CAR44" s="44"/>
      <c r="CAS44" s="44"/>
      <c r="CAT44" s="44"/>
      <c r="CAU44" s="44"/>
      <c r="CAV44" s="44"/>
      <c r="CAW44" s="44"/>
      <c r="CAX44" s="44"/>
      <c r="CAY44" s="44"/>
      <c r="CAZ44" s="44"/>
      <c r="CBA44" s="44"/>
      <c r="CBB44" s="44"/>
      <c r="CBC44" s="44"/>
      <c r="CBD44" s="44"/>
      <c r="CBE44" s="44"/>
      <c r="CBF44" s="44"/>
      <c r="CBG44" s="44"/>
      <c r="CBH44" s="44"/>
      <c r="CBI44" s="44"/>
      <c r="CBJ44" s="44"/>
      <c r="CBK44" s="44"/>
      <c r="CBL44" s="44"/>
      <c r="CBM44" s="44"/>
      <c r="CBN44" s="44"/>
      <c r="CBO44" s="44"/>
      <c r="CBP44" s="44"/>
      <c r="CBQ44" s="44"/>
      <c r="CBR44" s="44"/>
      <c r="CBS44" s="44"/>
      <c r="CBT44" s="44"/>
      <c r="CBU44" s="44"/>
      <c r="CBV44" s="44"/>
      <c r="CBW44" s="44"/>
      <c r="CBX44" s="44"/>
      <c r="CBY44" s="44"/>
      <c r="CBZ44" s="44"/>
      <c r="CCA44" s="44"/>
      <c r="CCB44" s="44"/>
      <c r="CCC44" s="44"/>
      <c r="CCD44" s="44"/>
      <c r="CCE44" s="44"/>
      <c r="CCF44" s="44"/>
      <c r="CCG44" s="44"/>
      <c r="CCH44" s="44"/>
      <c r="CCI44" s="44"/>
      <c r="CCJ44" s="44"/>
      <c r="CCK44" s="44"/>
      <c r="CCL44" s="44"/>
      <c r="CCM44" s="44"/>
      <c r="CCN44" s="44"/>
      <c r="CCO44" s="44"/>
      <c r="CCP44" s="44"/>
      <c r="CCQ44" s="44"/>
      <c r="CCR44" s="44"/>
      <c r="CCS44" s="44"/>
      <c r="CCT44" s="44"/>
      <c r="CCU44" s="44"/>
      <c r="CCV44" s="44"/>
      <c r="CCW44" s="44"/>
      <c r="CCX44" s="44"/>
      <c r="CCY44" s="44"/>
      <c r="CCZ44" s="44"/>
      <c r="CDA44" s="44"/>
      <c r="CDB44" s="44"/>
      <c r="CDC44" s="44"/>
      <c r="CDD44" s="44"/>
      <c r="CDE44" s="44"/>
      <c r="CDF44" s="44"/>
      <c r="CDG44" s="44"/>
      <c r="CDH44" s="44"/>
      <c r="CDI44" s="44"/>
      <c r="CDJ44" s="44"/>
      <c r="CDK44" s="44"/>
      <c r="CDL44" s="44"/>
      <c r="CDM44" s="44"/>
      <c r="CDN44" s="44"/>
      <c r="CDO44" s="44"/>
      <c r="CDP44" s="44"/>
      <c r="CDQ44" s="44"/>
      <c r="CDR44" s="44"/>
      <c r="CDS44" s="44"/>
      <c r="CDT44" s="44"/>
      <c r="CDU44" s="44"/>
      <c r="CDV44" s="44"/>
      <c r="CDW44" s="44"/>
      <c r="CDX44" s="44"/>
      <c r="CDY44" s="44"/>
      <c r="CDZ44" s="44"/>
      <c r="CEA44" s="44"/>
      <c r="CEB44" s="44"/>
      <c r="CEC44" s="44"/>
      <c r="CED44" s="44"/>
      <c r="CEE44" s="44"/>
      <c r="CEF44" s="44"/>
      <c r="CEG44" s="44"/>
      <c r="CEH44" s="44"/>
      <c r="CEI44" s="44"/>
      <c r="CEJ44" s="44"/>
      <c r="CEK44" s="44"/>
      <c r="CEL44" s="44"/>
      <c r="CEM44" s="44"/>
      <c r="CEN44" s="44"/>
      <c r="CEO44" s="44"/>
      <c r="CEP44" s="44"/>
      <c r="CEQ44" s="44"/>
      <c r="CER44" s="44"/>
      <c r="CES44" s="44"/>
      <c r="CET44" s="44"/>
      <c r="CEU44" s="44"/>
      <c r="CEV44" s="44"/>
      <c r="CEW44" s="44"/>
      <c r="CEX44" s="44"/>
      <c r="CEY44" s="44"/>
      <c r="CEZ44" s="44"/>
      <c r="CFA44" s="44"/>
      <c r="CFB44" s="44"/>
      <c r="CFC44" s="44"/>
      <c r="CFD44" s="44"/>
      <c r="CFE44" s="44"/>
      <c r="CFF44" s="44"/>
      <c r="CFG44" s="44"/>
      <c r="CFH44" s="44"/>
      <c r="CFI44" s="44"/>
      <c r="CFJ44" s="44"/>
      <c r="CFK44" s="44"/>
      <c r="CFL44" s="44"/>
      <c r="CFM44" s="44"/>
      <c r="CFN44" s="44"/>
      <c r="CFO44" s="44"/>
      <c r="CFP44" s="44"/>
      <c r="CFQ44" s="44"/>
      <c r="CFR44" s="44"/>
      <c r="CFS44" s="44"/>
      <c r="CFT44" s="44"/>
      <c r="CFU44" s="44"/>
      <c r="CFV44" s="44"/>
      <c r="CFW44" s="44"/>
      <c r="CFX44" s="44"/>
      <c r="CFY44" s="44"/>
      <c r="CFZ44" s="44"/>
      <c r="CGA44" s="44"/>
      <c r="CGB44" s="44"/>
      <c r="CGC44" s="44"/>
      <c r="CGD44" s="44"/>
      <c r="CGE44" s="44"/>
      <c r="CGF44" s="44"/>
      <c r="CGG44" s="44"/>
      <c r="CGH44" s="44"/>
      <c r="CGI44" s="44"/>
      <c r="CGJ44" s="44"/>
      <c r="CGK44" s="44"/>
      <c r="CGL44" s="44"/>
      <c r="CGM44" s="44"/>
      <c r="CGN44" s="44"/>
      <c r="CGO44" s="44"/>
      <c r="CGP44" s="44"/>
      <c r="CGQ44" s="44"/>
      <c r="CGR44" s="44"/>
      <c r="CGS44" s="44"/>
      <c r="CGT44" s="44"/>
      <c r="CGU44" s="44"/>
      <c r="CGV44" s="44"/>
      <c r="CGW44" s="44"/>
      <c r="CGX44" s="44"/>
      <c r="CGY44" s="44"/>
      <c r="CGZ44" s="44"/>
      <c r="CHA44" s="44"/>
      <c r="CHB44" s="44"/>
      <c r="CHC44" s="44"/>
      <c r="CHD44" s="44"/>
      <c r="CHE44" s="44"/>
      <c r="CHF44" s="44"/>
      <c r="CHG44" s="44"/>
      <c r="CHH44" s="44"/>
      <c r="CHI44" s="44"/>
      <c r="CHJ44" s="44"/>
      <c r="CHK44" s="44"/>
      <c r="CHL44" s="44"/>
      <c r="CHM44" s="44"/>
      <c r="CHN44" s="44"/>
      <c r="CHO44" s="44"/>
      <c r="CHP44" s="44"/>
      <c r="CHQ44" s="44"/>
      <c r="CHR44" s="44"/>
      <c r="CHS44" s="44"/>
      <c r="CHT44" s="44"/>
      <c r="CHU44" s="44"/>
      <c r="CHV44" s="44"/>
      <c r="CHW44" s="44"/>
      <c r="CHX44" s="44"/>
      <c r="CHY44" s="44"/>
      <c r="CHZ44" s="44"/>
      <c r="CIA44" s="44"/>
      <c r="CIB44" s="44"/>
      <c r="CIC44" s="44"/>
      <c r="CID44" s="44"/>
      <c r="CIE44" s="44"/>
      <c r="CIF44" s="44"/>
      <c r="CIG44" s="44"/>
      <c r="CIH44" s="44"/>
      <c r="CII44" s="44"/>
      <c r="CIJ44" s="44"/>
      <c r="CIK44" s="44"/>
      <c r="CIL44" s="44"/>
      <c r="CIM44" s="44"/>
      <c r="CIN44" s="44"/>
      <c r="CIO44" s="44"/>
      <c r="CIP44" s="44"/>
      <c r="CIQ44" s="44"/>
      <c r="CIR44" s="44"/>
      <c r="CIS44" s="44"/>
      <c r="CIT44" s="44"/>
      <c r="CIU44" s="44"/>
      <c r="CIV44" s="44"/>
      <c r="CIW44" s="44"/>
      <c r="CIX44" s="44"/>
      <c r="CIY44" s="44"/>
      <c r="CIZ44" s="44"/>
      <c r="CJA44" s="44"/>
      <c r="CJB44" s="44"/>
      <c r="CJC44" s="44"/>
      <c r="CJD44" s="44"/>
      <c r="CJE44" s="44"/>
      <c r="CJF44" s="44"/>
      <c r="CJG44" s="44"/>
      <c r="CJH44" s="44"/>
      <c r="CJI44" s="44"/>
      <c r="CJJ44" s="44"/>
      <c r="CJK44" s="44"/>
      <c r="CJL44" s="44"/>
      <c r="CJM44" s="44"/>
      <c r="CJN44" s="44"/>
      <c r="CJO44" s="44"/>
      <c r="CJP44" s="44"/>
      <c r="CJQ44" s="44"/>
      <c r="CJR44" s="44"/>
      <c r="CJS44" s="44"/>
      <c r="CJT44" s="44"/>
      <c r="CJU44" s="44"/>
      <c r="CJV44" s="44"/>
      <c r="CJW44" s="44"/>
      <c r="CJX44" s="44"/>
      <c r="CJY44" s="44"/>
      <c r="CJZ44" s="44"/>
      <c r="CKA44" s="44"/>
      <c r="CKB44" s="44"/>
      <c r="CKC44" s="44"/>
      <c r="CKD44" s="44"/>
      <c r="CKE44" s="44"/>
      <c r="CKF44" s="44"/>
      <c r="CKG44" s="44"/>
      <c r="CKH44" s="44"/>
      <c r="CKI44" s="44"/>
      <c r="CKJ44" s="44"/>
      <c r="CKK44" s="44"/>
      <c r="CKL44" s="44"/>
      <c r="CKM44" s="44"/>
      <c r="CKN44" s="44"/>
      <c r="CKO44" s="44"/>
      <c r="CKP44" s="44"/>
      <c r="CKQ44" s="44"/>
      <c r="CKR44" s="44"/>
      <c r="CKS44" s="44"/>
      <c r="CKT44" s="44"/>
      <c r="CKU44" s="44"/>
      <c r="CKV44" s="44"/>
      <c r="CKW44" s="44"/>
      <c r="CKX44" s="44"/>
      <c r="CKY44" s="44"/>
      <c r="CKZ44" s="44"/>
      <c r="CLA44" s="44"/>
      <c r="CLB44" s="44"/>
      <c r="CLC44" s="44"/>
      <c r="CLD44" s="44"/>
      <c r="CLE44" s="44"/>
      <c r="CLF44" s="44"/>
      <c r="CLG44" s="44"/>
      <c r="CLH44" s="44"/>
      <c r="CLI44" s="44"/>
      <c r="CLJ44" s="44"/>
      <c r="CLK44" s="44"/>
      <c r="CLL44" s="44"/>
      <c r="CLM44" s="44"/>
      <c r="CLN44" s="44"/>
      <c r="CLO44" s="44"/>
      <c r="CLP44" s="44"/>
      <c r="CLQ44" s="44"/>
      <c r="CLR44" s="44"/>
      <c r="CLS44" s="44"/>
      <c r="CLT44" s="44"/>
      <c r="CLU44" s="44"/>
      <c r="CLV44" s="44"/>
      <c r="CLW44" s="44"/>
      <c r="CLX44" s="44"/>
      <c r="CLY44" s="44"/>
      <c r="CLZ44" s="44"/>
      <c r="CMA44" s="44"/>
      <c r="CMB44" s="44"/>
      <c r="CMC44" s="44"/>
      <c r="CMD44" s="44"/>
      <c r="CME44" s="44"/>
      <c r="CMF44" s="44"/>
      <c r="CMG44" s="44"/>
      <c r="CMH44" s="44"/>
      <c r="CMI44" s="44"/>
      <c r="CMJ44" s="44"/>
      <c r="CMK44" s="44"/>
      <c r="CML44" s="44"/>
      <c r="CMM44" s="44"/>
      <c r="CMN44" s="44"/>
      <c r="CMO44" s="44"/>
      <c r="CMP44" s="44"/>
      <c r="CMQ44" s="44"/>
      <c r="CMR44" s="44"/>
      <c r="CMS44" s="44"/>
      <c r="CMT44" s="44"/>
      <c r="CMU44" s="44"/>
      <c r="CMV44" s="44"/>
      <c r="CMW44" s="44"/>
      <c r="CMX44" s="44"/>
      <c r="CMY44" s="44"/>
      <c r="CMZ44" s="44"/>
      <c r="CNA44" s="44"/>
      <c r="CNB44" s="44"/>
      <c r="CNC44" s="44"/>
      <c r="CND44" s="44"/>
      <c r="CNE44" s="44"/>
      <c r="CNF44" s="44"/>
      <c r="CNG44" s="44"/>
      <c r="CNH44" s="44"/>
      <c r="CNI44" s="44"/>
      <c r="CNJ44" s="44"/>
      <c r="CNK44" s="44"/>
      <c r="CNL44" s="44"/>
      <c r="CNM44" s="44"/>
      <c r="CNN44" s="44"/>
      <c r="CNO44" s="44"/>
      <c r="CNP44" s="44"/>
      <c r="CNQ44" s="44"/>
      <c r="CNR44" s="44"/>
      <c r="CNS44" s="44"/>
      <c r="CNT44" s="44"/>
      <c r="CNU44" s="44"/>
      <c r="CNV44" s="44"/>
      <c r="CNW44" s="44"/>
      <c r="CNX44" s="44"/>
      <c r="CNY44" s="44"/>
      <c r="CNZ44" s="44"/>
      <c r="COA44" s="44"/>
      <c r="COB44" s="44"/>
      <c r="COC44" s="44"/>
      <c r="COD44" s="44"/>
      <c r="COE44" s="44"/>
      <c r="COF44" s="44"/>
      <c r="COG44" s="44"/>
      <c r="COH44" s="44"/>
      <c r="COI44" s="44"/>
      <c r="COJ44" s="44"/>
      <c r="COK44" s="44"/>
      <c r="COL44" s="44"/>
      <c r="COM44" s="44"/>
      <c r="CON44" s="44"/>
      <c r="COO44" s="44"/>
      <c r="COP44" s="44"/>
      <c r="COQ44" s="44"/>
      <c r="COR44" s="44"/>
      <c r="COS44" s="44"/>
      <c r="COT44" s="44"/>
      <c r="COU44" s="44"/>
      <c r="COV44" s="44"/>
      <c r="COW44" s="44"/>
      <c r="COX44" s="44"/>
      <c r="COY44" s="44"/>
      <c r="COZ44" s="44"/>
      <c r="CPA44" s="44"/>
      <c r="CPB44" s="44"/>
      <c r="CPC44" s="44"/>
      <c r="CPD44" s="44"/>
      <c r="CPE44" s="44"/>
      <c r="CPF44" s="44"/>
      <c r="CPG44" s="44"/>
      <c r="CPH44" s="44"/>
      <c r="CPI44" s="44"/>
      <c r="CPJ44" s="44"/>
      <c r="CPK44" s="44"/>
      <c r="CPL44" s="44"/>
      <c r="CPM44" s="44"/>
      <c r="CPN44" s="44"/>
      <c r="CPO44" s="44"/>
      <c r="CPP44" s="44"/>
      <c r="CPQ44" s="44"/>
      <c r="CPR44" s="44"/>
      <c r="CPS44" s="44"/>
      <c r="CPT44" s="44"/>
      <c r="CPU44" s="44"/>
      <c r="CPV44" s="44"/>
      <c r="CPW44" s="44"/>
      <c r="CPX44" s="44"/>
      <c r="CPY44" s="44"/>
      <c r="CPZ44" s="44"/>
      <c r="CQA44" s="44"/>
      <c r="CQB44" s="44"/>
      <c r="CQC44" s="44"/>
      <c r="CQD44" s="44"/>
      <c r="CQE44" s="44"/>
      <c r="CQF44" s="44"/>
      <c r="CQG44" s="44"/>
      <c r="CQH44" s="44"/>
      <c r="CQI44" s="44"/>
      <c r="CQJ44" s="44"/>
      <c r="CQK44" s="44"/>
      <c r="CQL44" s="44"/>
      <c r="CQM44" s="44"/>
      <c r="CQN44" s="44"/>
      <c r="CQO44" s="44"/>
      <c r="CQP44" s="44"/>
      <c r="CQQ44" s="44"/>
      <c r="CQR44" s="44"/>
      <c r="CQS44" s="44"/>
      <c r="CQT44" s="44"/>
      <c r="CQU44" s="44"/>
      <c r="CQV44" s="44"/>
      <c r="CQW44" s="44"/>
      <c r="CQX44" s="44"/>
      <c r="CQY44" s="44"/>
      <c r="CQZ44" s="44"/>
      <c r="CRA44" s="44"/>
      <c r="CRB44" s="44"/>
      <c r="CRC44" s="44"/>
      <c r="CRD44" s="44"/>
      <c r="CRE44" s="44"/>
      <c r="CRF44" s="44"/>
      <c r="CRG44" s="44"/>
      <c r="CRH44" s="44"/>
      <c r="CRI44" s="44"/>
      <c r="CRJ44" s="44"/>
      <c r="CRK44" s="44"/>
      <c r="CRL44" s="44"/>
      <c r="CRM44" s="44"/>
      <c r="CRN44" s="44"/>
      <c r="CRO44" s="44"/>
      <c r="CRP44" s="44"/>
      <c r="CRQ44" s="44"/>
      <c r="CRR44" s="44"/>
      <c r="CRS44" s="44"/>
      <c r="CRT44" s="44"/>
      <c r="CRU44" s="44"/>
      <c r="CRV44" s="44"/>
      <c r="CRW44" s="44"/>
      <c r="CRX44" s="44"/>
      <c r="CRY44" s="44"/>
      <c r="CRZ44" s="44"/>
      <c r="CSA44" s="44"/>
      <c r="CSB44" s="44"/>
      <c r="CSC44" s="44"/>
      <c r="CSD44" s="44"/>
      <c r="CSE44" s="44"/>
      <c r="CSF44" s="44"/>
      <c r="CSG44" s="44"/>
      <c r="CSH44" s="44"/>
      <c r="CSI44" s="44"/>
      <c r="CSJ44" s="44"/>
      <c r="CSK44" s="44"/>
      <c r="CSL44" s="44"/>
      <c r="CSM44" s="44"/>
      <c r="CSN44" s="44"/>
      <c r="CSO44" s="44"/>
      <c r="CSP44" s="44"/>
      <c r="CSQ44" s="44"/>
      <c r="CSR44" s="44"/>
      <c r="CSS44" s="44"/>
      <c r="CST44" s="44"/>
      <c r="CSU44" s="44"/>
      <c r="CSV44" s="44"/>
      <c r="CSW44" s="44"/>
      <c r="CSX44" s="44"/>
      <c r="CSY44" s="44"/>
      <c r="CSZ44" s="44"/>
      <c r="CTA44" s="44"/>
      <c r="CTB44" s="44"/>
      <c r="CTC44" s="44"/>
      <c r="CTD44" s="44"/>
      <c r="CTE44" s="44"/>
      <c r="CTF44" s="44"/>
      <c r="CTG44" s="44"/>
      <c r="CTH44" s="44"/>
      <c r="CTI44" s="44"/>
      <c r="CTJ44" s="44"/>
      <c r="CTK44" s="44"/>
      <c r="CTL44" s="44"/>
      <c r="CTM44" s="44"/>
      <c r="CTN44" s="44"/>
      <c r="CTO44" s="44"/>
      <c r="CTP44" s="44"/>
      <c r="CTQ44" s="44"/>
      <c r="CTR44" s="44"/>
      <c r="CTS44" s="44"/>
      <c r="CTT44" s="44"/>
      <c r="CTU44" s="44"/>
      <c r="CTV44" s="44"/>
      <c r="CTW44" s="44"/>
      <c r="CTX44" s="44"/>
      <c r="CTY44" s="44"/>
      <c r="CTZ44" s="44"/>
      <c r="CUA44" s="44"/>
      <c r="CUB44" s="44"/>
      <c r="CUC44" s="44"/>
      <c r="CUD44" s="44"/>
      <c r="CUE44" s="44"/>
      <c r="CUF44" s="44"/>
      <c r="CUG44" s="44"/>
      <c r="CUH44" s="44"/>
      <c r="CUI44" s="44"/>
      <c r="CUJ44" s="44"/>
      <c r="CUK44" s="44"/>
      <c r="CUL44" s="44"/>
      <c r="CUM44" s="44"/>
      <c r="CUN44" s="44"/>
      <c r="CUO44" s="44"/>
      <c r="CUP44" s="44"/>
      <c r="CUQ44" s="44"/>
      <c r="CUR44" s="44"/>
      <c r="CUS44" s="44"/>
      <c r="CUT44" s="44"/>
      <c r="CUU44" s="44"/>
      <c r="CUV44" s="44"/>
      <c r="CUW44" s="44"/>
      <c r="CUX44" s="44"/>
      <c r="CUY44" s="44"/>
      <c r="CUZ44" s="44"/>
      <c r="CVA44" s="44"/>
      <c r="CVB44" s="44"/>
      <c r="CVC44" s="44"/>
      <c r="CVD44" s="44"/>
      <c r="CVE44" s="44"/>
      <c r="CVF44" s="44"/>
      <c r="CVG44" s="44"/>
      <c r="CVH44" s="44"/>
      <c r="CVI44" s="44"/>
      <c r="CVJ44" s="44"/>
      <c r="CVK44" s="44"/>
      <c r="CVL44" s="44"/>
      <c r="CVM44" s="44"/>
      <c r="CVN44" s="44"/>
      <c r="CVO44" s="44"/>
      <c r="CVP44" s="44"/>
      <c r="CVQ44" s="44"/>
      <c r="CVR44" s="44"/>
      <c r="CVS44" s="44"/>
      <c r="CVT44" s="44"/>
      <c r="CVU44" s="44"/>
      <c r="CVV44" s="44"/>
      <c r="CVW44" s="44"/>
      <c r="CVX44" s="44"/>
      <c r="CVY44" s="44"/>
      <c r="CVZ44" s="44"/>
      <c r="CWA44" s="44"/>
      <c r="CWB44" s="44"/>
      <c r="CWC44" s="44"/>
      <c r="CWD44" s="44"/>
      <c r="CWE44" s="44"/>
      <c r="CWF44" s="44"/>
      <c r="CWG44" s="44"/>
      <c r="CWH44" s="44"/>
      <c r="CWI44" s="44"/>
      <c r="CWJ44" s="44"/>
      <c r="CWK44" s="44"/>
      <c r="CWL44" s="44"/>
      <c r="CWM44" s="44"/>
      <c r="CWN44" s="44"/>
      <c r="CWO44" s="44"/>
      <c r="CWP44" s="44"/>
      <c r="CWQ44" s="44"/>
      <c r="CWR44" s="44"/>
      <c r="CWS44" s="44"/>
      <c r="CWT44" s="44"/>
      <c r="CWU44" s="44"/>
      <c r="CWV44" s="44"/>
      <c r="CWW44" s="44"/>
      <c r="CWX44" s="44"/>
      <c r="CWY44" s="44"/>
      <c r="CWZ44" s="44"/>
      <c r="CXA44" s="44"/>
      <c r="CXB44" s="44"/>
      <c r="CXC44" s="44"/>
      <c r="CXD44" s="44"/>
      <c r="CXE44" s="44"/>
      <c r="CXF44" s="44"/>
      <c r="CXG44" s="44"/>
      <c r="CXH44" s="44"/>
      <c r="CXI44" s="44"/>
      <c r="CXJ44" s="44"/>
      <c r="CXK44" s="44"/>
      <c r="CXL44" s="44"/>
      <c r="CXM44" s="44"/>
      <c r="CXN44" s="44"/>
      <c r="CXO44" s="44"/>
      <c r="CXP44" s="44"/>
      <c r="CXQ44" s="44"/>
      <c r="CXR44" s="44"/>
      <c r="CXS44" s="44"/>
      <c r="CXT44" s="44"/>
      <c r="CXU44" s="44"/>
      <c r="CXV44" s="44"/>
      <c r="CXW44" s="44"/>
      <c r="CXX44" s="44"/>
      <c r="CXY44" s="44"/>
      <c r="CXZ44" s="44"/>
      <c r="CYA44" s="44"/>
      <c r="CYB44" s="44"/>
      <c r="CYC44" s="44"/>
      <c r="CYD44" s="44"/>
      <c r="CYE44" s="44"/>
      <c r="CYF44" s="44"/>
      <c r="CYG44" s="44"/>
      <c r="CYH44" s="44"/>
      <c r="CYI44" s="44"/>
      <c r="CYJ44" s="44"/>
      <c r="CYK44" s="44"/>
      <c r="CYL44" s="44"/>
      <c r="CYM44" s="44"/>
      <c r="CYN44" s="44"/>
      <c r="CYO44" s="44"/>
      <c r="CYP44" s="44"/>
      <c r="CYQ44" s="44"/>
      <c r="CYR44" s="44"/>
      <c r="CYS44" s="44"/>
      <c r="CYT44" s="44"/>
      <c r="CYU44" s="44"/>
      <c r="CYV44" s="44"/>
      <c r="CYW44" s="44"/>
      <c r="CYX44" s="44"/>
      <c r="CYY44" s="44"/>
      <c r="CYZ44" s="44"/>
      <c r="CZA44" s="44"/>
      <c r="CZB44" s="44"/>
      <c r="CZC44" s="44"/>
      <c r="CZD44" s="44"/>
      <c r="CZE44" s="44"/>
      <c r="CZF44" s="44"/>
      <c r="CZG44" s="44"/>
      <c r="CZH44" s="44"/>
      <c r="CZI44" s="44"/>
      <c r="CZJ44" s="44"/>
      <c r="CZK44" s="44"/>
      <c r="CZL44" s="44"/>
      <c r="CZM44" s="44"/>
      <c r="CZN44" s="44"/>
      <c r="CZO44" s="44"/>
      <c r="CZP44" s="44"/>
      <c r="CZQ44" s="44"/>
      <c r="CZR44" s="44"/>
      <c r="CZS44" s="44"/>
      <c r="CZT44" s="44"/>
      <c r="CZU44" s="44"/>
      <c r="CZV44" s="44"/>
      <c r="CZW44" s="44"/>
      <c r="CZX44" s="44"/>
      <c r="CZY44" s="44"/>
      <c r="CZZ44" s="44"/>
      <c r="DAA44" s="44"/>
      <c r="DAB44" s="44"/>
      <c r="DAC44" s="44"/>
      <c r="DAD44" s="44"/>
      <c r="DAE44" s="44"/>
      <c r="DAF44" s="44"/>
      <c r="DAG44" s="44"/>
      <c r="DAH44" s="44"/>
      <c r="DAI44" s="44"/>
      <c r="DAJ44" s="44"/>
      <c r="DAK44" s="44"/>
      <c r="DAL44" s="44"/>
      <c r="DAM44" s="44"/>
      <c r="DAN44" s="44"/>
      <c r="DAO44" s="44"/>
      <c r="DAP44" s="44"/>
      <c r="DAQ44" s="44"/>
      <c r="DAR44" s="44"/>
      <c r="DAS44" s="44"/>
      <c r="DAT44" s="44"/>
      <c r="DAU44" s="44"/>
      <c r="DAV44" s="44"/>
      <c r="DAW44" s="44"/>
      <c r="DAX44" s="44"/>
      <c r="DAY44" s="44"/>
      <c r="DAZ44" s="44"/>
      <c r="DBA44" s="44"/>
      <c r="DBB44" s="44"/>
      <c r="DBC44" s="44"/>
      <c r="DBD44" s="44"/>
      <c r="DBE44" s="44"/>
      <c r="DBF44" s="44"/>
      <c r="DBG44" s="44"/>
      <c r="DBH44" s="44"/>
      <c r="DBI44" s="44"/>
      <c r="DBJ44" s="44"/>
      <c r="DBK44" s="44"/>
      <c r="DBL44" s="44"/>
      <c r="DBM44" s="44"/>
      <c r="DBN44" s="44"/>
      <c r="DBO44" s="44"/>
      <c r="DBP44" s="44"/>
      <c r="DBQ44" s="44"/>
      <c r="DBR44" s="44"/>
      <c r="DBS44" s="44"/>
      <c r="DBT44" s="44"/>
      <c r="DBU44" s="44"/>
      <c r="DBV44" s="44"/>
      <c r="DBW44" s="44"/>
      <c r="DBX44" s="44"/>
      <c r="DBY44" s="44"/>
      <c r="DBZ44" s="44"/>
      <c r="DCA44" s="44"/>
      <c r="DCB44" s="44"/>
      <c r="DCC44" s="44"/>
      <c r="DCD44" s="44"/>
      <c r="DCE44" s="44"/>
      <c r="DCF44" s="44"/>
      <c r="DCG44" s="44"/>
      <c r="DCH44" s="44"/>
      <c r="DCI44" s="44"/>
      <c r="DCJ44" s="44"/>
      <c r="DCK44" s="44"/>
      <c r="DCL44" s="44"/>
      <c r="DCM44" s="44"/>
      <c r="DCN44" s="44"/>
      <c r="DCO44" s="44"/>
      <c r="DCP44" s="44"/>
      <c r="DCQ44" s="44"/>
      <c r="DCR44" s="44"/>
      <c r="DCS44" s="44"/>
      <c r="DCT44" s="44"/>
      <c r="DCU44" s="44"/>
      <c r="DCV44" s="44"/>
      <c r="DCW44" s="44"/>
      <c r="DCX44" s="44"/>
      <c r="DCY44" s="44"/>
      <c r="DCZ44" s="44"/>
      <c r="DDA44" s="44"/>
      <c r="DDB44" s="44"/>
      <c r="DDC44" s="44"/>
      <c r="DDD44" s="44"/>
      <c r="DDE44" s="44"/>
      <c r="DDF44" s="44"/>
      <c r="DDG44" s="44"/>
      <c r="DDH44" s="44"/>
      <c r="DDI44" s="44"/>
      <c r="DDJ44" s="44"/>
      <c r="DDK44" s="44"/>
      <c r="DDL44" s="44"/>
      <c r="DDM44" s="44"/>
      <c r="DDN44" s="44"/>
      <c r="DDO44" s="44"/>
      <c r="DDP44" s="44"/>
      <c r="DDQ44" s="44"/>
      <c r="DDR44" s="44"/>
      <c r="DDS44" s="44"/>
      <c r="DDT44" s="44"/>
      <c r="DDU44" s="44"/>
      <c r="DDV44" s="44"/>
      <c r="DDW44" s="44"/>
      <c r="DDX44" s="44"/>
      <c r="DDY44" s="44"/>
      <c r="DDZ44" s="44"/>
      <c r="DEA44" s="44"/>
      <c r="DEB44" s="44"/>
      <c r="DEC44" s="44"/>
      <c r="DED44" s="44"/>
      <c r="DEE44" s="44"/>
      <c r="DEF44" s="44"/>
      <c r="DEG44" s="44"/>
      <c r="DEH44" s="44"/>
      <c r="DEI44" s="44"/>
      <c r="DEJ44" s="44"/>
      <c r="DEK44" s="44"/>
      <c r="DEL44" s="44"/>
      <c r="DEM44" s="44"/>
      <c r="DEN44" s="44"/>
      <c r="DEO44" s="44"/>
      <c r="DEP44" s="44"/>
      <c r="DEQ44" s="44"/>
      <c r="DER44" s="44"/>
      <c r="DES44" s="44"/>
      <c r="DET44" s="44"/>
      <c r="DEU44" s="44"/>
      <c r="DEV44" s="44"/>
      <c r="DEW44" s="44"/>
      <c r="DEX44" s="44"/>
      <c r="DEY44" s="44"/>
      <c r="DEZ44" s="44"/>
      <c r="DFA44" s="44"/>
      <c r="DFB44" s="44"/>
      <c r="DFC44" s="44"/>
      <c r="DFD44" s="44"/>
      <c r="DFE44" s="44"/>
      <c r="DFF44" s="44"/>
      <c r="DFG44" s="44"/>
      <c r="DFH44" s="44"/>
      <c r="DFI44" s="44"/>
      <c r="DFJ44" s="44"/>
      <c r="DFK44" s="44"/>
      <c r="DFL44" s="44"/>
      <c r="DFM44" s="44"/>
      <c r="DFN44" s="44"/>
      <c r="DFO44" s="44"/>
      <c r="DFP44" s="44"/>
      <c r="DFQ44" s="44"/>
      <c r="DFR44" s="44"/>
      <c r="DFS44" s="44"/>
      <c r="DFT44" s="44"/>
      <c r="DFU44" s="44"/>
      <c r="DFV44" s="44"/>
      <c r="DFW44" s="44"/>
      <c r="DFX44" s="44"/>
      <c r="DFY44" s="44"/>
      <c r="DFZ44" s="44"/>
      <c r="DGA44" s="44"/>
      <c r="DGB44" s="44"/>
      <c r="DGC44" s="44"/>
      <c r="DGD44" s="44"/>
      <c r="DGE44" s="44"/>
      <c r="DGF44" s="44"/>
      <c r="DGG44" s="44"/>
      <c r="DGH44" s="44"/>
      <c r="DGI44" s="44"/>
      <c r="DGJ44" s="44"/>
      <c r="DGK44" s="44"/>
      <c r="DGL44" s="44"/>
      <c r="DGM44" s="44"/>
      <c r="DGN44" s="44"/>
      <c r="DGO44" s="44"/>
      <c r="DGP44" s="44"/>
      <c r="DGQ44" s="44"/>
      <c r="DGR44" s="44"/>
      <c r="DGS44" s="44"/>
      <c r="DGT44" s="44"/>
      <c r="DGU44" s="44"/>
      <c r="DGV44" s="44"/>
      <c r="DGW44" s="44"/>
      <c r="DGX44" s="44"/>
      <c r="DGY44" s="44"/>
      <c r="DGZ44" s="44"/>
      <c r="DHA44" s="44"/>
      <c r="DHB44" s="44"/>
      <c r="DHC44" s="44"/>
      <c r="DHD44" s="44"/>
      <c r="DHE44" s="44"/>
      <c r="DHF44" s="44"/>
      <c r="DHG44" s="44"/>
      <c r="DHH44" s="44"/>
      <c r="DHI44" s="44"/>
      <c r="DHJ44" s="44"/>
      <c r="DHK44" s="44"/>
      <c r="DHL44" s="44"/>
      <c r="DHM44" s="44"/>
      <c r="DHN44" s="44"/>
      <c r="DHO44" s="44"/>
      <c r="DHP44" s="44"/>
      <c r="DHQ44" s="44"/>
      <c r="DHR44" s="44"/>
      <c r="DHS44" s="44"/>
      <c r="DHT44" s="44"/>
      <c r="DHU44" s="44"/>
      <c r="DHV44" s="44"/>
      <c r="DHW44" s="44"/>
      <c r="DHX44" s="44"/>
      <c r="DHY44" s="44"/>
      <c r="DHZ44" s="44"/>
      <c r="DIA44" s="44"/>
      <c r="DIB44" s="44"/>
      <c r="DIC44" s="44"/>
      <c r="DID44" s="44"/>
      <c r="DIE44" s="44"/>
      <c r="DIF44" s="44"/>
      <c r="DIG44" s="44"/>
      <c r="DIH44" s="44"/>
      <c r="DII44" s="44"/>
      <c r="DIJ44" s="44"/>
      <c r="DIK44" s="44"/>
      <c r="DIL44" s="44"/>
      <c r="DIM44" s="44"/>
      <c r="DIN44" s="44"/>
      <c r="DIO44" s="44"/>
      <c r="DIP44" s="44"/>
      <c r="DIQ44" s="44"/>
      <c r="DIR44" s="44"/>
      <c r="DIS44" s="44"/>
      <c r="DIT44" s="44"/>
      <c r="DIU44" s="44"/>
      <c r="DIV44" s="44"/>
      <c r="DIW44" s="44"/>
      <c r="DIX44" s="44"/>
      <c r="DIY44" s="44"/>
      <c r="DIZ44" s="44"/>
      <c r="DJA44" s="44"/>
      <c r="DJB44" s="44"/>
      <c r="DJC44" s="44"/>
      <c r="DJD44" s="44"/>
      <c r="DJE44" s="44"/>
      <c r="DJF44" s="44"/>
      <c r="DJG44" s="44"/>
      <c r="DJH44" s="44"/>
      <c r="DJI44" s="44"/>
      <c r="DJJ44" s="44"/>
      <c r="DJK44" s="44"/>
      <c r="DJL44" s="44"/>
      <c r="DJM44" s="44"/>
      <c r="DJN44" s="44"/>
      <c r="DJO44" s="44"/>
      <c r="DJP44" s="44"/>
      <c r="DJQ44" s="44"/>
      <c r="DJR44" s="44"/>
      <c r="DJS44" s="44"/>
      <c r="DJT44" s="44"/>
      <c r="DJU44" s="44"/>
      <c r="DJV44" s="44"/>
      <c r="DJW44" s="44"/>
      <c r="DJX44" s="44"/>
      <c r="DJY44" s="44"/>
      <c r="DJZ44" s="44"/>
      <c r="DKA44" s="44"/>
      <c r="DKB44" s="44"/>
      <c r="DKC44" s="44"/>
      <c r="DKD44" s="44"/>
      <c r="DKE44" s="44"/>
      <c r="DKF44" s="44"/>
      <c r="DKG44" s="44"/>
      <c r="DKH44" s="44"/>
      <c r="DKI44" s="44"/>
      <c r="DKJ44" s="44"/>
      <c r="DKK44" s="44"/>
      <c r="DKL44" s="44"/>
      <c r="DKM44" s="44"/>
      <c r="DKN44" s="44"/>
      <c r="DKO44" s="44"/>
      <c r="DKP44" s="44"/>
      <c r="DKQ44" s="44"/>
      <c r="DKR44" s="44"/>
      <c r="DKS44" s="44"/>
      <c r="DKT44" s="44"/>
      <c r="DKU44" s="44"/>
      <c r="DKV44" s="44"/>
      <c r="DKW44" s="44"/>
      <c r="DKX44" s="44"/>
      <c r="DKY44" s="44"/>
      <c r="DKZ44" s="44"/>
      <c r="DLA44" s="44"/>
      <c r="DLB44" s="44"/>
      <c r="DLC44" s="44"/>
      <c r="DLD44" s="44"/>
      <c r="DLE44" s="44"/>
      <c r="DLF44" s="44"/>
      <c r="DLG44" s="44"/>
      <c r="DLH44" s="44"/>
      <c r="DLI44" s="44"/>
      <c r="DLJ44" s="44"/>
      <c r="DLK44" s="44"/>
      <c r="DLL44" s="44"/>
      <c r="DLM44" s="44"/>
      <c r="DLN44" s="44"/>
      <c r="DLO44" s="44"/>
      <c r="DLP44" s="44"/>
      <c r="DLQ44" s="44"/>
      <c r="DLR44" s="44"/>
      <c r="DLS44" s="44"/>
      <c r="DLT44" s="44"/>
      <c r="DLU44" s="44"/>
      <c r="DLV44" s="44"/>
      <c r="DLW44" s="44"/>
      <c r="DLX44" s="44"/>
      <c r="DLY44" s="44"/>
      <c r="DLZ44" s="44"/>
      <c r="DMA44" s="44"/>
      <c r="DMB44" s="44"/>
      <c r="DMC44" s="44"/>
      <c r="DMD44" s="44"/>
      <c r="DME44" s="44"/>
      <c r="DMF44" s="44"/>
      <c r="DMG44" s="44"/>
      <c r="DMH44" s="44"/>
      <c r="DMI44" s="44"/>
      <c r="DMJ44" s="44"/>
      <c r="DMK44" s="44"/>
      <c r="DML44" s="44"/>
      <c r="DMM44" s="44"/>
      <c r="DMN44" s="44"/>
      <c r="DMO44" s="44"/>
      <c r="DMP44" s="44"/>
      <c r="DMQ44" s="44"/>
      <c r="DMR44" s="44"/>
      <c r="DMS44" s="44"/>
      <c r="DMT44" s="44"/>
      <c r="DMU44" s="44"/>
      <c r="DMV44" s="44"/>
      <c r="DMW44" s="44"/>
      <c r="DMX44" s="44"/>
      <c r="DMY44" s="44"/>
      <c r="DMZ44" s="44"/>
      <c r="DNA44" s="44"/>
      <c r="DNB44" s="44"/>
      <c r="DNC44" s="44"/>
      <c r="DND44" s="44"/>
      <c r="DNE44" s="44"/>
      <c r="DNF44" s="44"/>
      <c r="DNG44" s="44"/>
      <c r="DNH44" s="44"/>
      <c r="DNI44" s="44"/>
      <c r="DNJ44" s="44"/>
      <c r="DNK44" s="44"/>
      <c r="DNL44" s="44"/>
      <c r="DNM44" s="44"/>
      <c r="DNN44" s="44"/>
      <c r="DNO44" s="44"/>
      <c r="DNP44" s="44"/>
      <c r="DNQ44" s="44"/>
      <c r="DNR44" s="44"/>
      <c r="DNS44" s="44"/>
      <c r="DNT44" s="44"/>
      <c r="DNU44" s="44"/>
      <c r="DNV44" s="44"/>
      <c r="DNW44" s="44"/>
      <c r="DNX44" s="44"/>
      <c r="DNY44" s="44"/>
      <c r="DNZ44" s="44"/>
      <c r="DOA44" s="44"/>
      <c r="DOB44" s="44"/>
      <c r="DOC44" s="44"/>
      <c r="DOD44" s="44"/>
      <c r="DOE44" s="44"/>
      <c r="DOF44" s="44"/>
      <c r="DOG44" s="44"/>
      <c r="DOH44" s="44"/>
      <c r="DOI44" s="44"/>
      <c r="DOJ44" s="44"/>
      <c r="DOK44" s="44"/>
      <c r="DOL44" s="44"/>
      <c r="DOM44" s="44"/>
      <c r="DON44" s="44"/>
      <c r="DOO44" s="44"/>
      <c r="DOP44" s="44"/>
      <c r="DOQ44" s="44"/>
      <c r="DOR44" s="44"/>
      <c r="DOS44" s="44"/>
      <c r="DOT44" s="44"/>
      <c r="DOU44" s="44"/>
      <c r="DOV44" s="44"/>
      <c r="DOW44" s="44"/>
      <c r="DOX44" s="44"/>
      <c r="DOY44" s="44"/>
      <c r="DOZ44" s="44"/>
      <c r="DPA44" s="44"/>
      <c r="DPB44" s="44"/>
      <c r="DPC44" s="44"/>
      <c r="DPD44" s="44"/>
      <c r="DPE44" s="44"/>
      <c r="DPF44" s="44"/>
      <c r="DPG44" s="44"/>
      <c r="DPH44" s="44"/>
      <c r="DPI44" s="44"/>
      <c r="DPJ44" s="44"/>
      <c r="DPK44" s="44"/>
      <c r="DPL44" s="44"/>
      <c r="DPM44" s="44"/>
      <c r="DPN44" s="44"/>
      <c r="DPO44" s="44"/>
      <c r="DPP44" s="44"/>
      <c r="DPQ44" s="44"/>
      <c r="DPR44" s="44"/>
      <c r="DPS44" s="44"/>
      <c r="DPT44" s="44"/>
      <c r="DPU44" s="44"/>
      <c r="DPV44" s="44"/>
      <c r="DPW44" s="44"/>
      <c r="DPX44" s="44"/>
      <c r="DPY44" s="44"/>
      <c r="DPZ44" s="44"/>
      <c r="DQA44" s="44"/>
      <c r="DQB44" s="44"/>
      <c r="DQC44" s="44"/>
      <c r="DQD44" s="44"/>
      <c r="DQE44" s="44"/>
      <c r="DQF44" s="44"/>
      <c r="DQG44" s="44"/>
      <c r="DQH44" s="44"/>
      <c r="DQI44" s="44"/>
      <c r="DQJ44" s="44"/>
      <c r="DQK44" s="44"/>
      <c r="DQL44" s="44"/>
      <c r="DQM44" s="44"/>
      <c r="DQN44" s="44"/>
      <c r="DQO44" s="44"/>
      <c r="DQP44" s="44"/>
      <c r="DQQ44" s="44"/>
      <c r="DQR44" s="44"/>
      <c r="DQS44" s="44"/>
      <c r="DQT44" s="44"/>
      <c r="DQU44" s="44"/>
      <c r="DQV44" s="44"/>
      <c r="DQW44" s="44"/>
      <c r="DQX44" s="44"/>
      <c r="DQY44" s="44"/>
      <c r="DQZ44" s="44"/>
      <c r="DRA44" s="44"/>
      <c r="DRB44" s="44"/>
      <c r="DRC44" s="44"/>
      <c r="DRD44" s="44"/>
      <c r="DRE44" s="44"/>
      <c r="DRF44" s="44"/>
      <c r="DRG44" s="44"/>
      <c r="DRH44" s="44"/>
      <c r="DRI44" s="44"/>
      <c r="DRJ44" s="44"/>
      <c r="DRK44" s="44"/>
      <c r="DRL44" s="44"/>
      <c r="DRM44" s="44"/>
      <c r="DRN44" s="44"/>
      <c r="DRO44" s="44"/>
      <c r="DRP44" s="44"/>
      <c r="DRQ44" s="44"/>
      <c r="DRR44" s="44"/>
      <c r="DRS44" s="44"/>
      <c r="DRT44" s="44"/>
      <c r="DRU44" s="44"/>
      <c r="DRV44" s="44"/>
      <c r="DRW44" s="44"/>
      <c r="DRX44" s="44"/>
      <c r="DRY44" s="44"/>
      <c r="DRZ44" s="44"/>
      <c r="DSA44" s="44"/>
      <c r="DSB44" s="44"/>
      <c r="DSC44" s="44"/>
      <c r="DSD44" s="44"/>
      <c r="DSE44" s="44"/>
      <c r="DSF44" s="44"/>
      <c r="DSG44" s="44"/>
      <c r="DSH44" s="44"/>
      <c r="DSI44" s="44"/>
      <c r="DSJ44" s="44"/>
      <c r="DSK44" s="44"/>
      <c r="DSL44" s="44"/>
      <c r="DSM44" s="44"/>
      <c r="DSN44" s="44"/>
      <c r="DSO44" s="44"/>
      <c r="DSP44" s="44"/>
      <c r="DSQ44" s="44"/>
      <c r="DSR44" s="44"/>
      <c r="DSS44" s="44"/>
      <c r="DST44" s="44"/>
      <c r="DSU44" s="44"/>
      <c r="DSV44" s="44"/>
      <c r="DSW44" s="44"/>
      <c r="DSX44" s="44"/>
      <c r="DSY44" s="44"/>
      <c r="DSZ44" s="44"/>
      <c r="DTA44" s="44"/>
      <c r="DTB44" s="44"/>
      <c r="DTC44" s="44"/>
      <c r="DTD44" s="44"/>
      <c r="DTE44" s="44"/>
      <c r="DTF44" s="44"/>
      <c r="DTG44" s="44"/>
      <c r="DTH44" s="44"/>
      <c r="DTI44" s="44"/>
      <c r="DTJ44" s="44"/>
      <c r="DTK44" s="44"/>
      <c r="DTL44" s="44"/>
      <c r="DTM44" s="44"/>
      <c r="DTN44" s="44"/>
      <c r="DTO44" s="44"/>
      <c r="DTP44" s="44"/>
      <c r="DTQ44" s="44"/>
      <c r="DTR44" s="44"/>
      <c r="DTS44" s="44"/>
      <c r="DTT44" s="44"/>
      <c r="DTU44" s="44"/>
      <c r="DTV44" s="44"/>
      <c r="DTW44" s="44"/>
      <c r="DTX44" s="44"/>
      <c r="DTY44" s="44"/>
      <c r="DTZ44" s="44"/>
      <c r="DUA44" s="44"/>
      <c r="DUB44" s="44"/>
      <c r="DUC44" s="44"/>
      <c r="DUD44" s="44"/>
      <c r="DUE44" s="44"/>
      <c r="DUF44" s="44"/>
      <c r="DUG44" s="44"/>
      <c r="DUH44" s="44"/>
      <c r="DUI44" s="44"/>
      <c r="DUJ44" s="44"/>
      <c r="DUK44" s="44"/>
      <c r="DUL44" s="44"/>
      <c r="DUM44" s="44"/>
      <c r="DUN44" s="44"/>
      <c r="DUO44" s="44"/>
      <c r="DUP44" s="44"/>
      <c r="DUQ44" s="44"/>
      <c r="DUR44" s="44"/>
      <c r="DUS44" s="44"/>
      <c r="DUT44" s="44"/>
      <c r="DUU44" s="44"/>
      <c r="DUV44" s="44"/>
      <c r="DUW44" s="44"/>
      <c r="DUX44" s="44"/>
      <c r="DUY44" s="44"/>
      <c r="DUZ44" s="44"/>
      <c r="DVA44" s="44"/>
      <c r="DVB44" s="44"/>
      <c r="DVC44" s="44"/>
      <c r="DVD44" s="44"/>
      <c r="DVE44" s="44"/>
      <c r="DVF44" s="44"/>
      <c r="DVG44" s="44"/>
      <c r="DVH44" s="44"/>
      <c r="DVI44" s="44"/>
      <c r="DVJ44" s="44"/>
      <c r="DVK44" s="44"/>
      <c r="DVL44" s="44"/>
      <c r="DVM44" s="44"/>
      <c r="DVN44" s="44"/>
      <c r="DVO44" s="44"/>
      <c r="DVP44" s="44"/>
      <c r="DVQ44" s="44"/>
      <c r="DVR44" s="44"/>
      <c r="DVS44" s="44"/>
      <c r="DVT44" s="44"/>
      <c r="DVU44" s="44"/>
      <c r="DVV44" s="44"/>
      <c r="DVW44" s="44"/>
      <c r="DVX44" s="44"/>
      <c r="DVY44" s="44"/>
      <c r="DVZ44" s="44"/>
      <c r="DWA44" s="44"/>
      <c r="DWB44" s="44"/>
      <c r="DWC44" s="44"/>
      <c r="DWD44" s="44"/>
      <c r="DWE44" s="44"/>
      <c r="DWF44" s="44"/>
      <c r="DWG44" s="44"/>
      <c r="DWH44" s="44"/>
      <c r="DWI44" s="44"/>
      <c r="DWJ44" s="44"/>
      <c r="DWK44" s="44"/>
      <c r="DWL44" s="44"/>
      <c r="DWM44" s="44"/>
      <c r="DWN44" s="44"/>
      <c r="DWO44" s="44"/>
      <c r="DWP44" s="44"/>
      <c r="DWQ44" s="44"/>
      <c r="DWR44" s="44"/>
      <c r="DWS44" s="44"/>
      <c r="DWT44" s="44"/>
      <c r="DWU44" s="44"/>
      <c r="DWV44" s="44"/>
      <c r="DWW44" s="44"/>
      <c r="DWX44" s="44"/>
      <c r="DWY44" s="44"/>
      <c r="DWZ44" s="44"/>
      <c r="DXA44" s="44"/>
      <c r="DXB44" s="44"/>
      <c r="DXC44" s="44"/>
      <c r="DXD44" s="44"/>
      <c r="DXE44" s="44"/>
      <c r="DXF44" s="44"/>
      <c r="DXG44" s="44"/>
      <c r="DXH44" s="44"/>
      <c r="DXI44" s="44"/>
      <c r="DXJ44" s="44"/>
      <c r="DXK44" s="44"/>
      <c r="DXL44" s="44"/>
      <c r="DXM44" s="44"/>
      <c r="DXN44" s="44"/>
      <c r="DXO44" s="44"/>
      <c r="DXP44" s="44"/>
      <c r="DXQ44" s="44"/>
      <c r="DXR44" s="44"/>
      <c r="DXS44" s="44"/>
      <c r="DXT44" s="44"/>
      <c r="DXU44" s="44"/>
      <c r="DXV44" s="44"/>
      <c r="DXW44" s="44"/>
      <c r="DXX44" s="44"/>
      <c r="DXY44" s="44"/>
      <c r="DXZ44" s="44"/>
      <c r="DYA44" s="44"/>
      <c r="DYB44" s="44"/>
      <c r="DYC44" s="44"/>
      <c r="DYD44" s="44"/>
      <c r="DYE44" s="44"/>
      <c r="DYF44" s="44"/>
      <c r="DYG44" s="44"/>
      <c r="DYH44" s="44"/>
      <c r="DYI44" s="44"/>
      <c r="DYJ44" s="44"/>
      <c r="DYK44" s="44"/>
      <c r="DYL44" s="44"/>
      <c r="DYM44" s="44"/>
      <c r="DYN44" s="44"/>
      <c r="DYO44" s="44"/>
      <c r="DYP44" s="44"/>
      <c r="DYQ44" s="44"/>
      <c r="DYR44" s="44"/>
      <c r="DYS44" s="44"/>
      <c r="DYT44" s="44"/>
      <c r="DYU44" s="44"/>
      <c r="DYV44" s="44"/>
      <c r="DYW44" s="44"/>
      <c r="DYX44" s="44"/>
      <c r="DYY44" s="44"/>
      <c r="DYZ44" s="44"/>
      <c r="DZA44" s="44"/>
      <c r="DZB44" s="44"/>
      <c r="DZC44" s="44"/>
      <c r="DZD44" s="44"/>
      <c r="DZE44" s="44"/>
      <c r="DZF44" s="44"/>
      <c r="DZG44" s="44"/>
      <c r="DZH44" s="44"/>
      <c r="DZI44" s="44"/>
      <c r="DZJ44" s="44"/>
      <c r="DZK44" s="44"/>
      <c r="DZL44" s="44"/>
      <c r="DZM44" s="44"/>
      <c r="DZN44" s="44"/>
      <c r="DZO44" s="44"/>
      <c r="DZP44" s="44"/>
      <c r="DZQ44" s="44"/>
      <c r="DZR44" s="44"/>
      <c r="DZS44" s="44"/>
      <c r="DZT44" s="44"/>
      <c r="DZU44" s="44"/>
      <c r="DZV44" s="44"/>
      <c r="DZW44" s="44"/>
      <c r="DZX44" s="44"/>
      <c r="DZY44" s="44"/>
      <c r="DZZ44" s="44"/>
      <c r="EAA44" s="44"/>
      <c r="EAB44" s="44"/>
      <c r="EAC44" s="44"/>
      <c r="EAD44" s="44"/>
      <c r="EAE44" s="44"/>
      <c r="EAF44" s="44"/>
      <c r="EAG44" s="44"/>
      <c r="EAH44" s="44"/>
      <c r="EAI44" s="44"/>
      <c r="EAJ44" s="44"/>
      <c r="EAK44" s="44"/>
      <c r="EAL44" s="44"/>
      <c r="EAM44" s="44"/>
      <c r="EAN44" s="44"/>
      <c r="EAO44" s="44"/>
      <c r="EAP44" s="44"/>
      <c r="EAQ44" s="44"/>
      <c r="EAR44" s="44"/>
      <c r="EAS44" s="44"/>
      <c r="EAT44" s="44"/>
      <c r="EAU44" s="44"/>
      <c r="EAV44" s="44"/>
      <c r="EAW44" s="44"/>
      <c r="EAX44" s="44"/>
      <c r="EAY44" s="44"/>
      <c r="EAZ44" s="44"/>
      <c r="EBA44" s="44"/>
      <c r="EBB44" s="44"/>
      <c r="EBC44" s="44"/>
      <c r="EBD44" s="44"/>
      <c r="EBE44" s="44"/>
      <c r="EBF44" s="44"/>
      <c r="EBG44" s="44"/>
      <c r="EBH44" s="44"/>
      <c r="EBI44" s="44"/>
      <c r="EBJ44" s="44"/>
      <c r="EBK44" s="44"/>
      <c r="EBL44" s="44"/>
      <c r="EBM44" s="44"/>
      <c r="EBN44" s="44"/>
      <c r="EBO44" s="44"/>
      <c r="EBP44" s="44"/>
      <c r="EBQ44" s="44"/>
      <c r="EBR44" s="44"/>
      <c r="EBS44" s="44"/>
      <c r="EBT44" s="44"/>
      <c r="EBU44" s="44"/>
      <c r="EBV44" s="44"/>
      <c r="EBW44" s="44"/>
      <c r="EBX44" s="44"/>
      <c r="EBY44" s="44"/>
      <c r="EBZ44" s="44"/>
      <c r="ECA44" s="44"/>
      <c r="ECB44" s="44"/>
      <c r="ECC44" s="44"/>
      <c r="ECD44" s="44"/>
      <c r="ECE44" s="44"/>
      <c r="ECF44" s="44"/>
      <c r="ECG44" s="44"/>
      <c r="ECH44" s="44"/>
      <c r="ECI44" s="44"/>
      <c r="ECJ44" s="44"/>
      <c r="ECK44" s="44"/>
      <c r="ECL44" s="44"/>
      <c r="ECM44" s="44"/>
      <c r="ECN44" s="44"/>
      <c r="ECO44" s="44"/>
      <c r="ECP44" s="44"/>
      <c r="ECQ44" s="44"/>
      <c r="ECR44" s="44"/>
      <c r="ECS44" s="44"/>
      <c r="ECT44" s="44"/>
      <c r="ECU44" s="44"/>
      <c r="ECV44" s="44"/>
      <c r="ECW44" s="44"/>
      <c r="ECX44" s="44"/>
      <c r="ECY44" s="44"/>
      <c r="ECZ44" s="44"/>
      <c r="EDA44" s="44"/>
      <c r="EDB44" s="44"/>
      <c r="EDC44" s="44"/>
      <c r="EDD44" s="44"/>
      <c r="EDE44" s="44"/>
      <c r="EDF44" s="44"/>
      <c r="EDG44" s="44"/>
      <c r="EDH44" s="44"/>
      <c r="EDI44" s="44"/>
      <c r="EDJ44" s="44"/>
      <c r="EDK44" s="44"/>
      <c r="EDL44" s="44"/>
      <c r="EDM44" s="44"/>
      <c r="EDN44" s="44"/>
      <c r="EDO44" s="44"/>
      <c r="EDP44" s="44"/>
      <c r="EDQ44" s="44"/>
      <c r="EDR44" s="44"/>
      <c r="EDS44" s="44"/>
      <c r="EDT44" s="44"/>
      <c r="EDU44" s="44"/>
      <c r="EDV44" s="44"/>
      <c r="EDW44" s="44"/>
      <c r="EDX44" s="44"/>
      <c r="EDY44" s="44"/>
      <c r="EDZ44" s="44"/>
      <c r="EEA44" s="44"/>
      <c r="EEB44" s="44"/>
      <c r="EEC44" s="44"/>
      <c r="EED44" s="44"/>
      <c r="EEE44" s="44"/>
      <c r="EEF44" s="44"/>
      <c r="EEG44" s="44"/>
      <c r="EEH44" s="44"/>
      <c r="EEI44" s="44"/>
      <c r="EEJ44" s="44"/>
      <c r="EEK44" s="44"/>
      <c r="EEL44" s="44"/>
      <c r="EEM44" s="44"/>
      <c r="EEN44" s="44"/>
      <c r="EEO44" s="44"/>
      <c r="EEP44" s="44"/>
      <c r="EEQ44" s="44"/>
      <c r="EER44" s="44"/>
      <c r="EES44" s="44"/>
      <c r="EET44" s="44"/>
      <c r="EEU44" s="44"/>
      <c r="EEV44" s="44"/>
      <c r="EEW44" s="44"/>
      <c r="EEX44" s="44"/>
      <c r="EEY44" s="44"/>
      <c r="EEZ44" s="44"/>
      <c r="EFA44" s="44"/>
      <c r="EFB44" s="44"/>
      <c r="EFC44" s="44"/>
      <c r="EFD44" s="44"/>
      <c r="EFE44" s="44"/>
      <c r="EFF44" s="44"/>
      <c r="EFG44" s="44"/>
      <c r="EFH44" s="44"/>
      <c r="EFI44" s="44"/>
      <c r="EFJ44" s="44"/>
      <c r="EFK44" s="44"/>
      <c r="EFL44" s="44"/>
      <c r="EFM44" s="44"/>
      <c r="EFN44" s="44"/>
      <c r="EFO44" s="44"/>
      <c r="EFP44" s="44"/>
      <c r="EFQ44" s="44"/>
      <c r="EFR44" s="44"/>
      <c r="EFS44" s="44"/>
      <c r="EFT44" s="44"/>
      <c r="EFU44" s="44"/>
      <c r="EFV44" s="44"/>
      <c r="EFW44" s="44"/>
      <c r="EFX44" s="44"/>
      <c r="EFY44" s="44"/>
      <c r="EFZ44" s="44"/>
      <c r="EGA44" s="44"/>
      <c r="EGB44" s="44"/>
      <c r="EGC44" s="44"/>
      <c r="EGD44" s="44"/>
      <c r="EGE44" s="44"/>
      <c r="EGF44" s="44"/>
      <c r="EGG44" s="44"/>
      <c r="EGH44" s="44"/>
      <c r="EGI44" s="44"/>
      <c r="EGJ44" s="44"/>
      <c r="EGK44" s="44"/>
      <c r="EGL44" s="44"/>
      <c r="EGM44" s="44"/>
      <c r="EGN44" s="44"/>
      <c r="EGO44" s="44"/>
      <c r="EGP44" s="44"/>
      <c r="EGQ44" s="44"/>
      <c r="EGR44" s="44"/>
      <c r="EGS44" s="44"/>
      <c r="EGT44" s="44"/>
      <c r="EGU44" s="44"/>
      <c r="EGV44" s="44"/>
      <c r="EGW44" s="44"/>
      <c r="EGX44" s="44"/>
      <c r="EGY44" s="44"/>
      <c r="EGZ44" s="44"/>
      <c r="EHA44" s="44"/>
      <c r="EHB44" s="44"/>
      <c r="EHC44" s="44"/>
      <c r="EHD44" s="44"/>
      <c r="EHE44" s="44"/>
      <c r="EHF44" s="44"/>
      <c r="EHG44" s="44"/>
      <c r="EHH44" s="44"/>
      <c r="EHI44" s="44"/>
      <c r="EHJ44" s="44"/>
      <c r="EHK44" s="44"/>
      <c r="EHL44" s="44"/>
      <c r="EHM44" s="44"/>
      <c r="EHN44" s="44"/>
      <c r="EHO44" s="44"/>
      <c r="EHP44" s="44"/>
      <c r="EHQ44" s="44"/>
      <c r="EHR44" s="44"/>
      <c r="EHS44" s="44"/>
      <c r="EHT44" s="44"/>
      <c r="EHU44" s="44"/>
      <c r="EHV44" s="44"/>
      <c r="EHW44" s="44"/>
      <c r="EHX44" s="44"/>
      <c r="EHY44" s="44"/>
      <c r="EHZ44" s="44"/>
      <c r="EIA44" s="44"/>
      <c r="EIB44" s="44"/>
      <c r="EIC44" s="44"/>
      <c r="EID44" s="44"/>
      <c r="EIE44" s="44"/>
      <c r="EIF44" s="44"/>
      <c r="EIG44" s="44"/>
      <c r="EIH44" s="44"/>
      <c r="EII44" s="44"/>
      <c r="EIJ44" s="44"/>
      <c r="EIK44" s="44"/>
      <c r="EIL44" s="44"/>
      <c r="EIM44" s="44"/>
      <c r="EIN44" s="44"/>
      <c r="EIO44" s="44"/>
      <c r="EIP44" s="44"/>
      <c r="EIQ44" s="44"/>
      <c r="EIR44" s="44"/>
      <c r="EIS44" s="44"/>
      <c r="EIT44" s="44"/>
      <c r="EIU44" s="44"/>
      <c r="EIV44" s="44"/>
      <c r="EIW44" s="44"/>
      <c r="EIX44" s="44"/>
      <c r="EIY44" s="44"/>
      <c r="EIZ44" s="44"/>
      <c r="EJA44" s="44"/>
      <c r="EJB44" s="44"/>
      <c r="EJC44" s="44"/>
      <c r="EJD44" s="44"/>
      <c r="EJE44" s="44"/>
      <c r="EJF44" s="44"/>
      <c r="EJG44" s="44"/>
      <c r="EJH44" s="44"/>
      <c r="EJI44" s="44"/>
      <c r="EJJ44" s="44"/>
      <c r="EJK44" s="44"/>
      <c r="EJL44" s="44"/>
      <c r="EJM44" s="44"/>
      <c r="EJN44" s="44"/>
      <c r="EJO44" s="44"/>
      <c r="EJP44" s="44"/>
      <c r="EJQ44" s="44"/>
      <c r="EJR44" s="44"/>
      <c r="EJS44" s="44"/>
      <c r="EJT44" s="44"/>
      <c r="EJU44" s="44"/>
      <c r="EJV44" s="44"/>
      <c r="EJW44" s="44"/>
      <c r="EJX44" s="44"/>
      <c r="EJY44" s="44"/>
      <c r="EJZ44" s="44"/>
      <c r="EKA44" s="44"/>
      <c r="EKB44" s="44"/>
      <c r="EKC44" s="44"/>
      <c r="EKD44" s="44"/>
      <c r="EKE44" s="44"/>
      <c r="EKF44" s="44"/>
      <c r="EKG44" s="44"/>
      <c r="EKH44" s="44"/>
      <c r="EKI44" s="44"/>
      <c r="EKJ44" s="44"/>
      <c r="EKK44" s="44"/>
      <c r="EKL44" s="44"/>
      <c r="EKM44" s="44"/>
      <c r="EKN44" s="44"/>
      <c r="EKO44" s="44"/>
      <c r="EKP44" s="44"/>
      <c r="EKQ44" s="44"/>
      <c r="EKR44" s="44"/>
      <c r="EKS44" s="44"/>
      <c r="EKT44" s="44"/>
      <c r="EKU44" s="44"/>
      <c r="EKV44" s="44"/>
      <c r="EKW44" s="44"/>
      <c r="EKX44" s="44"/>
      <c r="EKY44" s="44"/>
      <c r="EKZ44" s="44"/>
      <c r="ELA44" s="44"/>
      <c r="ELB44" s="44"/>
      <c r="ELC44" s="44"/>
      <c r="ELD44" s="44"/>
      <c r="ELE44" s="44"/>
      <c r="ELF44" s="44"/>
      <c r="ELG44" s="44"/>
      <c r="ELH44" s="44"/>
      <c r="ELI44" s="44"/>
      <c r="ELJ44" s="44"/>
      <c r="ELK44" s="44"/>
      <c r="ELL44" s="44"/>
      <c r="ELM44" s="44"/>
      <c r="ELN44" s="44"/>
      <c r="ELO44" s="44"/>
      <c r="ELP44" s="44"/>
      <c r="ELQ44" s="44"/>
      <c r="ELR44" s="44"/>
      <c r="ELS44" s="44"/>
      <c r="ELT44" s="44"/>
      <c r="ELU44" s="44"/>
      <c r="ELV44" s="44"/>
      <c r="ELW44" s="44"/>
      <c r="ELX44" s="44"/>
      <c r="ELY44" s="44"/>
      <c r="ELZ44" s="44"/>
      <c r="EMA44" s="44"/>
      <c r="EMB44" s="44"/>
      <c r="EMC44" s="44"/>
      <c r="EMD44" s="44"/>
      <c r="EME44" s="44"/>
      <c r="EMF44" s="44"/>
      <c r="EMG44" s="44"/>
      <c r="EMH44" s="44"/>
      <c r="EMI44" s="44"/>
      <c r="EMJ44" s="44"/>
      <c r="EMK44" s="44"/>
      <c r="EML44" s="44"/>
      <c r="EMM44" s="44"/>
      <c r="EMN44" s="44"/>
      <c r="EMO44" s="44"/>
      <c r="EMP44" s="44"/>
      <c r="EMQ44" s="44"/>
      <c r="EMR44" s="44"/>
      <c r="EMS44" s="44"/>
      <c r="EMT44" s="44"/>
      <c r="EMU44" s="44"/>
      <c r="EMV44" s="44"/>
      <c r="EMW44" s="44"/>
      <c r="EMX44" s="44"/>
      <c r="EMY44" s="44"/>
      <c r="EMZ44" s="44"/>
      <c r="ENA44" s="44"/>
      <c r="ENB44" s="44"/>
      <c r="ENC44" s="44"/>
      <c r="END44" s="44"/>
      <c r="ENE44" s="44"/>
      <c r="ENF44" s="44"/>
      <c r="ENG44" s="44"/>
      <c r="ENH44" s="44"/>
      <c r="ENI44" s="44"/>
      <c r="ENJ44" s="44"/>
      <c r="ENK44" s="44"/>
      <c r="ENL44" s="44"/>
      <c r="ENM44" s="44"/>
      <c r="ENN44" s="44"/>
      <c r="ENO44" s="44"/>
      <c r="ENP44" s="44"/>
      <c r="ENQ44" s="44"/>
      <c r="ENR44" s="44"/>
      <c r="ENS44" s="44"/>
      <c r="ENT44" s="44"/>
      <c r="ENU44" s="44"/>
      <c r="ENV44" s="44"/>
      <c r="ENW44" s="44"/>
      <c r="ENX44" s="44"/>
      <c r="ENY44" s="44"/>
      <c r="ENZ44" s="44"/>
      <c r="EOA44" s="44"/>
      <c r="EOB44" s="44"/>
      <c r="EOC44" s="44"/>
      <c r="EOD44" s="44"/>
      <c r="EOE44" s="44"/>
      <c r="EOF44" s="44"/>
      <c r="EOG44" s="44"/>
      <c r="EOH44" s="44"/>
      <c r="EOI44" s="44"/>
      <c r="EOJ44" s="44"/>
      <c r="EOK44" s="44"/>
      <c r="EOL44" s="44"/>
      <c r="EOM44" s="44"/>
      <c r="EON44" s="44"/>
      <c r="EOO44" s="44"/>
      <c r="EOP44" s="44"/>
      <c r="EOQ44" s="44"/>
      <c r="EOR44" s="44"/>
      <c r="EOS44" s="44"/>
      <c r="EOT44" s="44"/>
      <c r="EOU44" s="44"/>
      <c r="EOV44" s="44"/>
      <c r="EOW44" s="44"/>
      <c r="EOX44" s="44"/>
      <c r="EOY44" s="44"/>
      <c r="EOZ44" s="44"/>
      <c r="EPA44" s="44"/>
      <c r="EPB44" s="44"/>
      <c r="EPC44" s="44"/>
      <c r="EPD44" s="44"/>
      <c r="EPE44" s="44"/>
      <c r="EPF44" s="44"/>
      <c r="EPG44" s="44"/>
      <c r="EPH44" s="44"/>
      <c r="EPI44" s="44"/>
      <c r="EPJ44" s="44"/>
      <c r="EPK44" s="44"/>
      <c r="EPL44" s="44"/>
      <c r="EPM44" s="44"/>
      <c r="EPN44" s="44"/>
      <c r="EPO44" s="44"/>
      <c r="EPP44" s="44"/>
      <c r="EPQ44" s="44"/>
      <c r="EPR44" s="44"/>
      <c r="EPS44" s="44"/>
      <c r="EPT44" s="44"/>
      <c r="EPU44" s="44"/>
      <c r="EPV44" s="44"/>
      <c r="EPW44" s="44"/>
      <c r="EPX44" s="44"/>
      <c r="EPY44" s="44"/>
      <c r="EPZ44" s="44"/>
      <c r="EQA44" s="44"/>
      <c r="EQB44" s="44"/>
      <c r="EQC44" s="44"/>
      <c r="EQD44" s="44"/>
      <c r="EQE44" s="44"/>
      <c r="EQF44" s="44"/>
      <c r="EQG44" s="44"/>
      <c r="EQH44" s="44"/>
      <c r="EQI44" s="44"/>
      <c r="EQJ44" s="44"/>
      <c r="EQK44" s="44"/>
      <c r="EQL44" s="44"/>
      <c r="EQM44" s="44"/>
      <c r="EQN44" s="44"/>
      <c r="EQO44" s="44"/>
      <c r="EQP44" s="44"/>
      <c r="EQQ44" s="44"/>
      <c r="EQR44" s="44"/>
      <c r="EQS44" s="44"/>
      <c r="EQT44" s="44"/>
      <c r="EQU44" s="44"/>
      <c r="EQV44" s="44"/>
      <c r="EQW44" s="44"/>
      <c r="EQX44" s="44"/>
      <c r="EQY44" s="44"/>
      <c r="EQZ44" s="44"/>
      <c r="ERA44" s="44"/>
      <c r="ERB44" s="44"/>
      <c r="ERC44" s="44"/>
      <c r="ERD44" s="44"/>
      <c r="ERE44" s="44"/>
      <c r="ERF44" s="44"/>
      <c r="ERG44" s="44"/>
      <c r="ERH44" s="44"/>
      <c r="ERI44" s="44"/>
      <c r="ERJ44" s="44"/>
      <c r="ERK44" s="44"/>
      <c r="ERL44" s="44"/>
      <c r="ERM44" s="44"/>
      <c r="ERN44" s="44"/>
      <c r="ERO44" s="44"/>
      <c r="ERP44" s="44"/>
      <c r="ERQ44" s="44"/>
      <c r="ERR44" s="44"/>
      <c r="ERS44" s="44"/>
      <c r="ERT44" s="44"/>
      <c r="ERU44" s="44"/>
      <c r="ERV44" s="44"/>
      <c r="ERW44" s="44"/>
      <c r="ERX44" s="44"/>
      <c r="ERY44" s="44"/>
      <c r="ERZ44" s="44"/>
      <c r="ESA44" s="44"/>
      <c r="ESB44" s="44"/>
      <c r="ESC44" s="44"/>
      <c r="ESD44" s="44"/>
      <c r="ESE44" s="44"/>
      <c r="ESF44" s="44"/>
      <c r="ESG44" s="44"/>
      <c r="ESH44" s="44"/>
      <c r="ESI44" s="44"/>
      <c r="ESJ44" s="44"/>
      <c r="ESK44" s="44"/>
      <c r="ESL44" s="44"/>
      <c r="ESM44" s="44"/>
      <c r="ESN44" s="44"/>
      <c r="ESO44" s="44"/>
      <c r="ESP44" s="44"/>
      <c r="ESQ44" s="44"/>
      <c r="ESR44" s="44"/>
      <c r="ESS44" s="44"/>
      <c r="EST44" s="44"/>
      <c r="ESU44" s="44"/>
      <c r="ESV44" s="44"/>
      <c r="ESW44" s="44"/>
      <c r="ESX44" s="44"/>
      <c r="ESY44" s="44"/>
      <c r="ESZ44" s="44"/>
      <c r="ETA44" s="44"/>
      <c r="ETB44" s="44"/>
      <c r="ETC44" s="44"/>
      <c r="ETD44" s="44"/>
      <c r="ETE44" s="44"/>
      <c r="ETF44" s="44"/>
      <c r="ETG44" s="44"/>
      <c r="ETH44" s="44"/>
      <c r="ETI44" s="44"/>
      <c r="ETJ44" s="44"/>
      <c r="ETK44" s="44"/>
      <c r="ETL44" s="44"/>
      <c r="ETM44" s="44"/>
      <c r="ETN44" s="44"/>
      <c r="ETO44" s="44"/>
      <c r="ETP44" s="44"/>
      <c r="ETQ44" s="44"/>
      <c r="ETR44" s="44"/>
      <c r="ETS44" s="44"/>
      <c r="ETT44" s="44"/>
      <c r="ETU44" s="44"/>
      <c r="ETV44" s="44"/>
      <c r="ETW44" s="44"/>
      <c r="ETX44" s="44"/>
      <c r="ETY44" s="44"/>
      <c r="ETZ44" s="44"/>
      <c r="EUA44" s="44"/>
      <c r="EUB44" s="44"/>
      <c r="EUC44" s="44"/>
      <c r="EUD44" s="44"/>
      <c r="EUE44" s="44"/>
      <c r="EUF44" s="44"/>
      <c r="EUG44" s="44"/>
      <c r="EUH44" s="44"/>
      <c r="EUI44" s="44"/>
      <c r="EUJ44" s="44"/>
      <c r="EUK44" s="44"/>
      <c r="EUL44" s="44"/>
      <c r="EUM44" s="44"/>
      <c r="EUN44" s="44"/>
      <c r="EUO44" s="44"/>
      <c r="EUP44" s="44"/>
      <c r="EUQ44" s="44"/>
      <c r="EUR44" s="44"/>
      <c r="EUS44" s="44"/>
      <c r="EUT44" s="44"/>
      <c r="EUU44" s="44"/>
      <c r="EUV44" s="44"/>
      <c r="EUW44" s="44"/>
      <c r="EUX44" s="44"/>
      <c r="EUY44" s="44"/>
      <c r="EUZ44" s="44"/>
      <c r="EVA44" s="44"/>
      <c r="EVB44" s="44"/>
      <c r="EVC44" s="44"/>
      <c r="EVD44" s="44"/>
      <c r="EVE44" s="44"/>
      <c r="EVF44" s="44"/>
      <c r="EVG44" s="44"/>
      <c r="EVH44" s="44"/>
      <c r="EVI44" s="44"/>
      <c r="EVJ44" s="44"/>
      <c r="EVK44" s="44"/>
      <c r="EVL44" s="44"/>
      <c r="EVM44" s="44"/>
      <c r="EVN44" s="44"/>
      <c r="EVO44" s="44"/>
      <c r="EVP44" s="44"/>
      <c r="EVQ44" s="44"/>
      <c r="EVR44" s="44"/>
      <c r="EVS44" s="44"/>
      <c r="EVT44" s="44"/>
      <c r="EVU44" s="44"/>
      <c r="EVV44" s="44"/>
      <c r="EVW44" s="44"/>
      <c r="EVX44" s="44"/>
      <c r="EVY44" s="44"/>
      <c r="EVZ44" s="44"/>
      <c r="EWA44" s="44"/>
      <c r="EWB44" s="44"/>
      <c r="EWC44" s="44"/>
      <c r="EWD44" s="44"/>
      <c r="EWE44" s="44"/>
      <c r="EWF44" s="44"/>
      <c r="EWG44" s="44"/>
      <c r="EWH44" s="44"/>
      <c r="EWI44" s="44"/>
      <c r="EWJ44" s="44"/>
      <c r="EWK44" s="44"/>
      <c r="EWL44" s="44"/>
      <c r="EWM44" s="44"/>
      <c r="EWN44" s="44"/>
      <c r="EWO44" s="44"/>
      <c r="EWP44" s="44"/>
      <c r="EWQ44" s="44"/>
      <c r="EWR44" s="44"/>
      <c r="EWS44" s="44"/>
      <c r="EWT44" s="44"/>
      <c r="EWU44" s="44"/>
      <c r="EWV44" s="44"/>
      <c r="EWW44" s="44"/>
      <c r="EWX44" s="44"/>
      <c r="EWY44" s="44"/>
      <c r="EWZ44" s="44"/>
      <c r="EXA44" s="44"/>
      <c r="EXB44" s="44"/>
      <c r="EXC44" s="44"/>
      <c r="EXD44" s="44"/>
      <c r="EXE44" s="44"/>
      <c r="EXF44" s="44"/>
      <c r="EXG44" s="44"/>
      <c r="EXH44" s="44"/>
      <c r="EXI44" s="44"/>
      <c r="EXJ44" s="44"/>
      <c r="EXK44" s="44"/>
      <c r="EXL44" s="44"/>
      <c r="EXM44" s="44"/>
      <c r="EXN44" s="44"/>
      <c r="EXO44" s="44"/>
      <c r="EXP44" s="44"/>
      <c r="EXQ44" s="44"/>
      <c r="EXR44" s="44"/>
      <c r="EXS44" s="44"/>
      <c r="EXT44" s="44"/>
      <c r="EXU44" s="44"/>
      <c r="EXV44" s="44"/>
      <c r="EXW44" s="44"/>
      <c r="EXX44" s="44"/>
      <c r="EXY44" s="44"/>
      <c r="EXZ44" s="44"/>
      <c r="EYA44" s="44"/>
      <c r="EYB44" s="44"/>
      <c r="EYC44" s="44"/>
      <c r="EYD44" s="44"/>
      <c r="EYE44" s="44"/>
      <c r="EYF44" s="44"/>
      <c r="EYG44" s="44"/>
      <c r="EYH44" s="44"/>
      <c r="EYI44" s="44"/>
      <c r="EYJ44" s="44"/>
      <c r="EYK44" s="44"/>
      <c r="EYL44" s="44"/>
      <c r="EYM44" s="44"/>
      <c r="EYN44" s="44"/>
      <c r="EYO44" s="44"/>
      <c r="EYP44" s="44"/>
      <c r="EYQ44" s="44"/>
      <c r="EYR44" s="44"/>
      <c r="EYS44" s="44"/>
      <c r="EYT44" s="44"/>
      <c r="EYU44" s="44"/>
      <c r="EYV44" s="44"/>
      <c r="EYW44" s="44"/>
      <c r="EYX44" s="44"/>
      <c r="EYY44" s="44"/>
      <c r="EYZ44" s="44"/>
      <c r="EZA44" s="44"/>
      <c r="EZB44" s="44"/>
      <c r="EZC44" s="44"/>
      <c r="EZD44" s="44"/>
      <c r="EZE44" s="44"/>
      <c r="EZF44" s="44"/>
      <c r="EZG44" s="44"/>
      <c r="EZH44" s="44"/>
      <c r="EZI44" s="44"/>
      <c r="EZJ44" s="44"/>
      <c r="EZK44" s="44"/>
      <c r="EZL44" s="44"/>
      <c r="EZM44" s="44"/>
      <c r="EZN44" s="44"/>
      <c r="EZO44" s="44"/>
      <c r="EZP44" s="44"/>
      <c r="EZQ44" s="44"/>
      <c r="EZR44" s="44"/>
      <c r="EZS44" s="44"/>
      <c r="EZT44" s="44"/>
      <c r="EZU44" s="44"/>
      <c r="EZV44" s="44"/>
      <c r="EZW44" s="44"/>
      <c r="EZX44" s="44"/>
      <c r="EZY44" s="44"/>
      <c r="EZZ44" s="44"/>
      <c r="FAA44" s="44"/>
      <c r="FAB44" s="44"/>
      <c r="FAC44" s="44"/>
      <c r="FAD44" s="44"/>
      <c r="FAE44" s="44"/>
      <c r="FAF44" s="44"/>
      <c r="FAG44" s="44"/>
      <c r="FAH44" s="44"/>
      <c r="FAI44" s="44"/>
      <c r="FAJ44" s="44"/>
      <c r="FAK44" s="44"/>
      <c r="FAL44" s="44"/>
      <c r="FAM44" s="44"/>
      <c r="FAN44" s="44"/>
      <c r="FAO44" s="44"/>
      <c r="FAP44" s="44"/>
      <c r="FAQ44" s="44"/>
      <c r="FAR44" s="44"/>
      <c r="FAS44" s="44"/>
      <c r="FAT44" s="44"/>
      <c r="FAU44" s="44"/>
      <c r="FAV44" s="44"/>
      <c r="FAW44" s="44"/>
      <c r="FAX44" s="44"/>
      <c r="FAY44" s="44"/>
      <c r="FAZ44" s="44"/>
      <c r="FBA44" s="44"/>
      <c r="FBB44" s="44"/>
      <c r="FBC44" s="44"/>
      <c r="FBD44" s="44"/>
      <c r="FBE44" s="44"/>
      <c r="FBF44" s="44"/>
      <c r="FBG44" s="44"/>
      <c r="FBH44" s="44"/>
      <c r="FBI44" s="44"/>
      <c r="FBJ44" s="44"/>
      <c r="FBK44" s="44"/>
      <c r="FBL44" s="44"/>
      <c r="FBM44" s="44"/>
      <c r="FBN44" s="44"/>
      <c r="FBO44" s="44"/>
      <c r="FBP44" s="44"/>
      <c r="FBQ44" s="44"/>
      <c r="FBR44" s="44"/>
      <c r="FBS44" s="44"/>
      <c r="FBT44" s="44"/>
      <c r="FBU44" s="44"/>
      <c r="FBV44" s="44"/>
      <c r="FBW44" s="44"/>
      <c r="FBX44" s="44"/>
      <c r="FBY44" s="44"/>
      <c r="FBZ44" s="44"/>
      <c r="FCA44" s="44"/>
      <c r="FCB44" s="44"/>
      <c r="FCC44" s="44"/>
      <c r="FCD44" s="44"/>
      <c r="FCE44" s="44"/>
      <c r="FCF44" s="44"/>
      <c r="FCG44" s="44"/>
      <c r="FCH44" s="44"/>
      <c r="FCI44" s="44"/>
      <c r="FCJ44" s="44"/>
      <c r="FCK44" s="44"/>
      <c r="FCL44" s="44"/>
      <c r="FCM44" s="44"/>
      <c r="FCN44" s="44"/>
      <c r="FCO44" s="44"/>
      <c r="FCP44" s="44"/>
      <c r="FCQ44" s="44"/>
      <c r="FCR44" s="44"/>
      <c r="FCS44" s="44"/>
      <c r="FCT44" s="44"/>
      <c r="FCU44" s="44"/>
      <c r="FCV44" s="44"/>
      <c r="FCW44" s="44"/>
      <c r="FCX44" s="44"/>
      <c r="FCY44" s="44"/>
      <c r="FCZ44" s="44"/>
      <c r="FDA44" s="44"/>
      <c r="FDB44" s="44"/>
      <c r="FDC44" s="44"/>
      <c r="FDD44" s="44"/>
      <c r="FDE44" s="44"/>
      <c r="FDF44" s="44"/>
      <c r="FDG44" s="44"/>
      <c r="FDH44" s="44"/>
      <c r="FDI44" s="44"/>
      <c r="FDJ44" s="44"/>
      <c r="FDK44" s="44"/>
      <c r="FDL44" s="44"/>
      <c r="FDM44" s="44"/>
      <c r="FDN44" s="44"/>
      <c r="FDO44" s="44"/>
      <c r="FDP44" s="44"/>
      <c r="FDQ44" s="44"/>
      <c r="FDR44" s="44"/>
      <c r="FDS44" s="44"/>
      <c r="FDT44" s="44"/>
      <c r="FDU44" s="44"/>
      <c r="FDV44" s="44"/>
      <c r="FDW44" s="44"/>
      <c r="FDX44" s="44"/>
      <c r="FDY44" s="44"/>
      <c r="FDZ44" s="44"/>
      <c r="FEA44" s="44"/>
      <c r="FEB44" s="44"/>
      <c r="FEC44" s="44"/>
      <c r="FED44" s="44"/>
      <c r="FEE44" s="44"/>
      <c r="FEF44" s="44"/>
      <c r="FEG44" s="44"/>
      <c r="FEH44" s="44"/>
      <c r="FEI44" s="44"/>
      <c r="FEJ44" s="44"/>
      <c r="FEK44" s="44"/>
      <c r="FEL44" s="44"/>
      <c r="FEM44" s="44"/>
      <c r="FEN44" s="44"/>
      <c r="FEO44" s="44"/>
      <c r="FEP44" s="44"/>
      <c r="FEQ44" s="44"/>
      <c r="FER44" s="44"/>
      <c r="FES44" s="44"/>
      <c r="FET44" s="44"/>
      <c r="FEU44" s="44"/>
      <c r="FEV44" s="44"/>
      <c r="FEW44" s="44"/>
      <c r="FEX44" s="44"/>
      <c r="FEY44" s="44"/>
      <c r="FEZ44" s="44"/>
      <c r="FFA44" s="44"/>
      <c r="FFB44" s="44"/>
      <c r="FFC44" s="44"/>
      <c r="FFD44" s="44"/>
      <c r="FFE44" s="44"/>
      <c r="FFF44" s="44"/>
      <c r="FFG44" s="44"/>
      <c r="FFH44" s="44"/>
      <c r="FFI44" s="44"/>
      <c r="FFJ44" s="44"/>
      <c r="FFK44" s="44"/>
      <c r="FFL44" s="44"/>
      <c r="FFM44" s="44"/>
      <c r="FFN44" s="44"/>
      <c r="FFO44" s="44"/>
      <c r="FFP44" s="44"/>
      <c r="FFQ44" s="44"/>
      <c r="FFR44" s="44"/>
      <c r="FFS44" s="44"/>
      <c r="FFT44" s="44"/>
      <c r="FFU44" s="44"/>
      <c r="FFV44" s="44"/>
      <c r="FFW44" s="44"/>
      <c r="FFX44" s="44"/>
      <c r="FFY44" s="44"/>
      <c r="FFZ44" s="44"/>
      <c r="FGA44" s="44"/>
      <c r="FGB44" s="44"/>
      <c r="FGC44" s="44"/>
      <c r="FGD44" s="44"/>
      <c r="FGE44" s="44"/>
      <c r="FGF44" s="44"/>
      <c r="FGG44" s="44"/>
      <c r="FGH44" s="44"/>
      <c r="FGI44" s="44"/>
      <c r="FGJ44" s="44"/>
      <c r="FGK44" s="44"/>
      <c r="FGL44" s="44"/>
      <c r="FGM44" s="44"/>
      <c r="FGN44" s="44"/>
      <c r="FGO44" s="44"/>
      <c r="FGP44" s="44"/>
      <c r="FGQ44" s="44"/>
      <c r="FGR44" s="44"/>
      <c r="FGS44" s="44"/>
      <c r="FGT44" s="44"/>
      <c r="FGU44" s="44"/>
      <c r="FGV44" s="44"/>
      <c r="FGW44" s="44"/>
      <c r="FGX44" s="44"/>
      <c r="FGY44" s="44"/>
      <c r="FGZ44" s="44"/>
      <c r="FHA44" s="44"/>
      <c r="FHB44" s="44"/>
      <c r="FHC44" s="44"/>
      <c r="FHD44" s="44"/>
      <c r="FHE44" s="44"/>
      <c r="FHF44" s="44"/>
      <c r="FHG44" s="44"/>
      <c r="FHH44" s="44"/>
      <c r="FHI44" s="44"/>
      <c r="FHJ44" s="44"/>
      <c r="FHK44" s="44"/>
      <c r="FHL44" s="44"/>
      <c r="FHM44" s="44"/>
      <c r="FHN44" s="44"/>
      <c r="FHO44" s="44"/>
      <c r="FHP44" s="44"/>
      <c r="FHQ44" s="44"/>
      <c r="FHR44" s="44"/>
      <c r="FHS44" s="44"/>
      <c r="FHT44" s="44"/>
      <c r="FHU44" s="44"/>
      <c r="FHV44" s="44"/>
      <c r="FHW44" s="44"/>
      <c r="FHX44" s="44"/>
      <c r="FHY44" s="44"/>
      <c r="FHZ44" s="44"/>
      <c r="FIA44" s="44"/>
      <c r="FIB44" s="44"/>
      <c r="FIC44" s="44"/>
      <c r="FID44" s="44"/>
      <c r="FIE44" s="44"/>
      <c r="FIF44" s="44"/>
      <c r="FIG44" s="44"/>
      <c r="FIH44" s="44"/>
      <c r="FII44" s="44"/>
      <c r="FIJ44" s="44"/>
      <c r="FIK44" s="44"/>
      <c r="FIL44" s="44"/>
      <c r="FIM44" s="44"/>
      <c r="FIN44" s="44"/>
      <c r="FIO44" s="44"/>
      <c r="FIP44" s="44"/>
      <c r="FIQ44" s="44"/>
      <c r="FIR44" s="44"/>
      <c r="FIS44" s="44"/>
      <c r="FIT44" s="44"/>
      <c r="FIU44" s="44"/>
      <c r="FIV44" s="44"/>
      <c r="FIW44" s="44"/>
      <c r="FIX44" s="44"/>
      <c r="FIY44" s="44"/>
      <c r="FIZ44" s="44"/>
      <c r="FJA44" s="44"/>
      <c r="FJB44" s="44"/>
      <c r="FJC44" s="44"/>
      <c r="FJD44" s="44"/>
      <c r="FJE44" s="44"/>
      <c r="FJF44" s="44"/>
      <c r="FJG44" s="44"/>
      <c r="FJH44" s="44"/>
      <c r="FJI44" s="44"/>
      <c r="FJJ44" s="44"/>
      <c r="FJK44" s="44"/>
      <c r="FJL44" s="44"/>
      <c r="FJM44" s="44"/>
      <c r="FJN44" s="44"/>
      <c r="FJO44" s="44"/>
      <c r="FJP44" s="44"/>
      <c r="FJQ44" s="44"/>
      <c r="FJR44" s="44"/>
      <c r="FJS44" s="44"/>
      <c r="FJT44" s="44"/>
      <c r="FJU44" s="44"/>
      <c r="FJV44" s="44"/>
      <c r="FJW44" s="44"/>
      <c r="FJX44" s="44"/>
      <c r="FJY44" s="44"/>
      <c r="FJZ44" s="44"/>
      <c r="FKA44" s="44"/>
      <c r="FKB44" s="44"/>
      <c r="FKC44" s="44"/>
      <c r="FKD44" s="44"/>
      <c r="FKE44" s="44"/>
      <c r="FKF44" s="44"/>
      <c r="FKG44" s="44"/>
      <c r="FKH44" s="44"/>
      <c r="FKI44" s="44"/>
      <c r="FKJ44" s="44"/>
      <c r="FKK44" s="44"/>
      <c r="FKL44" s="44"/>
      <c r="FKM44" s="44"/>
      <c r="FKN44" s="44"/>
      <c r="FKO44" s="44"/>
      <c r="FKP44" s="44"/>
      <c r="FKQ44" s="44"/>
      <c r="FKR44" s="44"/>
      <c r="FKS44" s="44"/>
      <c r="FKT44" s="44"/>
      <c r="FKU44" s="44"/>
      <c r="FKV44" s="44"/>
      <c r="FKW44" s="44"/>
      <c r="FKX44" s="44"/>
      <c r="FKY44" s="44"/>
      <c r="FKZ44" s="44"/>
      <c r="FLA44" s="44"/>
      <c r="FLB44" s="44"/>
      <c r="FLC44" s="44"/>
      <c r="FLD44" s="44"/>
      <c r="FLE44" s="44"/>
      <c r="FLF44" s="44"/>
      <c r="FLG44" s="44"/>
      <c r="FLH44" s="44"/>
      <c r="FLI44" s="44"/>
      <c r="FLJ44" s="44"/>
      <c r="FLK44" s="44"/>
      <c r="FLL44" s="44"/>
      <c r="FLM44" s="44"/>
      <c r="FLN44" s="44"/>
      <c r="FLO44" s="44"/>
      <c r="FLP44" s="44"/>
      <c r="FLQ44" s="44"/>
      <c r="FLR44" s="44"/>
      <c r="FLS44" s="44"/>
      <c r="FLT44" s="44"/>
      <c r="FLU44" s="44"/>
      <c r="FLV44" s="44"/>
      <c r="FLW44" s="44"/>
      <c r="FLX44" s="44"/>
      <c r="FLY44" s="44"/>
      <c r="FLZ44" s="44"/>
      <c r="FMA44" s="44"/>
      <c r="FMB44" s="44"/>
      <c r="FMC44" s="44"/>
      <c r="FMD44" s="44"/>
      <c r="FME44" s="44"/>
      <c r="FMF44" s="44"/>
      <c r="FMG44" s="44"/>
      <c r="FMH44" s="44"/>
      <c r="FMI44" s="44"/>
      <c r="FMJ44" s="44"/>
      <c r="FMK44" s="44"/>
      <c r="FML44" s="44"/>
      <c r="FMM44" s="44"/>
      <c r="FMN44" s="44"/>
      <c r="FMO44" s="44"/>
      <c r="FMP44" s="44"/>
      <c r="FMQ44" s="44"/>
      <c r="FMR44" s="44"/>
      <c r="FMS44" s="44"/>
      <c r="FMT44" s="44"/>
      <c r="FMU44" s="44"/>
      <c r="FMV44" s="44"/>
      <c r="FMW44" s="44"/>
      <c r="FMX44" s="44"/>
      <c r="FMY44" s="44"/>
      <c r="FMZ44" s="44"/>
      <c r="FNA44" s="44"/>
      <c r="FNB44" s="44"/>
      <c r="FNC44" s="44"/>
      <c r="FND44" s="44"/>
      <c r="FNE44" s="44"/>
      <c r="FNF44" s="44"/>
      <c r="FNG44" s="44"/>
      <c r="FNH44" s="44"/>
      <c r="FNI44" s="44"/>
      <c r="FNJ44" s="44"/>
      <c r="FNK44" s="44"/>
      <c r="FNL44" s="44"/>
      <c r="FNM44" s="44"/>
      <c r="FNN44" s="44"/>
      <c r="FNO44" s="44"/>
      <c r="FNP44" s="44"/>
      <c r="FNQ44" s="44"/>
      <c r="FNR44" s="44"/>
      <c r="FNS44" s="44"/>
      <c r="FNT44" s="44"/>
      <c r="FNU44" s="44"/>
      <c r="FNV44" s="44"/>
      <c r="FNW44" s="44"/>
      <c r="FNX44" s="44"/>
      <c r="FNY44" s="44"/>
      <c r="FNZ44" s="44"/>
      <c r="FOA44" s="44"/>
      <c r="FOB44" s="44"/>
      <c r="FOC44" s="44"/>
      <c r="FOD44" s="44"/>
      <c r="FOE44" s="44"/>
      <c r="FOF44" s="44"/>
      <c r="FOG44" s="44"/>
      <c r="FOH44" s="44"/>
      <c r="FOI44" s="44"/>
      <c r="FOJ44" s="44"/>
      <c r="FOK44" s="44"/>
      <c r="FOL44" s="44"/>
      <c r="FOM44" s="44"/>
      <c r="FON44" s="44"/>
      <c r="FOO44" s="44"/>
      <c r="FOP44" s="44"/>
      <c r="FOQ44" s="44"/>
      <c r="FOR44" s="44"/>
      <c r="FOS44" s="44"/>
      <c r="FOT44" s="44"/>
      <c r="FOU44" s="44"/>
      <c r="FOV44" s="44"/>
      <c r="FOW44" s="44"/>
      <c r="FOX44" s="44"/>
      <c r="FOY44" s="44"/>
      <c r="FOZ44" s="44"/>
      <c r="FPA44" s="44"/>
      <c r="FPB44" s="44"/>
      <c r="FPC44" s="44"/>
      <c r="FPD44" s="44"/>
      <c r="FPE44" s="44"/>
      <c r="FPF44" s="44"/>
      <c r="FPG44" s="44"/>
      <c r="FPH44" s="44"/>
      <c r="FPI44" s="44"/>
      <c r="FPJ44" s="44"/>
      <c r="FPK44" s="44"/>
      <c r="FPL44" s="44"/>
      <c r="FPM44" s="44"/>
      <c r="FPN44" s="44"/>
      <c r="FPO44" s="44"/>
      <c r="FPP44" s="44"/>
      <c r="FPQ44" s="44"/>
      <c r="FPR44" s="44"/>
      <c r="FPS44" s="44"/>
      <c r="FPT44" s="44"/>
      <c r="FPU44" s="44"/>
      <c r="FPV44" s="44"/>
      <c r="FPW44" s="44"/>
      <c r="FPX44" s="44"/>
      <c r="FPY44" s="44"/>
      <c r="FPZ44" s="44"/>
      <c r="FQA44" s="44"/>
      <c r="FQB44" s="44"/>
      <c r="FQC44" s="44"/>
      <c r="FQD44" s="44"/>
      <c r="FQE44" s="44"/>
      <c r="FQF44" s="44"/>
      <c r="FQG44" s="44"/>
      <c r="FQH44" s="44"/>
      <c r="FQI44" s="44"/>
      <c r="FQJ44" s="44"/>
      <c r="FQK44" s="44"/>
      <c r="FQL44" s="44"/>
      <c r="FQM44" s="44"/>
      <c r="FQN44" s="44"/>
      <c r="FQO44" s="44"/>
      <c r="FQP44" s="44"/>
      <c r="FQQ44" s="44"/>
      <c r="FQR44" s="44"/>
      <c r="FQS44" s="44"/>
      <c r="FQT44" s="44"/>
      <c r="FQU44" s="44"/>
      <c r="FQV44" s="44"/>
      <c r="FQW44" s="44"/>
      <c r="FQX44" s="44"/>
      <c r="FQY44" s="44"/>
      <c r="FQZ44" s="44"/>
      <c r="FRA44" s="44"/>
      <c r="FRB44" s="44"/>
      <c r="FRC44" s="44"/>
      <c r="FRD44" s="44"/>
      <c r="FRE44" s="44"/>
      <c r="FRF44" s="44"/>
      <c r="FRG44" s="44"/>
      <c r="FRH44" s="44"/>
      <c r="FRI44" s="44"/>
      <c r="FRJ44" s="44"/>
      <c r="FRK44" s="44"/>
      <c r="FRL44" s="44"/>
      <c r="FRM44" s="44"/>
      <c r="FRN44" s="44"/>
      <c r="FRO44" s="44"/>
      <c r="FRP44" s="44"/>
      <c r="FRQ44" s="44"/>
      <c r="FRR44" s="44"/>
      <c r="FRS44" s="44"/>
      <c r="FRT44" s="44"/>
      <c r="FRU44" s="44"/>
      <c r="FRV44" s="44"/>
      <c r="FRW44" s="44"/>
      <c r="FRX44" s="44"/>
      <c r="FRY44" s="44"/>
      <c r="FRZ44" s="44"/>
      <c r="FSA44" s="44"/>
      <c r="FSB44" s="44"/>
      <c r="FSC44" s="44"/>
      <c r="FSD44" s="44"/>
      <c r="FSE44" s="44"/>
      <c r="FSF44" s="44"/>
      <c r="FSG44" s="44"/>
      <c r="FSH44" s="44"/>
      <c r="FSI44" s="44"/>
      <c r="FSJ44" s="44"/>
      <c r="FSK44" s="44"/>
      <c r="FSL44" s="44"/>
      <c r="FSM44" s="44"/>
      <c r="FSN44" s="44"/>
      <c r="FSO44" s="44"/>
      <c r="FSP44" s="44"/>
      <c r="FSQ44" s="44"/>
      <c r="FSR44" s="44"/>
      <c r="FSS44" s="44"/>
      <c r="FST44" s="44"/>
      <c r="FSU44" s="44"/>
      <c r="FSV44" s="44"/>
      <c r="FSW44" s="44"/>
      <c r="FSX44" s="44"/>
      <c r="FSY44" s="44"/>
      <c r="FSZ44" s="44"/>
      <c r="FTA44" s="44"/>
      <c r="FTB44" s="44"/>
      <c r="FTC44" s="44"/>
      <c r="FTD44" s="44"/>
      <c r="FTE44" s="44"/>
      <c r="FTF44" s="44"/>
      <c r="FTG44" s="44"/>
      <c r="FTH44" s="44"/>
      <c r="FTI44" s="44"/>
      <c r="FTJ44" s="44"/>
      <c r="FTK44" s="44"/>
      <c r="FTL44" s="44"/>
      <c r="FTM44" s="44"/>
      <c r="FTN44" s="44"/>
      <c r="FTO44" s="44"/>
      <c r="FTP44" s="44"/>
      <c r="FTQ44" s="44"/>
      <c r="FTR44" s="44"/>
      <c r="FTS44" s="44"/>
      <c r="FTT44" s="44"/>
      <c r="FTU44" s="44"/>
      <c r="FTV44" s="44"/>
      <c r="FTW44" s="44"/>
      <c r="FTX44" s="44"/>
      <c r="FTY44" s="44"/>
      <c r="FTZ44" s="44"/>
      <c r="FUA44" s="44"/>
      <c r="FUB44" s="44"/>
      <c r="FUC44" s="44"/>
      <c r="FUD44" s="44"/>
      <c r="FUE44" s="44"/>
      <c r="FUF44" s="44"/>
      <c r="FUG44" s="44"/>
      <c r="FUH44" s="44"/>
      <c r="FUI44" s="44"/>
      <c r="FUJ44" s="44"/>
      <c r="FUK44" s="44"/>
      <c r="FUL44" s="44"/>
      <c r="FUM44" s="44"/>
      <c r="FUN44" s="44"/>
      <c r="FUO44" s="44"/>
      <c r="FUP44" s="44"/>
      <c r="FUQ44" s="44"/>
      <c r="FUR44" s="44"/>
      <c r="FUS44" s="44"/>
      <c r="FUT44" s="44"/>
      <c r="FUU44" s="44"/>
      <c r="FUV44" s="44"/>
      <c r="FUW44" s="44"/>
      <c r="FUX44" s="44"/>
      <c r="FUY44" s="44"/>
      <c r="FUZ44" s="44"/>
      <c r="FVA44" s="44"/>
      <c r="FVB44" s="44"/>
      <c r="FVC44" s="44"/>
      <c r="FVD44" s="44"/>
      <c r="FVE44" s="44"/>
      <c r="FVF44" s="44"/>
      <c r="FVG44" s="44"/>
      <c r="FVH44" s="44"/>
      <c r="FVI44" s="44"/>
      <c r="FVJ44" s="44"/>
      <c r="FVK44" s="44"/>
      <c r="FVL44" s="44"/>
      <c r="FVM44" s="44"/>
      <c r="FVN44" s="44"/>
      <c r="FVO44" s="44"/>
      <c r="FVP44" s="44"/>
      <c r="FVQ44" s="44"/>
      <c r="FVR44" s="44"/>
      <c r="FVS44" s="44"/>
      <c r="FVT44" s="44"/>
      <c r="FVU44" s="44"/>
      <c r="FVV44" s="44"/>
      <c r="FVW44" s="44"/>
      <c r="FVX44" s="44"/>
      <c r="FVY44" s="44"/>
      <c r="FVZ44" s="44"/>
      <c r="FWA44" s="44"/>
      <c r="FWB44" s="44"/>
      <c r="FWC44" s="44"/>
      <c r="FWD44" s="44"/>
      <c r="FWE44" s="44"/>
      <c r="FWF44" s="44"/>
      <c r="FWG44" s="44"/>
      <c r="FWH44" s="44"/>
      <c r="FWI44" s="44"/>
      <c r="FWJ44" s="44"/>
      <c r="FWK44" s="44"/>
      <c r="FWL44" s="44"/>
      <c r="FWM44" s="44"/>
      <c r="FWN44" s="44"/>
      <c r="FWO44" s="44"/>
      <c r="FWP44" s="44"/>
      <c r="FWQ44" s="44"/>
      <c r="FWR44" s="44"/>
      <c r="FWS44" s="44"/>
      <c r="FWT44" s="44"/>
      <c r="FWU44" s="44"/>
      <c r="FWV44" s="44"/>
      <c r="FWW44" s="44"/>
      <c r="FWX44" s="44"/>
      <c r="FWY44" s="44"/>
      <c r="FWZ44" s="44"/>
      <c r="FXA44" s="44"/>
      <c r="FXB44" s="44"/>
      <c r="FXC44" s="44"/>
      <c r="FXD44" s="44"/>
      <c r="FXE44" s="44"/>
      <c r="FXF44" s="44"/>
      <c r="FXG44" s="44"/>
      <c r="FXH44" s="44"/>
      <c r="FXI44" s="44"/>
      <c r="FXJ44" s="44"/>
      <c r="FXK44" s="44"/>
      <c r="FXL44" s="44"/>
      <c r="FXM44" s="44"/>
      <c r="FXN44" s="44"/>
      <c r="FXO44" s="44"/>
      <c r="FXP44" s="44"/>
      <c r="FXQ44" s="44"/>
      <c r="FXR44" s="44"/>
      <c r="FXS44" s="44"/>
      <c r="FXT44" s="44"/>
      <c r="FXU44" s="44"/>
      <c r="FXV44" s="44"/>
      <c r="FXW44" s="44"/>
      <c r="FXX44" s="44"/>
      <c r="FXY44" s="44"/>
      <c r="FXZ44" s="44"/>
      <c r="FYA44" s="44"/>
      <c r="FYB44" s="44"/>
      <c r="FYC44" s="44"/>
      <c r="FYD44" s="44"/>
      <c r="FYE44" s="44"/>
      <c r="FYF44" s="44"/>
      <c r="FYG44" s="44"/>
      <c r="FYH44" s="44"/>
      <c r="FYI44" s="44"/>
      <c r="FYJ44" s="44"/>
      <c r="FYK44" s="44"/>
      <c r="FYL44" s="44"/>
      <c r="FYM44" s="44"/>
      <c r="FYN44" s="44"/>
      <c r="FYO44" s="44"/>
      <c r="FYP44" s="44"/>
      <c r="FYQ44" s="44"/>
      <c r="FYR44" s="44"/>
      <c r="FYS44" s="44"/>
      <c r="FYT44" s="44"/>
      <c r="FYU44" s="44"/>
      <c r="FYV44" s="44"/>
      <c r="FYW44" s="44"/>
      <c r="FYX44" s="44"/>
      <c r="FYY44" s="44"/>
      <c r="FYZ44" s="44"/>
      <c r="FZA44" s="44"/>
      <c r="FZB44" s="44"/>
      <c r="FZC44" s="44"/>
      <c r="FZD44" s="44"/>
      <c r="FZE44" s="44"/>
      <c r="FZF44" s="44"/>
      <c r="FZG44" s="44"/>
      <c r="FZH44" s="44"/>
      <c r="FZI44" s="44"/>
      <c r="FZJ44" s="44"/>
      <c r="FZK44" s="44"/>
      <c r="FZL44" s="44"/>
      <c r="FZM44" s="44"/>
      <c r="FZN44" s="44"/>
      <c r="FZO44" s="44"/>
      <c r="FZP44" s="44"/>
      <c r="FZQ44" s="44"/>
      <c r="FZR44" s="44"/>
      <c r="FZS44" s="44"/>
      <c r="FZT44" s="44"/>
      <c r="FZU44" s="44"/>
      <c r="FZV44" s="44"/>
      <c r="FZW44" s="44"/>
      <c r="FZX44" s="44"/>
      <c r="FZY44" s="44"/>
      <c r="FZZ44" s="44"/>
      <c r="GAA44" s="44"/>
      <c r="GAB44" s="44"/>
      <c r="GAC44" s="44"/>
      <c r="GAD44" s="44"/>
      <c r="GAE44" s="44"/>
      <c r="GAF44" s="44"/>
      <c r="GAG44" s="44"/>
      <c r="GAH44" s="44"/>
      <c r="GAI44" s="44"/>
      <c r="GAJ44" s="44"/>
      <c r="GAK44" s="44"/>
      <c r="GAL44" s="44"/>
      <c r="GAM44" s="44"/>
      <c r="GAN44" s="44"/>
      <c r="GAO44" s="44"/>
      <c r="GAP44" s="44"/>
      <c r="GAQ44" s="44"/>
      <c r="GAR44" s="44"/>
      <c r="GAS44" s="44"/>
      <c r="GAT44" s="44"/>
      <c r="GAU44" s="44"/>
      <c r="GAV44" s="44"/>
      <c r="GAW44" s="44"/>
      <c r="GAX44" s="44"/>
      <c r="GAY44" s="44"/>
      <c r="GAZ44" s="44"/>
      <c r="GBA44" s="44"/>
      <c r="GBB44" s="44"/>
      <c r="GBC44" s="44"/>
      <c r="GBD44" s="44"/>
      <c r="GBE44" s="44"/>
      <c r="GBF44" s="44"/>
      <c r="GBG44" s="44"/>
      <c r="GBH44" s="44"/>
      <c r="GBI44" s="44"/>
      <c r="GBJ44" s="44"/>
      <c r="GBK44" s="44"/>
      <c r="GBL44" s="44"/>
      <c r="GBM44" s="44"/>
      <c r="GBN44" s="44"/>
      <c r="GBO44" s="44"/>
      <c r="GBP44" s="44"/>
      <c r="GBQ44" s="44"/>
      <c r="GBR44" s="44"/>
      <c r="GBS44" s="44"/>
      <c r="GBT44" s="44"/>
      <c r="GBU44" s="44"/>
      <c r="GBV44" s="44"/>
      <c r="GBW44" s="44"/>
      <c r="GBX44" s="44"/>
      <c r="GBY44" s="44"/>
      <c r="GBZ44" s="44"/>
      <c r="GCA44" s="44"/>
      <c r="GCB44" s="44"/>
      <c r="GCC44" s="44"/>
      <c r="GCD44" s="44"/>
      <c r="GCE44" s="44"/>
      <c r="GCF44" s="44"/>
      <c r="GCG44" s="44"/>
      <c r="GCH44" s="44"/>
      <c r="GCI44" s="44"/>
      <c r="GCJ44" s="44"/>
      <c r="GCK44" s="44"/>
      <c r="GCL44" s="44"/>
      <c r="GCM44" s="44"/>
      <c r="GCN44" s="44"/>
      <c r="GCO44" s="44"/>
      <c r="GCP44" s="44"/>
      <c r="GCQ44" s="44"/>
      <c r="GCR44" s="44"/>
      <c r="GCS44" s="44"/>
      <c r="GCT44" s="44"/>
      <c r="GCU44" s="44"/>
      <c r="GCV44" s="44"/>
      <c r="GCW44" s="44"/>
      <c r="GCX44" s="44"/>
      <c r="GCY44" s="44"/>
      <c r="GCZ44" s="44"/>
      <c r="GDA44" s="44"/>
      <c r="GDB44" s="44"/>
      <c r="GDC44" s="44"/>
      <c r="GDD44" s="44"/>
      <c r="GDE44" s="44"/>
      <c r="GDF44" s="44"/>
      <c r="GDG44" s="44"/>
      <c r="GDH44" s="44"/>
      <c r="GDI44" s="44"/>
      <c r="GDJ44" s="44"/>
      <c r="GDK44" s="44"/>
      <c r="GDL44" s="44"/>
      <c r="GDM44" s="44"/>
      <c r="GDN44" s="44"/>
      <c r="GDO44" s="44"/>
      <c r="GDP44" s="44"/>
      <c r="GDQ44" s="44"/>
      <c r="GDR44" s="44"/>
      <c r="GDS44" s="44"/>
      <c r="GDT44" s="44"/>
      <c r="GDU44" s="44"/>
      <c r="GDV44" s="44"/>
      <c r="GDW44" s="44"/>
      <c r="GDX44" s="44"/>
      <c r="GDY44" s="44"/>
      <c r="GDZ44" s="44"/>
      <c r="GEA44" s="44"/>
      <c r="GEB44" s="44"/>
      <c r="GEC44" s="44"/>
      <c r="GED44" s="44"/>
      <c r="GEE44" s="44"/>
      <c r="GEF44" s="44"/>
      <c r="GEG44" s="44"/>
      <c r="GEH44" s="44"/>
      <c r="GEI44" s="44"/>
      <c r="GEJ44" s="44"/>
      <c r="GEK44" s="44"/>
      <c r="GEL44" s="44"/>
      <c r="GEM44" s="44"/>
      <c r="GEN44" s="44"/>
      <c r="GEO44" s="44"/>
      <c r="GEP44" s="44"/>
      <c r="GEQ44" s="44"/>
      <c r="GER44" s="44"/>
      <c r="GES44" s="44"/>
      <c r="GET44" s="44"/>
      <c r="GEU44" s="44"/>
      <c r="GEV44" s="44"/>
      <c r="GEW44" s="44"/>
      <c r="GEX44" s="44"/>
      <c r="GEY44" s="44"/>
      <c r="GEZ44" s="44"/>
      <c r="GFA44" s="44"/>
      <c r="GFB44" s="44"/>
      <c r="GFC44" s="44"/>
      <c r="GFD44" s="44"/>
      <c r="GFE44" s="44"/>
      <c r="GFF44" s="44"/>
      <c r="GFG44" s="44"/>
      <c r="GFH44" s="44"/>
      <c r="GFI44" s="44"/>
      <c r="GFJ44" s="44"/>
      <c r="GFK44" s="44"/>
      <c r="GFL44" s="44"/>
      <c r="GFM44" s="44"/>
      <c r="GFN44" s="44"/>
      <c r="GFO44" s="44"/>
      <c r="GFP44" s="44"/>
      <c r="GFQ44" s="44"/>
      <c r="GFR44" s="44"/>
      <c r="GFS44" s="44"/>
      <c r="GFT44" s="44"/>
      <c r="GFU44" s="44"/>
      <c r="GFV44" s="44"/>
      <c r="GFW44" s="44"/>
      <c r="GFX44" s="44"/>
      <c r="GFY44" s="44"/>
      <c r="GFZ44" s="44"/>
      <c r="GGA44" s="44"/>
      <c r="GGB44" s="44"/>
      <c r="GGC44" s="44"/>
      <c r="GGD44" s="44"/>
      <c r="GGE44" s="44"/>
      <c r="GGF44" s="44"/>
      <c r="GGG44" s="44"/>
      <c r="GGH44" s="44"/>
      <c r="GGI44" s="44"/>
      <c r="GGJ44" s="44"/>
      <c r="GGK44" s="44"/>
      <c r="GGL44" s="44"/>
      <c r="GGM44" s="44"/>
      <c r="GGN44" s="44"/>
      <c r="GGO44" s="44"/>
      <c r="GGP44" s="44"/>
      <c r="GGQ44" s="44"/>
      <c r="GGR44" s="44"/>
      <c r="GGS44" s="44"/>
      <c r="GGT44" s="44"/>
      <c r="GGU44" s="44"/>
      <c r="GGV44" s="44"/>
      <c r="GGW44" s="44"/>
      <c r="GGX44" s="44"/>
      <c r="GGY44" s="44"/>
      <c r="GGZ44" s="44"/>
      <c r="GHA44" s="44"/>
      <c r="GHB44" s="44"/>
      <c r="GHC44" s="44"/>
      <c r="GHD44" s="44"/>
      <c r="GHE44" s="44"/>
      <c r="GHF44" s="44"/>
      <c r="GHG44" s="44"/>
      <c r="GHH44" s="44"/>
      <c r="GHI44" s="44"/>
      <c r="GHJ44" s="44"/>
      <c r="GHK44" s="44"/>
      <c r="GHL44" s="44"/>
      <c r="GHM44" s="44"/>
      <c r="GHN44" s="44"/>
      <c r="GHO44" s="44"/>
      <c r="GHP44" s="44"/>
      <c r="GHQ44" s="44"/>
      <c r="GHR44" s="44"/>
      <c r="GHS44" s="44"/>
      <c r="GHT44" s="44"/>
      <c r="GHU44" s="44"/>
      <c r="GHV44" s="44"/>
      <c r="GHW44" s="44"/>
      <c r="GHX44" s="44"/>
      <c r="GHY44" s="44"/>
      <c r="GHZ44" s="44"/>
      <c r="GIA44" s="44"/>
      <c r="GIB44" s="44"/>
      <c r="GIC44" s="44"/>
      <c r="GID44" s="44"/>
      <c r="GIE44" s="44"/>
      <c r="GIF44" s="44"/>
      <c r="GIG44" s="44"/>
      <c r="GIH44" s="44"/>
      <c r="GII44" s="44"/>
      <c r="GIJ44" s="44"/>
      <c r="GIK44" s="44"/>
      <c r="GIL44" s="44"/>
      <c r="GIM44" s="44"/>
      <c r="GIN44" s="44"/>
      <c r="GIO44" s="44"/>
      <c r="GIP44" s="44"/>
      <c r="GIQ44" s="44"/>
      <c r="GIR44" s="44"/>
      <c r="GIS44" s="44"/>
      <c r="GIT44" s="44"/>
      <c r="GIU44" s="44"/>
      <c r="GIV44" s="44"/>
      <c r="GIW44" s="44"/>
      <c r="GIX44" s="44"/>
      <c r="GIY44" s="44"/>
      <c r="GIZ44" s="44"/>
      <c r="GJA44" s="44"/>
      <c r="GJB44" s="44"/>
      <c r="GJC44" s="44"/>
      <c r="GJD44" s="44"/>
      <c r="GJE44" s="44"/>
      <c r="GJF44" s="44"/>
      <c r="GJG44" s="44"/>
      <c r="GJH44" s="44"/>
      <c r="GJI44" s="44"/>
      <c r="GJJ44" s="44"/>
      <c r="GJK44" s="44"/>
      <c r="GJL44" s="44"/>
      <c r="GJM44" s="44"/>
      <c r="GJN44" s="44"/>
      <c r="GJO44" s="44"/>
      <c r="GJP44" s="44"/>
      <c r="GJQ44" s="44"/>
      <c r="GJR44" s="44"/>
      <c r="GJS44" s="44"/>
      <c r="GJT44" s="44"/>
      <c r="GJU44" s="44"/>
      <c r="GJV44" s="44"/>
      <c r="GJW44" s="44"/>
      <c r="GJX44" s="44"/>
      <c r="GJY44" s="44"/>
      <c r="GJZ44" s="44"/>
      <c r="GKA44" s="44"/>
      <c r="GKB44" s="44"/>
      <c r="GKC44" s="44"/>
      <c r="GKD44" s="44"/>
      <c r="GKE44" s="44"/>
      <c r="GKF44" s="44"/>
      <c r="GKG44" s="44"/>
      <c r="GKH44" s="44"/>
      <c r="GKI44" s="44"/>
      <c r="GKJ44" s="44"/>
      <c r="GKK44" s="44"/>
      <c r="GKL44" s="44"/>
      <c r="GKM44" s="44"/>
      <c r="GKN44" s="44"/>
      <c r="GKO44" s="44"/>
      <c r="GKP44" s="44"/>
      <c r="GKQ44" s="44"/>
      <c r="GKR44" s="44"/>
      <c r="GKS44" s="44"/>
      <c r="GKT44" s="44"/>
      <c r="GKU44" s="44"/>
      <c r="GKV44" s="44"/>
      <c r="GKW44" s="44"/>
      <c r="GKX44" s="44"/>
      <c r="GKY44" s="44"/>
      <c r="GKZ44" s="44"/>
      <c r="GLA44" s="44"/>
      <c r="GLB44" s="44"/>
      <c r="GLC44" s="44"/>
      <c r="GLD44" s="44"/>
      <c r="GLE44" s="44"/>
      <c r="GLF44" s="44"/>
      <c r="GLG44" s="44"/>
      <c r="GLH44" s="44"/>
      <c r="GLI44" s="44"/>
      <c r="GLJ44" s="44"/>
      <c r="GLK44" s="44"/>
      <c r="GLL44" s="44"/>
      <c r="GLM44" s="44"/>
      <c r="GLN44" s="44"/>
      <c r="GLO44" s="44"/>
      <c r="GLP44" s="44"/>
      <c r="GLQ44" s="44"/>
      <c r="GLR44" s="44"/>
      <c r="GLS44" s="44"/>
      <c r="GLT44" s="44"/>
      <c r="GLU44" s="44"/>
      <c r="GLV44" s="44"/>
      <c r="GLW44" s="44"/>
      <c r="GLX44" s="44"/>
      <c r="GLY44" s="44"/>
      <c r="GLZ44" s="44"/>
      <c r="GMA44" s="44"/>
      <c r="GMB44" s="44"/>
      <c r="GMC44" s="44"/>
      <c r="GMD44" s="44"/>
      <c r="GME44" s="44"/>
      <c r="GMF44" s="44"/>
      <c r="GMG44" s="44"/>
      <c r="GMH44" s="44"/>
      <c r="GMI44" s="44"/>
      <c r="GMJ44" s="44"/>
      <c r="GMK44" s="44"/>
      <c r="GML44" s="44"/>
      <c r="GMM44" s="44"/>
      <c r="GMN44" s="44"/>
      <c r="GMO44" s="44"/>
      <c r="GMP44" s="44"/>
      <c r="GMQ44" s="44"/>
      <c r="GMR44" s="44"/>
      <c r="GMS44" s="44"/>
      <c r="GMT44" s="44"/>
      <c r="GMU44" s="44"/>
      <c r="GMV44" s="44"/>
      <c r="GMW44" s="44"/>
      <c r="GMX44" s="44"/>
      <c r="GMY44" s="44"/>
      <c r="GMZ44" s="44"/>
      <c r="GNA44" s="44"/>
      <c r="GNB44" s="44"/>
      <c r="GNC44" s="44"/>
      <c r="GND44" s="44"/>
      <c r="GNE44" s="44"/>
      <c r="GNF44" s="44"/>
      <c r="GNG44" s="44"/>
      <c r="GNH44" s="44"/>
      <c r="GNI44" s="44"/>
      <c r="GNJ44" s="44"/>
      <c r="GNK44" s="44"/>
      <c r="GNL44" s="44"/>
      <c r="GNM44" s="44"/>
      <c r="GNN44" s="44"/>
      <c r="GNO44" s="44"/>
      <c r="GNP44" s="44"/>
      <c r="GNQ44" s="44"/>
      <c r="GNR44" s="44"/>
      <c r="GNS44" s="44"/>
      <c r="GNT44" s="44"/>
      <c r="GNU44" s="44"/>
      <c r="GNV44" s="44"/>
      <c r="GNW44" s="44"/>
      <c r="GNX44" s="44"/>
      <c r="GNY44" s="44"/>
      <c r="GNZ44" s="44"/>
      <c r="GOA44" s="44"/>
      <c r="GOB44" s="44"/>
      <c r="GOC44" s="44"/>
      <c r="GOD44" s="44"/>
      <c r="GOE44" s="44"/>
      <c r="GOF44" s="44"/>
      <c r="GOG44" s="44"/>
      <c r="GOH44" s="44"/>
      <c r="GOI44" s="44"/>
      <c r="GOJ44" s="44"/>
      <c r="GOK44" s="44"/>
      <c r="GOL44" s="44"/>
      <c r="GOM44" s="44"/>
      <c r="GON44" s="44"/>
      <c r="GOO44" s="44"/>
      <c r="GOP44" s="44"/>
      <c r="GOQ44" s="44"/>
      <c r="GOR44" s="44"/>
      <c r="GOS44" s="44"/>
      <c r="GOT44" s="44"/>
      <c r="GOU44" s="44"/>
      <c r="GOV44" s="44"/>
      <c r="GOW44" s="44"/>
      <c r="GOX44" s="44"/>
      <c r="GOY44" s="44"/>
      <c r="GOZ44" s="44"/>
      <c r="GPA44" s="44"/>
      <c r="GPB44" s="44"/>
      <c r="GPC44" s="44"/>
      <c r="GPD44" s="44"/>
      <c r="GPE44" s="44"/>
      <c r="GPF44" s="44"/>
      <c r="GPG44" s="44"/>
      <c r="GPH44" s="44"/>
      <c r="GPI44" s="44"/>
      <c r="GPJ44" s="44"/>
      <c r="GPK44" s="44"/>
      <c r="GPL44" s="44"/>
      <c r="GPM44" s="44"/>
      <c r="GPN44" s="44"/>
      <c r="GPO44" s="44"/>
      <c r="GPP44" s="44"/>
      <c r="GPQ44" s="44"/>
      <c r="GPR44" s="44"/>
      <c r="GPS44" s="44"/>
      <c r="GPT44" s="44"/>
      <c r="GPU44" s="44"/>
      <c r="GPV44" s="44"/>
      <c r="GPW44" s="44"/>
      <c r="GPX44" s="44"/>
      <c r="GPY44" s="44"/>
      <c r="GPZ44" s="44"/>
      <c r="GQA44" s="44"/>
      <c r="GQB44" s="44"/>
      <c r="GQC44" s="44"/>
      <c r="GQD44" s="44"/>
      <c r="GQE44" s="44"/>
      <c r="GQF44" s="44"/>
      <c r="GQG44" s="44"/>
      <c r="GQH44" s="44"/>
      <c r="GQI44" s="44"/>
      <c r="GQJ44" s="44"/>
      <c r="GQK44" s="44"/>
      <c r="GQL44" s="44"/>
      <c r="GQM44" s="44"/>
      <c r="GQN44" s="44"/>
      <c r="GQO44" s="44"/>
      <c r="GQP44" s="44"/>
      <c r="GQQ44" s="44"/>
      <c r="GQR44" s="44"/>
      <c r="GQS44" s="44"/>
      <c r="GQT44" s="44"/>
      <c r="GQU44" s="44"/>
      <c r="GQV44" s="44"/>
      <c r="GQW44" s="44"/>
      <c r="GQX44" s="44"/>
      <c r="GQY44" s="44"/>
      <c r="GQZ44" s="44"/>
      <c r="GRA44" s="44"/>
      <c r="GRB44" s="44"/>
      <c r="GRC44" s="44"/>
      <c r="GRD44" s="44"/>
      <c r="GRE44" s="44"/>
      <c r="GRF44" s="44"/>
      <c r="GRG44" s="44"/>
      <c r="GRH44" s="44"/>
      <c r="GRI44" s="44"/>
      <c r="GRJ44" s="44"/>
      <c r="GRK44" s="44"/>
      <c r="GRL44" s="44"/>
      <c r="GRM44" s="44"/>
      <c r="GRN44" s="44"/>
      <c r="GRO44" s="44"/>
      <c r="GRP44" s="44"/>
      <c r="GRQ44" s="44"/>
      <c r="GRR44" s="44"/>
      <c r="GRS44" s="44"/>
      <c r="GRT44" s="44"/>
      <c r="GRU44" s="44"/>
      <c r="GRV44" s="44"/>
      <c r="GRW44" s="44"/>
      <c r="GRX44" s="44"/>
      <c r="GRY44" s="44"/>
      <c r="GRZ44" s="44"/>
      <c r="GSA44" s="44"/>
      <c r="GSB44" s="44"/>
      <c r="GSC44" s="44"/>
      <c r="GSD44" s="44"/>
      <c r="GSE44" s="44"/>
      <c r="GSF44" s="44"/>
      <c r="GSG44" s="44"/>
      <c r="GSH44" s="44"/>
      <c r="GSI44" s="44"/>
      <c r="GSJ44" s="44"/>
      <c r="GSK44" s="44"/>
      <c r="GSL44" s="44"/>
      <c r="GSM44" s="44"/>
      <c r="GSN44" s="44"/>
      <c r="GSO44" s="44"/>
      <c r="GSP44" s="44"/>
      <c r="GSQ44" s="44"/>
      <c r="GSR44" s="44"/>
      <c r="GSS44" s="44"/>
      <c r="GST44" s="44"/>
      <c r="GSU44" s="44"/>
      <c r="GSV44" s="44"/>
      <c r="GSW44" s="44"/>
      <c r="GSX44" s="44"/>
      <c r="GSY44" s="44"/>
      <c r="GSZ44" s="44"/>
      <c r="GTA44" s="44"/>
      <c r="GTB44" s="44"/>
      <c r="GTC44" s="44"/>
      <c r="GTD44" s="44"/>
      <c r="GTE44" s="44"/>
      <c r="GTF44" s="44"/>
      <c r="GTG44" s="44"/>
      <c r="GTH44" s="44"/>
      <c r="GTI44" s="44"/>
      <c r="GTJ44" s="44"/>
      <c r="GTK44" s="44"/>
      <c r="GTL44" s="44"/>
      <c r="GTM44" s="44"/>
      <c r="GTN44" s="44"/>
      <c r="GTO44" s="44"/>
      <c r="GTP44" s="44"/>
      <c r="GTQ44" s="44"/>
      <c r="GTR44" s="44"/>
      <c r="GTS44" s="44"/>
      <c r="GTT44" s="44"/>
      <c r="GTU44" s="44"/>
      <c r="GTV44" s="44"/>
      <c r="GTW44" s="44"/>
      <c r="GTX44" s="44"/>
      <c r="GTY44" s="44"/>
      <c r="GTZ44" s="44"/>
      <c r="GUA44" s="44"/>
      <c r="GUB44" s="44"/>
      <c r="GUC44" s="44"/>
      <c r="GUD44" s="44"/>
      <c r="GUE44" s="44"/>
      <c r="GUF44" s="44"/>
      <c r="GUG44" s="44"/>
      <c r="GUH44" s="44"/>
      <c r="GUI44" s="44"/>
      <c r="GUJ44" s="44"/>
      <c r="GUK44" s="44"/>
      <c r="GUL44" s="44"/>
      <c r="GUM44" s="44"/>
      <c r="GUN44" s="44"/>
      <c r="GUO44" s="44"/>
      <c r="GUP44" s="44"/>
      <c r="GUQ44" s="44"/>
      <c r="GUR44" s="44"/>
      <c r="GUS44" s="44"/>
      <c r="GUT44" s="44"/>
      <c r="GUU44" s="44"/>
      <c r="GUV44" s="44"/>
      <c r="GUW44" s="44"/>
      <c r="GUX44" s="44"/>
      <c r="GUY44" s="44"/>
      <c r="GUZ44" s="44"/>
      <c r="GVA44" s="44"/>
      <c r="GVB44" s="44"/>
      <c r="GVC44" s="44"/>
      <c r="GVD44" s="44"/>
      <c r="GVE44" s="44"/>
      <c r="GVF44" s="44"/>
      <c r="GVG44" s="44"/>
      <c r="GVH44" s="44"/>
      <c r="GVI44" s="44"/>
      <c r="GVJ44" s="44"/>
      <c r="GVK44" s="44"/>
      <c r="GVL44" s="44"/>
      <c r="GVM44" s="44"/>
      <c r="GVN44" s="44"/>
      <c r="GVO44" s="44"/>
      <c r="GVP44" s="44"/>
      <c r="GVQ44" s="44"/>
      <c r="GVR44" s="44"/>
      <c r="GVS44" s="44"/>
      <c r="GVT44" s="44"/>
      <c r="GVU44" s="44"/>
      <c r="GVV44" s="44"/>
      <c r="GVW44" s="44"/>
      <c r="GVX44" s="44"/>
      <c r="GVY44" s="44"/>
      <c r="GVZ44" s="44"/>
      <c r="GWA44" s="44"/>
      <c r="GWB44" s="44"/>
      <c r="GWC44" s="44"/>
      <c r="GWD44" s="44"/>
      <c r="GWE44" s="44"/>
      <c r="GWF44" s="44"/>
      <c r="GWG44" s="44"/>
      <c r="GWH44" s="44"/>
      <c r="GWI44" s="44"/>
      <c r="GWJ44" s="44"/>
      <c r="GWK44" s="44"/>
      <c r="GWL44" s="44"/>
      <c r="GWM44" s="44"/>
      <c r="GWN44" s="44"/>
      <c r="GWO44" s="44"/>
      <c r="GWP44" s="44"/>
      <c r="GWQ44" s="44"/>
      <c r="GWR44" s="44"/>
      <c r="GWS44" s="44"/>
      <c r="GWT44" s="44"/>
      <c r="GWU44" s="44"/>
      <c r="GWV44" s="44"/>
      <c r="GWW44" s="44"/>
      <c r="GWX44" s="44"/>
      <c r="GWY44" s="44"/>
      <c r="GWZ44" s="44"/>
      <c r="GXA44" s="44"/>
      <c r="GXB44" s="44"/>
      <c r="GXC44" s="44"/>
      <c r="GXD44" s="44"/>
      <c r="GXE44" s="44"/>
      <c r="GXF44" s="44"/>
      <c r="GXG44" s="44"/>
      <c r="GXH44" s="44"/>
      <c r="GXI44" s="44"/>
      <c r="GXJ44" s="44"/>
      <c r="GXK44" s="44"/>
      <c r="GXL44" s="44"/>
      <c r="GXM44" s="44"/>
      <c r="GXN44" s="44"/>
      <c r="GXO44" s="44"/>
      <c r="GXP44" s="44"/>
      <c r="GXQ44" s="44"/>
      <c r="GXR44" s="44"/>
      <c r="GXS44" s="44"/>
      <c r="GXT44" s="44"/>
      <c r="GXU44" s="44"/>
      <c r="GXV44" s="44"/>
      <c r="GXW44" s="44"/>
      <c r="GXX44" s="44"/>
      <c r="GXY44" s="44"/>
      <c r="GXZ44" s="44"/>
      <c r="GYA44" s="44"/>
      <c r="GYB44" s="44"/>
      <c r="GYC44" s="44"/>
      <c r="GYD44" s="44"/>
      <c r="GYE44" s="44"/>
      <c r="GYF44" s="44"/>
      <c r="GYG44" s="44"/>
      <c r="GYH44" s="44"/>
      <c r="GYI44" s="44"/>
      <c r="GYJ44" s="44"/>
      <c r="GYK44" s="44"/>
      <c r="GYL44" s="44"/>
      <c r="GYM44" s="44"/>
      <c r="GYN44" s="44"/>
      <c r="GYO44" s="44"/>
      <c r="GYP44" s="44"/>
      <c r="GYQ44" s="44"/>
      <c r="GYR44" s="44"/>
      <c r="GYS44" s="44"/>
      <c r="GYT44" s="44"/>
      <c r="GYU44" s="44"/>
      <c r="GYV44" s="44"/>
      <c r="GYW44" s="44"/>
      <c r="GYX44" s="44"/>
      <c r="GYY44" s="44"/>
      <c r="GYZ44" s="44"/>
      <c r="GZA44" s="44"/>
      <c r="GZB44" s="44"/>
      <c r="GZC44" s="44"/>
      <c r="GZD44" s="44"/>
      <c r="GZE44" s="44"/>
      <c r="GZF44" s="44"/>
      <c r="GZG44" s="44"/>
      <c r="GZH44" s="44"/>
      <c r="GZI44" s="44"/>
      <c r="GZJ44" s="44"/>
      <c r="GZK44" s="44"/>
      <c r="GZL44" s="44"/>
      <c r="GZM44" s="44"/>
      <c r="GZN44" s="44"/>
      <c r="GZO44" s="44"/>
      <c r="GZP44" s="44"/>
      <c r="GZQ44" s="44"/>
      <c r="GZR44" s="44"/>
      <c r="GZS44" s="44"/>
      <c r="GZT44" s="44"/>
      <c r="GZU44" s="44"/>
      <c r="GZV44" s="44"/>
      <c r="GZW44" s="44"/>
      <c r="GZX44" s="44"/>
      <c r="GZY44" s="44"/>
      <c r="GZZ44" s="44"/>
      <c r="HAA44" s="44"/>
      <c r="HAB44" s="44"/>
      <c r="HAC44" s="44"/>
      <c r="HAD44" s="44"/>
      <c r="HAE44" s="44"/>
      <c r="HAF44" s="44"/>
      <c r="HAG44" s="44"/>
      <c r="HAH44" s="44"/>
      <c r="HAI44" s="44"/>
      <c r="HAJ44" s="44"/>
      <c r="HAK44" s="44"/>
      <c r="HAL44" s="44"/>
      <c r="HAM44" s="44"/>
      <c r="HAN44" s="44"/>
      <c r="HAO44" s="44"/>
      <c r="HAP44" s="44"/>
      <c r="HAQ44" s="44"/>
      <c r="HAR44" s="44"/>
      <c r="HAS44" s="44"/>
      <c r="HAT44" s="44"/>
      <c r="HAU44" s="44"/>
      <c r="HAV44" s="44"/>
      <c r="HAW44" s="44"/>
      <c r="HAX44" s="44"/>
      <c r="HAY44" s="44"/>
      <c r="HAZ44" s="44"/>
      <c r="HBA44" s="44"/>
      <c r="HBB44" s="44"/>
      <c r="HBC44" s="44"/>
      <c r="HBD44" s="44"/>
      <c r="HBE44" s="44"/>
      <c r="HBF44" s="44"/>
      <c r="HBG44" s="44"/>
      <c r="HBH44" s="44"/>
      <c r="HBI44" s="44"/>
      <c r="HBJ44" s="44"/>
      <c r="HBK44" s="44"/>
      <c r="HBL44" s="44"/>
      <c r="HBM44" s="44"/>
      <c r="HBN44" s="44"/>
      <c r="HBO44" s="44"/>
      <c r="HBP44" s="44"/>
      <c r="HBQ44" s="44"/>
      <c r="HBR44" s="44"/>
      <c r="HBS44" s="44"/>
      <c r="HBT44" s="44"/>
      <c r="HBU44" s="44"/>
      <c r="HBV44" s="44"/>
      <c r="HBW44" s="44"/>
      <c r="HBX44" s="44"/>
      <c r="HBY44" s="44"/>
      <c r="HBZ44" s="44"/>
      <c r="HCA44" s="44"/>
      <c r="HCB44" s="44"/>
      <c r="HCC44" s="44"/>
      <c r="HCD44" s="44"/>
      <c r="HCE44" s="44"/>
      <c r="HCF44" s="44"/>
      <c r="HCG44" s="44"/>
      <c r="HCH44" s="44"/>
      <c r="HCI44" s="44"/>
      <c r="HCJ44" s="44"/>
      <c r="HCK44" s="44"/>
      <c r="HCL44" s="44"/>
      <c r="HCM44" s="44"/>
      <c r="HCN44" s="44"/>
      <c r="HCO44" s="44"/>
      <c r="HCP44" s="44"/>
      <c r="HCQ44" s="44"/>
      <c r="HCR44" s="44"/>
      <c r="HCS44" s="44"/>
      <c r="HCT44" s="44"/>
      <c r="HCU44" s="44"/>
      <c r="HCV44" s="44"/>
      <c r="HCW44" s="44"/>
      <c r="HCX44" s="44"/>
      <c r="HCY44" s="44"/>
      <c r="HCZ44" s="44"/>
      <c r="HDA44" s="44"/>
      <c r="HDB44" s="44"/>
      <c r="HDC44" s="44"/>
      <c r="HDD44" s="44"/>
      <c r="HDE44" s="44"/>
      <c r="HDF44" s="44"/>
      <c r="HDG44" s="44"/>
      <c r="HDH44" s="44"/>
      <c r="HDI44" s="44"/>
      <c r="HDJ44" s="44"/>
      <c r="HDK44" s="44"/>
      <c r="HDL44" s="44"/>
      <c r="HDM44" s="44"/>
      <c r="HDN44" s="44"/>
      <c r="HDO44" s="44"/>
      <c r="HDP44" s="44"/>
      <c r="HDQ44" s="44"/>
      <c r="HDR44" s="44"/>
      <c r="HDS44" s="44"/>
      <c r="HDT44" s="44"/>
      <c r="HDU44" s="44"/>
      <c r="HDV44" s="44"/>
      <c r="HDW44" s="44"/>
      <c r="HDX44" s="44"/>
      <c r="HDY44" s="44"/>
      <c r="HDZ44" s="44"/>
      <c r="HEA44" s="44"/>
      <c r="HEB44" s="44"/>
      <c r="HEC44" s="44"/>
      <c r="HED44" s="44"/>
      <c r="HEE44" s="44"/>
      <c r="HEF44" s="44"/>
      <c r="HEG44" s="44"/>
      <c r="HEH44" s="44"/>
      <c r="HEI44" s="44"/>
      <c r="HEJ44" s="44"/>
      <c r="HEK44" s="44"/>
      <c r="HEL44" s="44"/>
      <c r="HEM44" s="44"/>
      <c r="HEN44" s="44"/>
      <c r="HEO44" s="44"/>
      <c r="HEP44" s="44"/>
      <c r="HEQ44" s="44"/>
      <c r="HER44" s="44"/>
      <c r="HES44" s="44"/>
      <c r="HET44" s="44"/>
      <c r="HEU44" s="44"/>
      <c r="HEV44" s="44"/>
      <c r="HEW44" s="44"/>
      <c r="HEX44" s="44"/>
      <c r="HEY44" s="44"/>
      <c r="HEZ44" s="44"/>
      <c r="HFA44" s="44"/>
      <c r="HFB44" s="44"/>
      <c r="HFC44" s="44"/>
      <c r="HFD44" s="44"/>
      <c r="HFE44" s="44"/>
      <c r="HFF44" s="44"/>
      <c r="HFG44" s="44"/>
      <c r="HFH44" s="44"/>
      <c r="HFI44" s="44"/>
      <c r="HFJ44" s="44"/>
      <c r="HFK44" s="44"/>
      <c r="HFL44" s="44"/>
      <c r="HFM44" s="44"/>
      <c r="HFN44" s="44"/>
      <c r="HFO44" s="44"/>
      <c r="HFP44" s="44"/>
      <c r="HFQ44" s="44"/>
      <c r="HFR44" s="44"/>
      <c r="HFS44" s="44"/>
      <c r="HFT44" s="44"/>
      <c r="HFU44" s="44"/>
      <c r="HFV44" s="44"/>
      <c r="HFW44" s="44"/>
      <c r="HFX44" s="44"/>
      <c r="HFY44" s="44"/>
      <c r="HFZ44" s="44"/>
      <c r="HGA44" s="44"/>
      <c r="HGB44" s="44"/>
      <c r="HGC44" s="44"/>
      <c r="HGD44" s="44"/>
      <c r="HGE44" s="44"/>
      <c r="HGF44" s="44"/>
      <c r="HGG44" s="44"/>
      <c r="HGH44" s="44"/>
      <c r="HGI44" s="44"/>
      <c r="HGJ44" s="44"/>
      <c r="HGK44" s="44"/>
      <c r="HGL44" s="44"/>
      <c r="HGM44" s="44"/>
      <c r="HGN44" s="44"/>
      <c r="HGO44" s="44"/>
      <c r="HGP44" s="44"/>
      <c r="HGQ44" s="44"/>
      <c r="HGR44" s="44"/>
      <c r="HGS44" s="44"/>
      <c r="HGT44" s="44"/>
      <c r="HGU44" s="44"/>
      <c r="HGV44" s="44"/>
      <c r="HGW44" s="44"/>
      <c r="HGX44" s="44"/>
      <c r="HGY44" s="44"/>
      <c r="HGZ44" s="44"/>
      <c r="HHA44" s="44"/>
      <c r="HHB44" s="44"/>
      <c r="HHC44" s="44"/>
      <c r="HHD44" s="44"/>
      <c r="HHE44" s="44"/>
      <c r="HHF44" s="44"/>
      <c r="HHG44" s="44"/>
      <c r="HHH44" s="44"/>
      <c r="HHI44" s="44"/>
      <c r="HHJ44" s="44"/>
      <c r="HHK44" s="44"/>
      <c r="HHL44" s="44"/>
      <c r="HHM44" s="44"/>
      <c r="HHN44" s="44"/>
      <c r="HHO44" s="44"/>
      <c r="HHP44" s="44"/>
      <c r="HHQ44" s="44"/>
      <c r="HHR44" s="44"/>
      <c r="HHS44" s="44"/>
      <c r="HHT44" s="44"/>
      <c r="HHU44" s="44"/>
      <c r="HHV44" s="44"/>
      <c r="HHW44" s="44"/>
      <c r="HHX44" s="44"/>
      <c r="HHY44" s="44"/>
      <c r="HHZ44" s="44"/>
      <c r="HIA44" s="44"/>
      <c r="HIB44" s="44"/>
      <c r="HIC44" s="44"/>
      <c r="HID44" s="44"/>
      <c r="HIE44" s="44"/>
      <c r="HIF44" s="44"/>
      <c r="HIG44" s="44"/>
      <c r="HIH44" s="44"/>
      <c r="HII44" s="44"/>
      <c r="HIJ44" s="44"/>
      <c r="HIK44" s="44"/>
      <c r="HIL44" s="44"/>
      <c r="HIM44" s="44"/>
      <c r="HIN44" s="44"/>
      <c r="HIO44" s="44"/>
      <c r="HIP44" s="44"/>
      <c r="HIQ44" s="44"/>
      <c r="HIR44" s="44"/>
      <c r="HIS44" s="44"/>
      <c r="HIT44" s="44"/>
      <c r="HIU44" s="44"/>
      <c r="HIV44" s="44"/>
      <c r="HIW44" s="44"/>
      <c r="HIX44" s="44"/>
      <c r="HIY44" s="44"/>
      <c r="HIZ44" s="44"/>
      <c r="HJA44" s="44"/>
      <c r="HJB44" s="44"/>
      <c r="HJC44" s="44"/>
      <c r="HJD44" s="44"/>
      <c r="HJE44" s="44"/>
      <c r="HJF44" s="44"/>
      <c r="HJG44" s="44"/>
      <c r="HJH44" s="44"/>
      <c r="HJI44" s="44"/>
      <c r="HJJ44" s="44"/>
      <c r="HJK44" s="44"/>
      <c r="HJL44" s="44"/>
      <c r="HJM44" s="44"/>
      <c r="HJN44" s="44"/>
      <c r="HJO44" s="44"/>
      <c r="HJP44" s="44"/>
      <c r="HJQ44" s="44"/>
      <c r="HJR44" s="44"/>
      <c r="HJS44" s="44"/>
      <c r="HJT44" s="44"/>
      <c r="HJU44" s="44"/>
      <c r="HJV44" s="44"/>
      <c r="HJW44" s="44"/>
      <c r="HJX44" s="44"/>
      <c r="HJY44" s="44"/>
      <c r="HJZ44" s="44"/>
      <c r="HKA44" s="44"/>
      <c r="HKB44" s="44"/>
      <c r="HKC44" s="44"/>
      <c r="HKD44" s="44"/>
      <c r="HKE44" s="44"/>
      <c r="HKF44" s="44"/>
      <c r="HKG44" s="44"/>
      <c r="HKH44" s="44"/>
      <c r="HKI44" s="44"/>
      <c r="HKJ44" s="44"/>
      <c r="HKK44" s="44"/>
      <c r="HKL44" s="44"/>
      <c r="HKM44" s="44"/>
      <c r="HKN44" s="44"/>
      <c r="HKO44" s="44"/>
      <c r="HKP44" s="44"/>
      <c r="HKQ44" s="44"/>
      <c r="HKR44" s="44"/>
      <c r="HKS44" s="44"/>
      <c r="HKT44" s="44"/>
      <c r="HKU44" s="44"/>
      <c r="HKV44" s="44"/>
      <c r="HKW44" s="44"/>
      <c r="HKX44" s="44"/>
      <c r="HKY44" s="44"/>
      <c r="HKZ44" s="44"/>
      <c r="HLA44" s="44"/>
      <c r="HLB44" s="44"/>
      <c r="HLC44" s="44"/>
      <c r="HLD44" s="44"/>
      <c r="HLE44" s="44"/>
      <c r="HLF44" s="44"/>
      <c r="HLG44" s="44"/>
      <c r="HLH44" s="44"/>
      <c r="HLI44" s="44"/>
      <c r="HLJ44" s="44"/>
      <c r="HLK44" s="44"/>
      <c r="HLL44" s="44"/>
      <c r="HLM44" s="44"/>
      <c r="HLN44" s="44"/>
      <c r="HLO44" s="44"/>
      <c r="HLP44" s="44"/>
      <c r="HLQ44" s="44"/>
      <c r="HLR44" s="44"/>
      <c r="HLS44" s="44"/>
      <c r="HLT44" s="44"/>
      <c r="HLU44" s="44"/>
      <c r="HLV44" s="44"/>
      <c r="HLW44" s="44"/>
      <c r="HLX44" s="44"/>
      <c r="HLY44" s="44"/>
      <c r="HLZ44" s="44"/>
      <c r="HMA44" s="44"/>
      <c r="HMB44" s="44"/>
      <c r="HMC44" s="44"/>
      <c r="HMD44" s="44"/>
      <c r="HME44" s="44"/>
      <c r="HMF44" s="44"/>
      <c r="HMG44" s="44"/>
      <c r="HMH44" s="44"/>
      <c r="HMI44" s="44"/>
      <c r="HMJ44" s="44"/>
      <c r="HMK44" s="44"/>
      <c r="HML44" s="44"/>
      <c r="HMM44" s="44"/>
      <c r="HMN44" s="44"/>
      <c r="HMO44" s="44"/>
      <c r="HMP44" s="44"/>
      <c r="HMQ44" s="44"/>
      <c r="HMR44" s="44"/>
      <c r="HMS44" s="44"/>
      <c r="HMT44" s="44"/>
      <c r="HMU44" s="44"/>
      <c r="HMV44" s="44"/>
      <c r="HMW44" s="44"/>
      <c r="HMX44" s="44"/>
      <c r="HMY44" s="44"/>
      <c r="HMZ44" s="44"/>
      <c r="HNA44" s="44"/>
      <c r="HNB44" s="44"/>
      <c r="HNC44" s="44"/>
      <c r="HND44" s="44"/>
      <c r="HNE44" s="44"/>
      <c r="HNF44" s="44"/>
      <c r="HNG44" s="44"/>
      <c r="HNH44" s="44"/>
      <c r="HNI44" s="44"/>
      <c r="HNJ44" s="44"/>
      <c r="HNK44" s="44"/>
      <c r="HNL44" s="44"/>
      <c r="HNM44" s="44"/>
      <c r="HNN44" s="44"/>
      <c r="HNO44" s="44"/>
      <c r="HNP44" s="44"/>
      <c r="HNQ44" s="44"/>
      <c r="HNR44" s="44"/>
      <c r="HNS44" s="44"/>
      <c r="HNT44" s="44"/>
      <c r="HNU44" s="44"/>
      <c r="HNV44" s="44"/>
      <c r="HNW44" s="44"/>
      <c r="HNX44" s="44"/>
      <c r="HNY44" s="44"/>
      <c r="HNZ44" s="44"/>
      <c r="HOA44" s="44"/>
      <c r="HOB44" s="44"/>
      <c r="HOC44" s="44"/>
      <c r="HOD44" s="44"/>
      <c r="HOE44" s="44"/>
      <c r="HOF44" s="44"/>
      <c r="HOG44" s="44"/>
      <c r="HOH44" s="44"/>
      <c r="HOI44" s="44"/>
      <c r="HOJ44" s="44"/>
      <c r="HOK44" s="44"/>
      <c r="HOL44" s="44"/>
      <c r="HOM44" s="44"/>
      <c r="HON44" s="44"/>
      <c r="HOO44" s="44"/>
      <c r="HOP44" s="44"/>
      <c r="HOQ44" s="44"/>
      <c r="HOR44" s="44"/>
      <c r="HOS44" s="44"/>
      <c r="HOT44" s="44"/>
      <c r="HOU44" s="44"/>
      <c r="HOV44" s="44"/>
      <c r="HOW44" s="44"/>
      <c r="HOX44" s="44"/>
      <c r="HOY44" s="44"/>
      <c r="HOZ44" s="44"/>
      <c r="HPA44" s="44"/>
      <c r="HPB44" s="44"/>
      <c r="HPC44" s="44"/>
      <c r="HPD44" s="44"/>
      <c r="HPE44" s="44"/>
      <c r="HPF44" s="44"/>
      <c r="HPG44" s="44"/>
      <c r="HPH44" s="44"/>
      <c r="HPI44" s="44"/>
      <c r="HPJ44" s="44"/>
      <c r="HPK44" s="44"/>
      <c r="HPL44" s="44"/>
      <c r="HPM44" s="44"/>
      <c r="HPN44" s="44"/>
      <c r="HPO44" s="44"/>
      <c r="HPP44" s="44"/>
      <c r="HPQ44" s="44"/>
      <c r="HPR44" s="44"/>
      <c r="HPS44" s="44"/>
      <c r="HPT44" s="44"/>
      <c r="HPU44" s="44"/>
      <c r="HPV44" s="44"/>
      <c r="HPW44" s="44"/>
      <c r="HPX44" s="44"/>
      <c r="HPY44" s="44"/>
      <c r="HPZ44" s="44"/>
      <c r="HQA44" s="44"/>
      <c r="HQB44" s="44"/>
      <c r="HQC44" s="44"/>
      <c r="HQD44" s="44"/>
      <c r="HQE44" s="44"/>
      <c r="HQF44" s="44"/>
      <c r="HQG44" s="44"/>
      <c r="HQH44" s="44"/>
      <c r="HQI44" s="44"/>
      <c r="HQJ44" s="44"/>
      <c r="HQK44" s="44"/>
      <c r="HQL44" s="44"/>
      <c r="HQM44" s="44"/>
      <c r="HQN44" s="44"/>
      <c r="HQO44" s="44"/>
      <c r="HQP44" s="44"/>
      <c r="HQQ44" s="44"/>
      <c r="HQR44" s="44"/>
      <c r="HQS44" s="44"/>
      <c r="HQT44" s="44"/>
      <c r="HQU44" s="44"/>
      <c r="HQV44" s="44"/>
      <c r="HQW44" s="44"/>
      <c r="HQX44" s="44"/>
      <c r="HQY44" s="44"/>
      <c r="HQZ44" s="44"/>
      <c r="HRA44" s="44"/>
      <c r="HRB44" s="44"/>
      <c r="HRC44" s="44"/>
      <c r="HRD44" s="44"/>
      <c r="HRE44" s="44"/>
      <c r="HRF44" s="44"/>
      <c r="HRG44" s="44"/>
      <c r="HRH44" s="44"/>
      <c r="HRI44" s="44"/>
      <c r="HRJ44" s="44"/>
      <c r="HRK44" s="44"/>
      <c r="HRL44" s="44"/>
      <c r="HRM44" s="44"/>
      <c r="HRN44" s="44"/>
      <c r="HRO44" s="44"/>
      <c r="HRP44" s="44"/>
      <c r="HRQ44" s="44"/>
      <c r="HRR44" s="44"/>
      <c r="HRS44" s="44"/>
      <c r="HRT44" s="44"/>
      <c r="HRU44" s="44"/>
      <c r="HRV44" s="44"/>
      <c r="HRW44" s="44"/>
      <c r="HRX44" s="44"/>
      <c r="HRY44" s="44"/>
      <c r="HRZ44" s="44"/>
      <c r="HSA44" s="44"/>
      <c r="HSB44" s="44"/>
      <c r="HSC44" s="44"/>
      <c r="HSD44" s="44"/>
      <c r="HSE44" s="44"/>
      <c r="HSF44" s="44"/>
      <c r="HSG44" s="44"/>
      <c r="HSH44" s="44"/>
      <c r="HSI44" s="44"/>
      <c r="HSJ44" s="44"/>
      <c r="HSK44" s="44"/>
      <c r="HSL44" s="44"/>
      <c r="HSM44" s="44"/>
      <c r="HSN44" s="44"/>
      <c r="HSO44" s="44"/>
      <c r="HSP44" s="44"/>
      <c r="HSQ44" s="44"/>
      <c r="HSR44" s="44"/>
      <c r="HSS44" s="44"/>
      <c r="HST44" s="44"/>
      <c r="HSU44" s="44"/>
      <c r="HSV44" s="44"/>
      <c r="HSW44" s="44"/>
      <c r="HSX44" s="44"/>
      <c r="HSY44" s="44"/>
      <c r="HSZ44" s="44"/>
      <c r="HTA44" s="44"/>
      <c r="HTB44" s="44"/>
      <c r="HTC44" s="44"/>
      <c r="HTD44" s="44"/>
      <c r="HTE44" s="44"/>
      <c r="HTF44" s="44"/>
      <c r="HTG44" s="44"/>
      <c r="HTH44" s="44"/>
      <c r="HTI44" s="44"/>
      <c r="HTJ44" s="44"/>
      <c r="HTK44" s="44"/>
      <c r="HTL44" s="44"/>
      <c r="HTM44" s="44"/>
      <c r="HTN44" s="44"/>
      <c r="HTO44" s="44"/>
      <c r="HTP44" s="44"/>
      <c r="HTQ44" s="44"/>
      <c r="HTR44" s="44"/>
      <c r="HTS44" s="44"/>
      <c r="HTT44" s="44"/>
      <c r="HTU44" s="44"/>
      <c r="HTV44" s="44"/>
      <c r="HTW44" s="44"/>
      <c r="HTX44" s="44"/>
      <c r="HTY44" s="44"/>
      <c r="HTZ44" s="44"/>
      <c r="HUA44" s="44"/>
      <c r="HUB44" s="44"/>
      <c r="HUC44" s="44"/>
      <c r="HUD44" s="44"/>
      <c r="HUE44" s="44"/>
      <c r="HUF44" s="44"/>
      <c r="HUG44" s="44"/>
      <c r="HUH44" s="44"/>
      <c r="HUI44" s="44"/>
      <c r="HUJ44" s="44"/>
      <c r="HUK44" s="44"/>
      <c r="HUL44" s="44"/>
      <c r="HUM44" s="44"/>
      <c r="HUN44" s="44"/>
      <c r="HUO44" s="44"/>
      <c r="HUP44" s="44"/>
      <c r="HUQ44" s="44"/>
      <c r="HUR44" s="44"/>
      <c r="HUS44" s="44"/>
      <c r="HUT44" s="44"/>
      <c r="HUU44" s="44"/>
      <c r="HUV44" s="44"/>
      <c r="HUW44" s="44"/>
      <c r="HUX44" s="44"/>
      <c r="HUY44" s="44"/>
      <c r="HUZ44" s="44"/>
      <c r="HVA44" s="44"/>
      <c r="HVB44" s="44"/>
      <c r="HVC44" s="44"/>
      <c r="HVD44" s="44"/>
      <c r="HVE44" s="44"/>
      <c r="HVF44" s="44"/>
      <c r="HVG44" s="44"/>
      <c r="HVH44" s="44"/>
      <c r="HVI44" s="44"/>
      <c r="HVJ44" s="44"/>
      <c r="HVK44" s="44"/>
      <c r="HVL44" s="44"/>
      <c r="HVM44" s="44"/>
      <c r="HVN44" s="44"/>
      <c r="HVO44" s="44"/>
      <c r="HVP44" s="44"/>
      <c r="HVQ44" s="44"/>
      <c r="HVR44" s="44"/>
      <c r="HVS44" s="44"/>
      <c r="HVT44" s="44"/>
      <c r="HVU44" s="44"/>
      <c r="HVV44" s="44"/>
      <c r="HVW44" s="44"/>
      <c r="HVX44" s="44"/>
      <c r="HVY44" s="44"/>
      <c r="HVZ44" s="44"/>
      <c r="HWA44" s="44"/>
      <c r="HWB44" s="44"/>
      <c r="HWC44" s="44"/>
      <c r="HWD44" s="44"/>
      <c r="HWE44" s="44"/>
      <c r="HWF44" s="44"/>
      <c r="HWG44" s="44"/>
      <c r="HWH44" s="44"/>
      <c r="HWI44" s="44"/>
      <c r="HWJ44" s="44"/>
      <c r="HWK44" s="44"/>
      <c r="HWL44" s="44"/>
      <c r="HWM44" s="44"/>
      <c r="HWN44" s="44"/>
      <c r="HWO44" s="44"/>
      <c r="HWP44" s="44"/>
      <c r="HWQ44" s="44"/>
      <c r="HWR44" s="44"/>
      <c r="HWS44" s="44"/>
      <c r="HWT44" s="44"/>
      <c r="HWU44" s="44"/>
      <c r="HWV44" s="44"/>
      <c r="HWW44" s="44"/>
      <c r="HWX44" s="44"/>
      <c r="HWY44" s="44"/>
      <c r="HWZ44" s="44"/>
      <c r="HXA44" s="44"/>
      <c r="HXB44" s="44"/>
      <c r="HXC44" s="44"/>
      <c r="HXD44" s="44"/>
      <c r="HXE44" s="44"/>
      <c r="HXF44" s="44"/>
      <c r="HXG44" s="44"/>
      <c r="HXH44" s="44"/>
      <c r="HXI44" s="44"/>
      <c r="HXJ44" s="44"/>
      <c r="HXK44" s="44"/>
      <c r="HXL44" s="44"/>
      <c r="HXM44" s="44"/>
      <c r="HXN44" s="44"/>
      <c r="HXO44" s="44"/>
      <c r="HXP44" s="44"/>
      <c r="HXQ44" s="44"/>
      <c r="HXR44" s="44"/>
      <c r="HXS44" s="44"/>
      <c r="HXT44" s="44"/>
      <c r="HXU44" s="44"/>
      <c r="HXV44" s="44"/>
      <c r="HXW44" s="44"/>
      <c r="HXX44" s="44"/>
      <c r="HXY44" s="44"/>
      <c r="HXZ44" s="44"/>
      <c r="HYA44" s="44"/>
      <c r="HYB44" s="44"/>
      <c r="HYC44" s="44"/>
      <c r="HYD44" s="44"/>
      <c r="HYE44" s="44"/>
      <c r="HYF44" s="44"/>
      <c r="HYG44" s="44"/>
      <c r="HYH44" s="44"/>
      <c r="HYI44" s="44"/>
      <c r="HYJ44" s="44"/>
      <c r="HYK44" s="44"/>
      <c r="HYL44" s="44"/>
      <c r="HYM44" s="44"/>
      <c r="HYN44" s="44"/>
      <c r="HYO44" s="44"/>
      <c r="HYP44" s="44"/>
      <c r="HYQ44" s="44"/>
      <c r="HYR44" s="44"/>
      <c r="HYS44" s="44"/>
      <c r="HYT44" s="44"/>
      <c r="HYU44" s="44"/>
      <c r="HYV44" s="44"/>
      <c r="HYW44" s="44"/>
      <c r="HYX44" s="44"/>
      <c r="HYY44" s="44"/>
      <c r="HYZ44" s="44"/>
      <c r="HZA44" s="44"/>
      <c r="HZB44" s="44"/>
      <c r="HZC44" s="44"/>
      <c r="HZD44" s="44"/>
      <c r="HZE44" s="44"/>
      <c r="HZF44" s="44"/>
      <c r="HZG44" s="44"/>
      <c r="HZH44" s="44"/>
      <c r="HZI44" s="44"/>
      <c r="HZJ44" s="44"/>
      <c r="HZK44" s="44"/>
      <c r="HZL44" s="44"/>
      <c r="HZM44" s="44"/>
      <c r="HZN44" s="44"/>
      <c r="HZO44" s="44"/>
      <c r="HZP44" s="44"/>
      <c r="HZQ44" s="44"/>
      <c r="HZR44" s="44"/>
      <c r="HZS44" s="44"/>
      <c r="HZT44" s="44"/>
      <c r="HZU44" s="44"/>
      <c r="HZV44" s="44"/>
      <c r="HZW44" s="44"/>
      <c r="HZX44" s="44"/>
      <c r="HZY44" s="44"/>
      <c r="HZZ44" s="44"/>
      <c r="IAA44" s="44"/>
      <c r="IAB44" s="44"/>
      <c r="IAC44" s="44"/>
      <c r="IAD44" s="44"/>
      <c r="IAE44" s="44"/>
      <c r="IAF44" s="44"/>
      <c r="IAG44" s="44"/>
      <c r="IAH44" s="44"/>
      <c r="IAI44" s="44"/>
      <c r="IAJ44" s="44"/>
      <c r="IAK44" s="44"/>
      <c r="IAL44" s="44"/>
      <c r="IAM44" s="44"/>
      <c r="IAN44" s="44"/>
      <c r="IAO44" s="44"/>
      <c r="IAP44" s="44"/>
      <c r="IAQ44" s="44"/>
      <c r="IAR44" s="44"/>
      <c r="IAS44" s="44"/>
      <c r="IAT44" s="44"/>
      <c r="IAU44" s="44"/>
      <c r="IAV44" s="44"/>
      <c r="IAW44" s="44"/>
      <c r="IAX44" s="44"/>
      <c r="IAY44" s="44"/>
      <c r="IAZ44" s="44"/>
      <c r="IBA44" s="44"/>
      <c r="IBB44" s="44"/>
      <c r="IBC44" s="44"/>
      <c r="IBD44" s="44"/>
      <c r="IBE44" s="44"/>
      <c r="IBF44" s="44"/>
      <c r="IBG44" s="44"/>
      <c r="IBH44" s="44"/>
      <c r="IBI44" s="44"/>
      <c r="IBJ44" s="44"/>
      <c r="IBK44" s="44"/>
      <c r="IBL44" s="44"/>
      <c r="IBM44" s="44"/>
      <c r="IBN44" s="44"/>
      <c r="IBO44" s="44"/>
      <c r="IBP44" s="44"/>
      <c r="IBQ44" s="44"/>
      <c r="IBR44" s="44"/>
      <c r="IBS44" s="44"/>
      <c r="IBT44" s="44"/>
      <c r="IBU44" s="44"/>
      <c r="IBV44" s="44"/>
      <c r="IBW44" s="44"/>
      <c r="IBX44" s="44"/>
      <c r="IBY44" s="44"/>
      <c r="IBZ44" s="44"/>
      <c r="ICA44" s="44"/>
      <c r="ICB44" s="44"/>
      <c r="ICC44" s="44"/>
      <c r="ICD44" s="44"/>
      <c r="ICE44" s="44"/>
      <c r="ICF44" s="44"/>
      <c r="ICG44" s="44"/>
      <c r="ICH44" s="44"/>
      <c r="ICI44" s="44"/>
      <c r="ICJ44" s="44"/>
      <c r="ICK44" s="44"/>
      <c r="ICL44" s="44"/>
      <c r="ICM44" s="44"/>
      <c r="ICN44" s="44"/>
      <c r="ICO44" s="44"/>
      <c r="ICP44" s="44"/>
      <c r="ICQ44" s="44"/>
      <c r="ICR44" s="44"/>
      <c r="ICS44" s="44"/>
      <c r="ICT44" s="44"/>
      <c r="ICU44" s="44"/>
      <c r="ICV44" s="44"/>
      <c r="ICW44" s="44"/>
      <c r="ICX44" s="44"/>
      <c r="ICY44" s="44"/>
      <c r="ICZ44" s="44"/>
      <c r="IDA44" s="44"/>
      <c r="IDB44" s="44"/>
      <c r="IDC44" s="44"/>
      <c r="IDD44" s="44"/>
      <c r="IDE44" s="44"/>
      <c r="IDF44" s="44"/>
      <c r="IDG44" s="44"/>
      <c r="IDH44" s="44"/>
      <c r="IDI44" s="44"/>
      <c r="IDJ44" s="44"/>
      <c r="IDK44" s="44"/>
      <c r="IDL44" s="44"/>
      <c r="IDM44" s="44"/>
      <c r="IDN44" s="44"/>
      <c r="IDO44" s="44"/>
      <c r="IDP44" s="44"/>
      <c r="IDQ44" s="44"/>
      <c r="IDR44" s="44"/>
      <c r="IDS44" s="44"/>
      <c r="IDT44" s="44"/>
      <c r="IDU44" s="44"/>
      <c r="IDV44" s="44"/>
      <c r="IDW44" s="44"/>
      <c r="IDX44" s="44"/>
      <c r="IDY44" s="44"/>
      <c r="IDZ44" s="44"/>
      <c r="IEA44" s="44"/>
      <c r="IEB44" s="44"/>
      <c r="IEC44" s="44"/>
      <c r="IED44" s="44"/>
      <c r="IEE44" s="44"/>
      <c r="IEF44" s="44"/>
      <c r="IEG44" s="44"/>
      <c r="IEH44" s="44"/>
      <c r="IEI44" s="44"/>
      <c r="IEJ44" s="44"/>
      <c r="IEK44" s="44"/>
      <c r="IEL44" s="44"/>
      <c r="IEM44" s="44"/>
      <c r="IEN44" s="44"/>
      <c r="IEO44" s="44"/>
      <c r="IEP44" s="44"/>
      <c r="IEQ44" s="44"/>
      <c r="IER44" s="44"/>
      <c r="IES44" s="44"/>
      <c r="IET44" s="44"/>
      <c r="IEU44" s="44"/>
      <c r="IEV44" s="44"/>
      <c r="IEW44" s="44"/>
      <c r="IEX44" s="44"/>
      <c r="IEY44" s="44"/>
      <c r="IEZ44" s="44"/>
      <c r="IFA44" s="44"/>
      <c r="IFB44" s="44"/>
      <c r="IFC44" s="44"/>
      <c r="IFD44" s="44"/>
      <c r="IFE44" s="44"/>
      <c r="IFF44" s="44"/>
      <c r="IFG44" s="44"/>
      <c r="IFH44" s="44"/>
      <c r="IFI44" s="44"/>
      <c r="IFJ44" s="44"/>
      <c r="IFK44" s="44"/>
      <c r="IFL44" s="44"/>
      <c r="IFM44" s="44"/>
      <c r="IFN44" s="44"/>
      <c r="IFO44" s="44"/>
      <c r="IFP44" s="44"/>
      <c r="IFQ44" s="44"/>
      <c r="IFR44" s="44"/>
      <c r="IFS44" s="44"/>
      <c r="IFT44" s="44"/>
      <c r="IFU44" s="44"/>
      <c r="IFV44" s="44"/>
      <c r="IFW44" s="44"/>
      <c r="IFX44" s="44"/>
      <c r="IFY44" s="44"/>
      <c r="IFZ44" s="44"/>
      <c r="IGA44" s="44"/>
      <c r="IGB44" s="44"/>
      <c r="IGC44" s="44"/>
      <c r="IGD44" s="44"/>
      <c r="IGE44" s="44"/>
      <c r="IGF44" s="44"/>
      <c r="IGG44" s="44"/>
      <c r="IGH44" s="44"/>
      <c r="IGI44" s="44"/>
      <c r="IGJ44" s="44"/>
      <c r="IGK44" s="44"/>
      <c r="IGL44" s="44"/>
      <c r="IGM44" s="44"/>
      <c r="IGN44" s="44"/>
      <c r="IGO44" s="44"/>
      <c r="IGP44" s="44"/>
      <c r="IGQ44" s="44"/>
      <c r="IGR44" s="44"/>
      <c r="IGS44" s="44"/>
      <c r="IGT44" s="44"/>
      <c r="IGU44" s="44"/>
      <c r="IGV44" s="44"/>
      <c r="IGW44" s="44"/>
      <c r="IGX44" s="44"/>
      <c r="IGY44" s="44"/>
      <c r="IGZ44" s="44"/>
      <c r="IHA44" s="44"/>
      <c r="IHB44" s="44"/>
      <c r="IHC44" s="44"/>
      <c r="IHD44" s="44"/>
      <c r="IHE44" s="44"/>
      <c r="IHF44" s="44"/>
      <c r="IHG44" s="44"/>
      <c r="IHH44" s="44"/>
      <c r="IHI44" s="44"/>
      <c r="IHJ44" s="44"/>
      <c r="IHK44" s="44"/>
      <c r="IHL44" s="44"/>
      <c r="IHM44" s="44"/>
      <c r="IHN44" s="44"/>
      <c r="IHO44" s="44"/>
      <c r="IHP44" s="44"/>
      <c r="IHQ44" s="44"/>
      <c r="IHR44" s="44"/>
      <c r="IHS44" s="44"/>
      <c r="IHT44" s="44"/>
      <c r="IHU44" s="44"/>
      <c r="IHV44" s="44"/>
      <c r="IHW44" s="44"/>
      <c r="IHX44" s="44"/>
      <c r="IHY44" s="44"/>
      <c r="IHZ44" s="44"/>
      <c r="IIA44" s="44"/>
      <c r="IIB44" s="44"/>
      <c r="IIC44" s="44"/>
      <c r="IID44" s="44"/>
      <c r="IIE44" s="44"/>
      <c r="IIF44" s="44"/>
      <c r="IIG44" s="44"/>
      <c r="IIH44" s="44"/>
      <c r="III44" s="44"/>
      <c r="IIJ44" s="44"/>
      <c r="IIK44" s="44"/>
      <c r="IIL44" s="44"/>
      <c r="IIM44" s="44"/>
      <c r="IIN44" s="44"/>
      <c r="IIO44" s="44"/>
      <c r="IIP44" s="44"/>
      <c r="IIQ44" s="44"/>
      <c r="IIR44" s="44"/>
      <c r="IIS44" s="44"/>
      <c r="IIT44" s="44"/>
      <c r="IIU44" s="44"/>
      <c r="IIV44" s="44"/>
      <c r="IIW44" s="44"/>
      <c r="IIX44" s="44"/>
      <c r="IIY44" s="44"/>
      <c r="IIZ44" s="44"/>
      <c r="IJA44" s="44"/>
      <c r="IJB44" s="44"/>
      <c r="IJC44" s="44"/>
      <c r="IJD44" s="44"/>
      <c r="IJE44" s="44"/>
      <c r="IJF44" s="44"/>
      <c r="IJG44" s="44"/>
      <c r="IJH44" s="44"/>
      <c r="IJI44" s="44"/>
      <c r="IJJ44" s="44"/>
      <c r="IJK44" s="44"/>
      <c r="IJL44" s="44"/>
      <c r="IJM44" s="44"/>
      <c r="IJN44" s="44"/>
      <c r="IJO44" s="44"/>
      <c r="IJP44" s="44"/>
      <c r="IJQ44" s="44"/>
      <c r="IJR44" s="44"/>
      <c r="IJS44" s="44"/>
      <c r="IJT44" s="44"/>
      <c r="IJU44" s="44"/>
      <c r="IJV44" s="44"/>
      <c r="IJW44" s="44"/>
      <c r="IJX44" s="44"/>
      <c r="IJY44" s="44"/>
      <c r="IJZ44" s="44"/>
      <c r="IKA44" s="44"/>
      <c r="IKB44" s="44"/>
      <c r="IKC44" s="44"/>
      <c r="IKD44" s="44"/>
      <c r="IKE44" s="44"/>
      <c r="IKF44" s="44"/>
      <c r="IKG44" s="44"/>
      <c r="IKH44" s="44"/>
      <c r="IKI44" s="44"/>
      <c r="IKJ44" s="44"/>
      <c r="IKK44" s="44"/>
      <c r="IKL44" s="44"/>
      <c r="IKM44" s="44"/>
      <c r="IKN44" s="44"/>
      <c r="IKO44" s="44"/>
      <c r="IKP44" s="44"/>
      <c r="IKQ44" s="44"/>
      <c r="IKR44" s="44"/>
      <c r="IKS44" s="44"/>
      <c r="IKT44" s="44"/>
      <c r="IKU44" s="44"/>
      <c r="IKV44" s="44"/>
      <c r="IKW44" s="44"/>
      <c r="IKX44" s="44"/>
      <c r="IKY44" s="44"/>
      <c r="IKZ44" s="44"/>
      <c r="ILA44" s="44"/>
      <c r="ILB44" s="44"/>
      <c r="ILC44" s="44"/>
      <c r="ILD44" s="44"/>
      <c r="ILE44" s="44"/>
      <c r="ILF44" s="44"/>
      <c r="ILG44" s="44"/>
      <c r="ILH44" s="44"/>
      <c r="ILI44" s="44"/>
      <c r="ILJ44" s="44"/>
      <c r="ILK44" s="44"/>
      <c r="ILL44" s="44"/>
      <c r="ILM44" s="44"/>
      <c r="ILN44" s="44"/>
      <c r="ILO44" s="44"/>
      <c r="ILP44" s="44"/>
      <c r="ILQ44" s="44"/>
      <c r="ILR44" s="44"/>
      <c r="ILS44" s="44"/>
      <c r="ILT44" s="44"/>
      <c r="ILU44" s="44"/>
      <c r="ILV44" s="44"/>
      <c r="ILW44" s="44"/>
      <c r="ILX44" s="44"/>
      <c r="ILY44" s="44"/>
      <c r="ILZ44" s="44"/>
      <c r="IMA44" s="44"/>
      <c r="IMB44" s="44"/>
      <c r="IMC44" s="44"/>
      <c r="IMD44" s="44"/>
      <c r="IME44" s="44"/>
      <c r="IMF44" s="44"/>
      <c r="IMG44" s="44"/>
      <c r="IMH44" s="44"/>
      <c r="IMI44" s="44"/>
      <c r="IMJ44" s="44"/>
      <c r="IMK44" s="44"/>
      <c r="IML44" s="44"/>
      <c r="IMM44" s="44"/>
      <c r="IMN44" s="44"/>
      <c r="IMO44" s="44"/>
      <c r="IMP44" s="44"/>
      <c r="IMQ44" s="44"/>
      <c r="IMR44" s="44"/>
      <c r="IMS44" s="44"/>
      <c r="IMT44" s="44"/>
      <c r="IMU44" s="44"/>
      <c r="IMV44" s="44"/>
      <c r="IMW44" s="44"/>
      <c r="IMX44" s="44"/>
      <c r="IMY44" s="44"/>
      <c r="IMZ44" s="44"/>
      <c r="INA44" s="44"/>
      <c r="INB44" s="44"/>
      <c r="INC44" s="44"/>
      <c r="IND44" s="44"/>
      <c r="INE44" s="44"/>
      <c r="INF44" s="44"/>
      <c r="ING44" s="44"/>
      <c r="INH44" s="44"/>
      <c r="INI44" s="44"/>
      <c r="INJ44" s="44"/>
      <c r="INK44" s="44"/>
      <c r="INL44" s="44"/>
      <c r="INM44" s="44"/>
      <c r="INN44" s="44"/>
      <c r="INO44" s="44"/>
      <c r="INP44" s="44"/>
      <c r="INQ44" s="44"/>
      <c r="INR44" s="44"/>
      <c r="INS44" s="44"/>
      <c r="INT44" s="44"/>
      <c r="INU44" s="44"/>
      <c r="INV44" s="44"/>
      <c r="INW44" s="44"/>
      <c r="INX44" s="44"/>
      <c r="INY44" s="44"/>
      <c r="INZ44" s="44"/>
      <c r="IOA44" s="44"/>
      <c r="IOB44" s="44"/>
      <c r="IOC44" s="44"/>
      <c r="IOD44" s="44"/>
      <c r="IOE44" s="44"/>
      <c r="IOF44" s="44"/>
      <c r="IOG44" s="44"/>
      <c r="IOH44" s="44"/>
      <c r="IOI44" s="44"/>
      <c r="IOJ44" s="44"/>
      <c r="IOK44" s="44"/>
      <c r="IOL44" s="44"/>
      <c r="IOM44" s="44"/>
      <c r="ION44" s="44"/>
      <c r="IOO44" s="44"/>
      <c r="IOP44" s="44"/>
      <c r="IOQ44" s="44"/>
      <c r="IOR44" s="44"/>
      <c r="IOS44" s="44"/>
      <c r="IOT44" s="44"/>
      <c r="IOU44" s="44"/>
      <c r="IOV44" s="44"/>
      <c r="IOW44" s="44"/>
      <c r="IOX44" s="44"/>
      <c r="IOY44" s="44"/>
      <c r="IOZ44" s="44"/>
      <c r="IPA44" s="44"/>
      <c r="IPB44" s="44"/>
      <c r="IPC44" s="44"/>
      <c r="IPD44" s="44"/>
      <c r="IPE44" s="44"/>
      <c r="IPF44" s="44"/>
      <c r="IPG44" s="44"/>
      <c r="IPH44" s="44"/>
      <c r="IPI44" s="44"/>
      <c r="IPJ44" s="44"/>
      <c r="IPK44" s="44"/>
      <c r="IPL44" s="44"/>
      <c r="IPM44" s="44"/>
      <c r="IPN44" s="44"/>
      <c r="IPO44" s="44"/>
      <c r="IPP44" s="44"/>
      <c r="IPQ44" s="44"/>
      <c r="IPR44" s="44"/>
      <c r="IPS44" s="44"/>
      <c r="IPT44" s="44"/>
      <c r="IPU44" s="44"/>
      <c r="IPV44" s="44"/>
      <c r="IPW44" s="44"/>
      <c r="IPX44" s="44"/>
      <c r="IPY44" s="44"/>
      <c r="IPZ44" s="44"/>
      <c r="IQA44" s="44"/>
      <c r="IQB44" s="44"/>
      <c r="IQC44" s="44"/>
      <c r="IQD44" s="44"/>
      <c r="IQE44" s="44"/>
      <c r="IQF44" s="44"/>
      <c r="IQG44" s="44"/>
      <c r="IQH44" s="44"/>
      <c r="IQI44" s="44"/>
      <c r="IQJ44" s="44"/>
      <c r="IQK44" s="44"/>
      <c r="IQL44" s="44"/>
      <c r="IQM44" s="44"/>
      <c r="IQN44" s="44"/>
      <c r="IQO44" s="44"/>
      <c r="IQP44" s="44"/>
      <c r="IQQ44" s="44"/>
      <c r="IQR44" s="44"/>
      <c r="IQS44" s="44"/>
      <c r="IQT44" s="44"/>
      <c r="IQU44" s="44"/>
      <c r="IQV44" s="44"/>
      <c r="IQW44" s="44"/>
      <c r="IQX44" s="44"/>
      <c r="IQY44" s="44"/>
      <c r="IQZ44" s="44"/>
      <c r="IRA44" s="44"/>
      <c r="IRB44" s="44"/>
      <c r="IRC44" s="44"/>
      <c r="IRD44" s="44"/>
      <c r="IRE44" s="44"/>
      <c r="IRF44" s="44"/>
      <c r="IRG44" s="44"/>
      <c r="IRH44" s="44"/>
      <c r="IRI44" s="44"/>
      <c r="IRJ44" s="44"/>
      <c r="IRK44" s="44"/>
      <c r="IRL44" s="44"/>
      <c r="IRM44" s="44"/>
      <c r="IRN44" s="44"/>
      <c r="IRO44" s="44"/>
      <c r="IRP44" s="44"/>
      <c r="IRQ44" s="44"/>
      <c r="IRR44" s="44"/>
      <c r="IRS44" s="44"/>
      <c r="IRT44" s="44"/>
      <c r="IRU44" s="44"/>
      <c r="IRV44" s="44"/>
      <c r="IRW44" s="44"/>
      <c r="IRX44" s="44"/>
      <c r="IRY44" s="44"/>
      <c r="IRZ44" s="44"/>
      <c r="ISA44" s="44"/>
      <c r="ISB44" s="44"/>
      <c r="ISC44" s="44"/>
      <c r="ISD44" s="44"/>
      <c r="ISE44" s="44"/>
      <c r="ISF44" s="44"/>
      <c r="ISG44" s="44"/>
      <c r="ISH44" s="44"/>
      <c r="ISI44" s="44"/>
      <c r="ISJ44" s="44"/>
      <c r="ISK44" s="44"/>
      <c r="ISL44" s="44"/>
      <c r="ISM44" s="44"/>
      <c r="ISN44" s="44"/>
      <c r="ISO44" s="44"/>
      <c r="ISP44" s="44"/>
      <c r="ISQ44" s="44"/>
      <c r="ISR44" s="44"/>
      <c r="ISS44" s="44"/>
      <c r="IST44" s="44"/>
      <c r="ISU44" s="44"/>
      <c r="ISV44" s="44"/>
      <c r="ISW44" s="44"/>
      <c r="ISX44" s="44"/>
      <c r="ISY44" s="44"/>
      <c r="ISZ44" s="44"/>
      <c r="ITA44" s="44"/>
      <c r="ITB44" s="44"/>
      <c r="ITC44" s="44"/>
      <c r="ITD44" s="44"/>
      <c r="ITE44" s="44"/>
      <c r="ITF44" s="44"/>
      <c r="ITG44" s="44"/>
      <c r="ITH44" s="44"/>
      <c r="ITI44" s="44"/>
      <c r="ITJ44" s="44"/>
      <c r="ITK44" s="44"/>
      <c r="ITL44" s="44"/>
      <c r="ITM44" s="44"/>
      <c r="ITN44" s="44"/>
      <c r="ITO44" s="44"/>
      <c r="ITP44" s="44"/>
      <c r="ITQ44" s="44"/>
      <c r="ITR44" s="44"/>
      <c r="ITS44" s="44"/>
      <c r="ITT44" s="44"/>
      <c r="ITU44" s="44"/>
      <c r="ITV44" s="44"/>
      <c r="ITW44" s="44"/>
      <c r="ITX44" s="44"/>
      <c r="ITY44" s="44"/>
      <c r="ITZ44" s="44"/>
      <c r="IUA44" s="44"/>
      <c r="IUB44" s="44"/>
      <c r="IUC44" s="44"/>
      <c r="IUD44" s="44"/>
      <c r="IUE44" s="44"/>
      <c r="IUF44" s="44"/>
      <c r="IUG44" s="44"/>
      <c r="IUH44" s="44"/>
      <c r="IUI44" s="44"/>
      <c r="IUJ44" s="44"/>
      <c r="IUK44" s="44"/>
      <c r="IUL44" s="44"/>
      <c r="IUM44" s="44"/>
      <c r="IUN44" s="44"/>
      <c r="IUO44" s="44"/>
      <c r="IUP44" s="44"/>
      <c r="IUQ44" s="44"/>
      <c r="IUR44" s="44"/>
      <c r="IUS44" s="44"/>
      <c r="IUT44" s="44"/>
      <c r="IUU44" s="44"/>
      <c r="IUV44" s="44"/>
      <c r="IUW44" s="44"/>
      <c r="IUX44" s="44"/>
      <c r="IUY44" s="44"/>
      <c r="IUZ44" s="44"/>
      <c r="IVA44" s="44"/>
      <c r="IVB44" s="44"/>
      <c r="IVC44" s="44"/>
      <c r="IVD44" s="44"/>
      <c r="IVE44" s="44"/>
      <c r="IVF44" s="44"/>
      <c r="IVG44" s="44"/>
      <c r="IVH44" s="44"/>
      <c r="IVI44" s="44"/>
      <c r="IVJ44" s="44"/>
      <c r="IVK44" s="44"/>
      <c r="IVL44" s="44"/>
      <c r="IVM44" s="44"/>
      <c r="IVN44" s="44"/>
      <c r="IVO44" s="44"/>
      <c r="IVP44" s="44"/>
      <c r="IVQ44" s="44"/>
      <c r="IVR44" s="44"/>
      <c r="IVS44" s="44"/>
      <c r="IVT44" s="44"/>
      <c r="IVU44" s="44"/>
      <c r="IVV44" s="44"/>
      <c r="IVW44" s="44"/>
      <c r="IVX44" s="44"/>
      <c r="IVY44" s="44"/>
      <c r="IVZ44" s="44"/>
      <c r="IWA44" s="44"/>
      <c r="IWB44" s="44"/>
      <c r="IWC44" s="44"/>
      <c r="IWD44" s="44"/>
      <c r="IWE44" s="44"/>
      <c r="IWF44" s="44"/>
      <c r="IWG44" s="44"/>
      <c r="IWH44" s="44"/>
      <c r="IWI44" s="44"/>
      <c r="IWJ44" s="44"/>
      <c r="IWK44" s="44"/>
      <c r="IWL44" s="44"/>
      <c r="IWM44" s="44"/>
      <c r="IWN44" s="44"/>
      <c r="IWO44" s="44"/>
      <c r="IWP44" s="44"/>
      <c r="IWQ44" s="44"/>
      <c r="IWR44" s="44"/>
      <c r="IWS44" s="44"/>
      <c r="IWT44" s="44"/>
      <c r="IWU44" s="44"/>
      <c r="IWV44" s="44"/>
      <c r="IWW44" s="44"/>
      <c r="IWX44" s="44"/>
      <c r="IWY44" s="44"/>
      <c r="IWZ44" s="44"/>
      <c r="IXA44" s="44"/>
      <c r="IXB44" s="44"/>
      <c r="IXC44" s="44"/>
      <c r="IXD44" s="44"/>
      <c r="IXE44" s="44"/>
      <c r="IXF44" s="44"/>
      <c r="IXG44" s="44"/>
      <c r="IXH44" s="44"/>
      <c r="IXI44" s="44"/>
      <c r="IXJ44" s="44"/>
      <c r="IXK44" s="44"/>
      <c r="IXL44" s="44"/>
      <c r="IXM44" s="44"/>
      <c r="IXN44" s="44"/>
      <c r="IXO44" s="44"/>
      <c r="IXP44" s="44"/>
      <c r="IXQ44" s="44"/>
      <c r="IXR44" s="44"/>
      <c r="IXS44" s="44"/>
      <c r="IXT44" s="44"/>
      <c r="IXU44" s="44"/>
      <c r="IXV44" s="44"/>
      <c r="IXW44" s="44"/>
      <c r="IXX44" s="44"/>
      <c r="IXY44" s="44"/>
      <c r="IXZ44" s="44"/>
      <c r="IYA44" s="44"/>
      <c r="IYB44" s="44"/>
      <c r="IYC44" s="44"/>
      <c r="IYD44" s="44"/>
      <c r="IYE44" s="44"/>
      <c r="IYF44" s="44"/>
      <c r="IYG44" s="44"/>
      <c r="IYH44" s="44"/>
      <c r="IYI44" s="44"/>
      <c r="IYJ44" s="44"/>
      <c r="IYK44" s="44"/>
      <c r="IYL44" s="44"/>
      <c r="IYM44" s="44"/>
      <c r="IYN44" s="44"/>
      <c r="IYO44" s="44"/>
      <c r="IYP44" s="44"/>
      <c r="IYQ44" s="44"/>
      <c r="IYR44" s="44"/>
      <c r="IYS44" s="44"/>
      <c r="IYT44" s="44"/>
      <c r="IYU44" s="44"/>
      <c r="IYV44" s="44"/>
      <c r="IYW44" s="44"/>
      <c r="IYX44" s="44"/>
      <c r="IYY44" s="44"/>
      <c r="IYZ44" s="44"/>
      <c r="IZA44" s="44"/>
      <c r="IZB44" s="44"/>
      <c r="IZC44" s="44"/>
      <c r="IZD44" s="44"/>
      <c r="IZE44" s="44"/>
      <c r="IZF44" s="44"/>
      <c r="IZG44" s="44"/>
      <c r="IZH44" s="44"/>
      <c r="IZI44" s="44"/>
      <c r="IZJ44" s="44"/>
      <c r="IZK44" s="44"/>
      <c r="IZL44" s="44"/>
      <c r="IZM44" s="44"/>
      <c r="IZN44" s="44"/>
      <c r="IZO44" s="44"/>
      <c r="IZP44" s="44"/>
      <c r="IZQ44" s="44"/>
      <c r="IZR44" s="44"/>
      <c r="IZS44" s="44"/>
      <c r="IZT44" s="44"/>
      <c r="IZU44" s="44"/>
      <c r="IZV44" s="44"/>
      <c r="IZW44" s="44"/>
      <c r="IZX44" s="44"/>
      <c r="IZY44" s="44"/>
      <c r="IZZ44" s="44"/>
      <c r="JAA44" s="44"/>
      <c r="JAB44" s="44"/>
      <c r="JAC44" s="44"/>
      <c r="JAD44" s="44"/>
      <c r="JAE44" s="44"/>
      <c r="JAF44" s="44"/>
      <c r="JAG44" s="44"/>
      <c r="JAH44" s="44"/>
      <c r="JAI44" s="44"/>
      <c r="JAJ44" s="44"/>
      <c r="JAK44" s="44"/>
      <c r="JAL44" s="44"/>
      <c r="JAM44" s="44"/>
      <c r="JAN44" s="44"/>
      <c r="JAO44" s="44"/>
      <c r="JAP44" s="44"/>
      <c r="JAQ44" s="44"/>
      <c r="JAR44" s="44"/>
      <c r="JAS44" s="44"/>
      <c r="JAT44" s="44"/>
      <c r="JAU44" s="44"/>
      <c r="JAV44" s="44"/>
      <c r="JAW44" s="44"/>
      <c r="JAX44" s="44"/>
      <c r="JAY44" s="44"/>
      <c r="JAZ44" s="44"/>
      <c r="JBA44" s="44"/>
      <c r="JBB44" s="44"/>
      <c r="JBC44" s="44"/>
      <c r="JBD44" s="44"/>
      <c r="JBE44" s="44"/>
      <c r="JBF44" s="44"/>
      <c r="JBG44" s="44"/>
      <c r="JBH44" s="44"/>
      <c r="JBI44" s="44"/>
      <c r="JBJ44" s="44"/>
      <c r="JBK44" s="44"/>
      <c r="JBL44" s="44"/>
      <c r="JBM44" s="44"/>
      <c r="JBN44" s="44"/>
      <c r="JBO44" s="44"/>
      <c r="JBP44" s="44"/>
      <c r="JBQ44" s="44"/>
      <c r="JBR44" s="44"/>
      <c r="JBS44" s="44"/>
      <c r="JBT44" s="44"/>
      <c r="JBU44" s="44"/>
      <c r="JBV44" s="44"/>
      <c r="JBW44" s="44"/>
      <c r="JBX44" s="44"/>
      <c r="JBY44" s="44"/>
      <c r="JBZ44" s="44"/>
      <c r="JCA44" s="44"/>
      <c r="JCB44" s="44"/>
      <c r="JCC44" s="44"/>
      <c r="JCD44" s="44"/>
      <c r="JCE44" s="44"/>
      <c r="JCF44" s="44"/>
      <c r="JCG44" s="44"/>
      <c r="JCH44" s="44"/>
      <c r="JCI44" s="44"/>
      <c r="JCJ44" s="44"/>
      <c r="JCK44" s="44"/>
      <c r="JCL44" s="44"/>
      <c r="JCM44" s="44"/>
      <c r="JCN44" s="44"/>
      <c r="JCO44" s="44"/>
      <c r="JCP44" s="44"/>
      <c r="JCQ44" s="44"/>
      <c r="JCR44" s="44"/>
      <c r="JCS44" s="44"/>
      <c r="JCT44" s="44"/>
      <c r="JCU44" s="44"/>
      <c r="JCV44" s="44"/>
      <c r="JCW44" s="44"/>
      <c r="JCX44" s="44"/>
      <c r="JCY44" s="44"/>
      <c r="JCZ44" s="44"/>
      <c r="JDA44" s="44"/>
      <c r="JDB44" s="44"/>
      <c r="JDC44" s="44"/>
      <c r="JDD44" s="44"/>
      <c r="JDE44" s="44"/>
      <c r="JDF44" s="44"/>
      <c r="JDG44" s="44"/>
      <c r="JDH44" s="44"/>
      <c r="JDI44" s="44"/>
      <c r="JDJ44" s="44"/>
      <c r="JDK44" s="44"/>
      <c r="JDL44" s="44"/>
      <c r="JDM44" s="44"/>
      <c r="JDN44" s="44"/>
      <c r="JDO44" s="44"/>
      <c r="JDP44" s="44"/>
      <c r="JDQ44" s="44"/>
      <c r="JDR44" s="44"/>
      <c r="JDS44" s="44"/>
      <c r="JDT44" s="44"/>
      <c r="JDU44" s="44"/>
      <c r="JDV44" s="44"/>
      <c r="JDW44" s="44"/>
      <c r="JDX44" s="44"/>
      <c r="JDY44" s="44"/>
      <c r="JDZ44" s="44"/>
      <c r="JEA44" s="44"/>
      <c r="JEB44" s="44"/>
      <c r="JEC44" s="44"/>
      <c r="JED44" s="44"/>
      <c r="JEE44" s="44"/>
      <c r="JEF44" s="44"/>
      <c r="JEG44" s="44"/>
      <c r="JEH44" s="44"/>
      <c r="JEI44" s="44"/>
      <c r="JEJ44" s="44"/>
      <c r="JEK44" s="44"/>
      <c r="JEL44" s="44"/>
      <c r="JEM44" s="44"/>
      <c r="JEN44" s="44"/>
      <c r="JEO44" s="44"/>
      <c r="JEP44" s="44"/>
      <c r="JEQ44" s="44"/>
      <c r="JER44" s="44"/>
      <c r="JES44" s="44"/>
      <c r="JET44" s="44"/>
      <c r="JEU44" s="44"/>
      <c r="JEV44" s="44"/>
      <c r="JEW44" s="44"/>
      <c r="JEX44" s="44"/>
      <c r="JEY44" s="44"/>
      <c r="JEZ44" s="44"/>
      <c r="JFA44" s="44"/>
      <c r="JFB44" s="44"/>
      <c r="JFC44" s="44"/>
      <c r="JFD44" s="44"/>
      <c r="JFE44" s="44"/>
      <c r="JFF44" s="44"/>
      <c r="JFG44" s="44"/>
      <c r="JFH44" s="44"/>
      <c r="JFI44" s="44"/>
      <c r="JFJ44" s="44"/>
      <c r="JFK44" s="44"/>
      <c r="JFL44" s="44"/>
      <c r="JFM44" s="44"/>
      <c r="JFN44" s="44"/>
      <c r="JFO44" s="44"/>
      <c r="JFP44" s="44"/>
      <c r="JFQ44" s="44"/>
      <c r="JFR44" s="44"/>
      <c r="JFS44" s="44"/>
      <c r="JFT44" s="44"/>
      <c r="JFU44" s="44"/>
      <c r="JFV44" s="44"/>
      <c r="JFW44" s="44"/>
      <c r="JFX44" s="44"/>
      <c r="JFY44" s="44"/>
      <c r="JFZ44" s="44"/>
      <c r="JGA44" s="44"/>
      <c r="JGB44" s="44"/>
      <c r="JGC44" s="44"/>
      <c r="JGD44" s="44"/>
      <c r="JGE44" s="44"/>
      <c r="JGF44" s="44"/>
      <c r="JGG44" s="44"/>
      <c r="JGH44" s="44"/>
      <c r="JGI44" s="44"/>
      <c r="JGJ44" s="44"/>
      <c r="JGK44" s="44"/>
      <c r="JGL44" s="44"/>
      <c r="JGM44" s="44"/>
      <c r="JGN44" s="44"/>
      <c r="JGO44" s="44"/>
      <c r="JGP44" s="44"/>
      <c r="JGQ44" s="44"/>
      <c r="JGR44" s="44"/>
      <c r="JGS44" s="44"/>
      <c r="JGT44" s="44"/>
      <c r="JGU44" s="44"/>
      <c r="JGV44" s="44"/>
      <c r="JGW44" s="44"/>
      <c r="JGX44" s="44"/>
      <c r="JGY44" s="44"/>
      <c r="JGZ44" s="44"/>
      <c r="JHA44" s="44"/>
      <c r="JHB44" s="44"/>
      <c r="JHC44" s="44"/>
      <c r="JHD44" s="44"/>
      <c r="JHE44" s="44"/>
      <c r="JHF44" s="44"/>
      <c r="JHG44" s="44"/>
      <c r="JHH44" s="44"/>
      <c r="JHI44" s="44"/>
      <c r="JHJ44" s="44"/>
      <c r="JHK44" s="44"/>
      <c r="JHL44" s="44"/>
      <c r="JHM44" s="44"/>
      <c r="JHN44" s="44"/>
      <c r="JHO44" s="44"/>
      <c r="JHP44" s="44"/>
      <c r="JHQ44" s="44"/>
      <c r="JHR44" s="44"/>
      <c r="JHS44" s="44"/>
      <c r="JHT44" s="44"/>
      <c r="JHU44" s="44"/>
      <c r="JHV44" s="44"/>
      <c r="JHW44" s="44"/>
      <c r="JHX44" s="44"/>
      <c r="JHY44" s="44"/>
      <c r="JHZ44" s="44"/>
      <c r="JIA44" s="44"/>
      <c r="JIB44" s="44"/>
      <c r="JIC44" s="44"/>
      <c r="JID44" s="44"/>
      <c r="JIE44" s="44"/>
      <c r="JIF44" s="44"/>
      <c r="JIG44" s="44"/>
      <c r="JIH44" s="44"/>
      <c r="JII44" s="44"/>
      <c r="JIJ44" s="44"/>
      <c r="JIK44" s="44"/>
      <c r="JIL44" s="44"/>
      <c r="JIM44" s="44"/>
      <c r="JIN44" s="44"/>
      <c r="JIO44" s="44"/>
      <c r="JIP44" s="44"/>
      <c r="JIQ44" s="44"/>
      <c r="JIR44" s="44"/>
      <c r="JIS44" s="44"/>
      <c r="JIT44" s="44"/>
      <c r="JIU44" s="44"/>
      <c r="JIV44" s="44"/>
      <c r="JIW44" s="44"/>
      <c r="JIX44" s="44"/>
      <c r="JIY44" s="44"/>
      <c r="JIZ44" s="44"/>
      <c r="JJA44" s="44"/>
      <c r="JJB44" s="44"/>
      <c r="JJC44" s="44"/>
      <c r="JJD44" s="44"/>
      <c r="JJE44" s="44"/>
      <c r="JJF44" s="44"/>
      <c r="JJG44" s="44"/>
      <c r="JJH44" s="44"/>
      <c r="JJI44" s="44"/>
      <c r="JJJ44" s="44"/>
      <c r="JJK44" s="44"/>
      <c r="JJL44" s="44"/>
      <c r="JJM44" s="44"/>
      <c r="JJN44" s="44"/>
      <c r="JJO44" s="44"/>
      <c r="JJP44" s="44"/>
      <c r="JJQ44" s="44"/>
      <c r="JJR44" s="44"/>
      <c r="JJS44" s="44"/>
      <c r="JJT44" s="44"/>
      <c r="JJU44" s="44"/>
      <c r="JJV44" s="44"/>
      <c r="JJW44" s="44"/>
      <c r="JJX44" s="44"/>
      <c r="JJY44" s="44"/>
      <c r="JJZ44" s="44"/>
      <c r="JKA44" s="44"/>
      <c r="JKB44" s="44"/>
      <c r="JKC44" s="44"/>
      <c r="JKD44" s="44"/>
      <c r="JKE44" s="44"/>
      <c r="JKF44" s="44"/>
      <c r="JKG44" s="44"/>
      <c r="JKH44" s="44"/>
      <c r="JKI44" s="44"/>
      <c r="JKJ44" s="44"/>
      <c r="JKK44" s="44"/>
      <c r="JKL44" s="44"/>
      <c r="JKM44" s="44"/>
      <c r="JKN44" s="44"/>
      <c r="JKO44" s="44"/>
      <c r="JKP44" s="44"/>
      <c r="JKQ44" s="44"/>
      <c r="JKR44" s="44"/>
      <c r="JKS44" s="44"/>
      <c r="JKT44" s="44"/>
      <c r="JKU44" s="44"/>
      <c r="JKV44" s="44"/>
      <c r="JKW44" s="44"/>
      <c r="JKX44" s="44"/>
      <c r="JKY44" s="44"/>
      <c r="JKZ44" s="44"/>
      <c r="JLA44" s="44"/>
      <c r="JLB44" s="44"/>
      <c r="JLC44" s="44"/>
      <c r="JLD44" s="44"/>
      <c r="JLE44" s="44"/>
      <c r="JLF44" s="44"/>
      <c r="JLG44" s="44"/>
      <c r="JLH44" s="44"/>
      <c r="JLI44" s="44"/>
      <c r="JLJ44" s="44"/>
      <c r="JLK44" s="44"/>
      <c r="JLL44" s="44"/>
      <c r="JLM44" s="44"/>
      <c r="JLN44" s="44"/>
      <c r="JLO44" s="44"/>
      <c r="JLP44" s="44"/>
      <c r="JLQ44" s="44"/>
      <c r="JLR44" s="44"/>
      <c r="JLS44" s="44"/>
      <c r="JLT44" s="44"/>
      <c r="JLU44" s="44"/>
      <c r="JLV44" s="44"/>
      <c r="JLW44" s="44"/>
      <c r="JLX44" s="44"/>
      <c r="JLY44" s="44"/>
      <c r="JLZ44" s="44"/>
      <c r="JMA44" s="44"/>
      <c r="JMB44" s="44"/>
      <c r="JMC44" s="44"/>
      <c r="JMD44" s="44"/>
      <c r="JME44" s="44"/>
      <c r="JMF44" s="44"/>
      <c r="JMG44" s="44"/>
      <c r="JMH44" s="44"/>
      <c r="JMI44" s="44"/>
      <c r="JMJ44" s="44"/>
      <c r="JMK44" s="44"/>
      <c r="JML44" s="44"/>
      <c r="JMM44" s="44"/>
      <c r="JMN44" s="44"/>
      <c r="JMO44" s="44"/>
      <c r="JMP44" s="44"/>
      <c r="JMQ44" s="44"/>
      <c r="JMR44" s="44"/>
      <c r="JMS44" s="44"/>
      <c r="JMT44" s="44"/>
      <c r="JMU44" s="44"/>
      <c r="JMV44" s="44"/>
      <c r="JMW44" s="44"/>
      <c r="JMX44" s="44"/>
      <c r="JMY44" s="44"/>
      <c r="JMZ44" s="44"/>
      <c r="JNA44" s="44"/>
      <c r="JNB44" s="44"/>
      <c r="JNC44" s="44"/>
      <c r="JND44" s="44"/>
      <c r="JNE44" s="44"/>
      <c r="JNF44" s="44"/>
      <c r="JNG44" s="44"/>
      <c r="JNH44" s="44"/>
      <c r="JNI44" s="44"/>
      <c r="JNJ44" s="44"/>
      <c r="JNK44" s="44"/>
      <c r="JNL44" s="44"/>
      <c r="JNM44" s="44"/>
      <c r="JNN44" s="44"/>
      <c r="JNO44" s="44"/>
      <c r="JNP44" s="44"/>
      <c r="JNQ44" s="44"/>
      <c r="JNR44" s="44"/>
      <c r="JNS44" s="44"/>
      <c r="JNT44" s="44"/>
      <c r="JNU44" s="44"/>
      <c r="JNV44" s="44"/>
      <c r="JNW44" s="44"/>
      <c r="JNX44" s="44"/>
      <c r="JNY44" s="44"/>
      <c r="JNZ44" s="44"/>
      <c r="JOA44" s="44"/>
      <c r="JOB44" s="44"/>
      <c r="JOC44" s="44"/>
      <c r="JOD44" s="44"/>
      <c r="JOE44" s="44"/>
      <c r="JOF44" s="44"/>
      <c r="JOG44" s="44"/>
      <c r="JOH44" s="44"/>
      <c r="JOI44" s="44"/>
      <c r="JOJ44" s="44"/>
      <c r="JOK44" s="44"/>
      <c r="JOL44" s="44"/>
      <c r="JOM44" s="44"/>
      <c r="JON44" s="44"/>
      <c r="JOO44" s="44"/>
      <c r="JOP44" s="44"/>
      <c r="JOQ44" s="44"/>
      <c r="JOR44" s="44"/>
      <c r="JOS44" s="44"/>
      <c r="JOT44" s="44"/>
      <c r="JOU44" s="44"/>
      <c r="JOV44" s="44"/>
      <c r="JOW44" s="44"/>
      <c r="JOX44" s="44"/>
      <c r="JOY44" s="44"/>
      <c r="JOZ44" s="44"/>
      <c r="JPA44" s="44"/>
      <c r="JPB44" s="44"/>
      <c r="JPC44" s="44"/>
      <c r="JPD44" s="44"/>
      <c r="JPE44" s="44"/>
      <c r="JPF44" s="44"/>
      <c r="JPG44" s="44"/>
      <c r="JPH44" s="44"/>
      <c r="JPI44" s="44"/>
      <c r="JPJ44" s="44"/>
      <c r="JPK44" s="44"/>
      <c r="JPL44" s="44"/>
      <c r="JPM44" s="44"/>
      <c r="JPN44" s="44"/>
      <c r="JPO44" s="44"/>
      <c r="JPP44" s="44"/>
      <c r="JPQ44" s="44"/>
      <c r="JPR44" s="44"/>
      <c r="JPS44" s="44"/>
      <c r="JPT44" s="44"/>
      <c r="JPU44" s="44"/>
      <c r="JPV44" s="44"/>
      <c r="JPW44" s="44"/>
      <c r="JPX44" s="44"/>
      <c r="JPY44" s="44"/>
      <c r="JPZ44" s="44"/>
      <c r="JQA44" s="44"/>
      <c r="JQB44" s="44"/>
      <c r="JQC44" s="44"/>
      <c r="JQD44" s="44"/>
      <c r="JQE44" s="44"/>
      <c r="JQF44" s="44"/>
      <c r="JQG44" s="44"/>
      <c r="JQH44" s="44"/>
      <c r="JQI44" s="44"/>
      <c r="JQJ44" s="44"/>
      <c r="JQK44" s="44"/>
      <c r="JQL44" s="44"/>
      <c r="JQM44" s="44"/>
      <c r="JQN44" s="44"/>
      <c r="JQO44" s="44"/>
      <c r="JQP44" s="44"/>
      <c r="JQQ44" s="44"/>
      <c r="JQR44" s="44"/>
      <c r="JQS44" s="44"/>
      <c r="JQT44" s="44"/>
      <c r="JQU44" s="44"/>
      <c r="JQV44" s="44"/>
      <c r="JQW44" s="44"/>
      <c r="JQX44" s="44"/>
      <c r="JQY44" s="44"/>
      <c r="JQZ44" s="44"/>
      <c r="JRA44" s="44"/>
      <c r="JRB44" s="44"/>
      <c r="JRC44" s="44"/>
      <c r="JRD44" s="44"/>
      <c r="JRE44" s="44"/>
      <c r="JRF44" s="44"/>
      <c r="JRG44" s="44"/>
      <c r="JRH44" s="44"/>
      <c r="JRI44" s="44"/>
      <c r="JRJ44" s="44"/>
      <c r="JRK44" s="44"/>
      <c r="JRL44" s="44"/>
      <c r="JRM44" s="44"/>
      <c r="JRN44" s="44"/>
      <c r="JRO44" s="44"/>
      <c r="JRP44" s="44"/>
      <c r="JRQ44" s="44"/>
      <c r="JRR44" s="44"/>
      <c r="JRS44" s="44"/>
      <c r="JRT44" s="44"/>
      <c r="JRU44" s="44"/>
      <c r="JRV44" s="44"/>
      <c r="JRW44" s="44"/>
      <c r="JRX44" s="44"/>
      <c r="JRY44" s="44"/>
      <c r="JRZ44" s="44"/>
      <c r="JSA44" s="44"/>
      <c r="JSB44" s="44"/>
      <c r="JSC44" s="44"/>
      <c r="JSD44" s="44"/>
      <c r="JSE44" s="44"/>
      <c r="JSF44" s="44"/>
      <c r="JSG44" s="44"/>
      <c r="JSH44" s="44"/>
      <c r="JSI44" s="44"/>
      <c r="JSJ44" s="44"/>
      <c r="JSK44" s="44"/>
      <c r="JSL44" s="44"/>
      <c r="JSM44" s="44"/>
      <c r="JSN44" s="44"/>
      <c r="JSO44" s="44"/>
      <c r="JSP44" s="44"/>
      <c r="JSQ44" s="44"/>
      <c r="JSR44" s="44"/>
      <c r="JSS44" s="44"/>
      <c r="JST44" s="44"/>
      <c r="JSU44" s="44"/>
      <c r="JSV44" s="44"/>
      <c r="JSW44" s="44"/>
      <c r="JSX44" s="44"/>
      <c r="JSY44" s="44"/>
      <c r="JSZ44" s="44"/>
      <c r="JTA44" s="44"/>
      <c r="JTB44" s="44"/>
      <c r="JTC44" s="44"/>
      <c r="JTD44" s="44"/>
      <c r="JTE44" s="44"/>
      <c r="JTF44" s="44"/>
      <c r="JTG44" s="44"/>
      <c r="JTH44" s="44"/>
      <c r="JTI44" s="44"/>
      <c r="JTJ44" s="44"/>
      <c r="JTK44" s="44"/>
      <c r="JTL44" s="44"/>
      <c r="JTM44" s="44"/>
      <c r="JTN44" s="44"/>
      <c r="JTO44" s="44"/>
      <c r="JTP44" s="44"/>
      <c r="JTQ44" s="44"/>
      <c r="JTR44" s="44"/>
      <c r="JTS44" s="44"/>
      <c r="JTT44" s="44"/>
      <c r="JTU44" s="44"/>
      <c r="JTV44" s="44"/>
      <c r="JTW44" s="44"/>
      <c r="JTX44" s="44"/>
      <c r="JTY44" s="44"/>
      <c r="JTZ44" s="44"/>
      <c r="JUA44" s="44"/>
      <c r="JUB44" s="44"/>
      <c r="JUC44" s="44"/>
      <c r="JUD44" s="44"/>
      <c r="JUE44" s="44"/>
      <c r="JUF44" s="44"/>
      <c r="JUG44" s="44"/>
      <c r="JUH44" s="44"/>
      <c r="JUI44" s="44"/>
      <c r="JUJ44" s="44"/>
      <c r="JUK44" s="44"/>
      <c r="JUL44" s="44"/>
      <c r="JUM44" s="44"/>
      <c r="JUN44" s="44"/>
      <c r="JUO44" s="44"/>
      <c r="JUP44" s="44"/>
      <c r="JUQ44" s="44"/>
      <c r="JUR44" s="44"/>
      <c r="JUS44" s="44"/>
      <c r="JUT44" s="44"/>
      <c r="JUU44" s="44"/>
      <c r="JUV44" s="44"/>
      <c r="JUW44" s="44"/>
      <c r="JUX44" s="44"/>
      <c r="JUY44" s="44"/>
      <c r="JUZ44" s="44"/>
      <c r="JVA44" s="44"/>
      <c r="JVB44" s="44"/>
      <c r="JVC44" s="44"/>
      <c r="JVD44" s="44"/>
      <c r="JVE44" s="44"/>
      <c r="JVF44" s="44"/>
      <c r="JVG44" s="44"/>
      <c r="JVH44" s="44"/>
      <c r="JVI44" s="44"/>
      <c r="JVJ44" s="44"/>
      <c r="JVK44" s="44"/>
      <c r="JVL44" s="44"/>
      <c r="JVM44" s="44"/>
      <c r="JVN44" s="44"/>
      <c r="JVO44" s="44"/>
      <c r="JVP44" s="44"/>
      <c r="JVQ44" s="44"/>
      <c r="JVR44" s="44"/>
      <c r="JVS44" s="44"/>
      <c r="JVT44" s="44"/>
      <c r="JVU44" s="44"/>
      <c r="JVV44" s="44"/>
      <c r="JVW44" s="44"/>
      <c r="JVX44" s="44"/>
      <c r="JVY44" s="44"/>
      <c r="JVZ44" s="44"/>
      <c r="JWA44" s="44"/>
      <c r="JWB44" s="44"/>
      <c r="JWC44" s="44"/>
      <c r="JWD44" s="44"/>
      <c r="JWE44" s="44"/>
      <c r="JWF44" s="44"/>
      <c r="JWG44" s="44"/>
      <c r="JWH44" s="44"/>
      <c r="JWI44" s="44"/>
      <c r="JWJ44" s="44"/>
      <c r="JWK44" s="44"/>
      <c r="JWL44" s="44"/>
      <c r="JWM44" s="44"/>
      <c r="JWN44" s="44"/>
      <c r="JWO44" s="44"/>
      <c r="JWP44" s="44"/>
      <c r="JWQ44" s="44"/>
      <c r="JWR44" s="44"/>
      <c r="JWS44" s="44"/>
      <c r="JWT44" s="44"/>
      <c r="JWU44" s="44"/>
      <c r="JWV44" s="44"/>
      <c r="JWW44" s="44"/>
      <c r="JWX44" s="44"/>
      <c r="JWY44" s="44"/>
      <c r="JWZ44" s="44"/>
      <c r="JXA44" s="44"/>
      <c r="JXB44" s="44"/>
      <c r="JXC44" s="44"/>
      <c r="JXD44" s="44"/>
      <c r="JXE44" s="44"/>
      <c r="JXF44" s="44"/>
      <c r="JXG44" s="44"/>
      <c r="JXH44" s="44"/>
      <c r="JXI44" s="44"/>
      <c r="JXJ44" s="44"/>
      <c r="JXK44" s="44"/>
      <c r="JXL44" s="44"/>
      <c r="JXM44" s="44"/>
      <c r="JXN44" s="44"/>
      <c r="JXO44" s="44"/>
      <c r="JXP44" s="44"/>
      <c r="JXQ44" s="44"/>
      <c r="JXR44" s="44"/>
      <c r="JXS44" s="44"/>
      <c r="JXT44" s="44"/>
      <c r="JXU44" s="44"/>
      <c r="JXV44" s="44"/>
      <c r="JXW44" s="44"/>
      <c r="JXX44" s="44"/>
      <c r="JXY44" s="44"/>
      <c r="JXZ44" s="44"/>
      <c r="JYA44" s="44"/>
      <c r="JYB44" s="44"/>
      <c r="JYC44" s="44"/>
      <c r="JYD44" s="44"/>
      <c r="JYE44" s="44"/>
      <c r="JYF44" s="44"/>
      <c r="JYG44" s="44"/>
      <c r="JYH44" s="44"/>
      <c r="JYI44" s="44"/>
      <c r="JYJ44" s="44"/>
      <c r="JYK44" s="44"/>
      <c r="JYL44" s="44"/>
      <c r="JYM44" s="44"/>
      <c r="JYN44" s="44"/>
      <c r="JYO44" s="44"/>
      <c r="JYP44" s="44"/>
      <c r="JYQ44" s="44"/>
      <c r="JYR44" s="44"/>
      <c r="JYS44" s="44"/>
      <c r="JYT44" s="44"/>
      <c r="JYU44" s="44"/>
      <c r="JYV44" s="44"/>
      <c r="JYW44" s="44"/>
      <c r="JYX44" s="44"/>
      <c r="JYY44" s="44"/>
      <c r="JYZ44" s="44"/>
      <c r="JZA44" s="44"/>
      <c r="JZB44" s="44"/>
      <c r="JZC44" s="44"/>
      <c r="JZD44" s="44"/>
      <c r="JZE44" s="44"/>
      <c r="JZF44" s="44"/>
      <c r="JZG44" s="44"/>
      <c r="JZH44" s="44"/>
      <c r="JZI44" s="44"/>
      <c r="JZJ44" s="44"/>
      <c r="JZK44" s="44"/>
      <c r="JZL44" s="44"/>
      <c r="JZM44" s="44"/>
      <c r="JZN44" s="44"/>
      <c r="JZO44" s="44"/>
      <c r="JZP44" s="44"/>
      <c r="JZQ44" s="44"/>
      <c r="JZR44" s="44"/>
      <c r="JZS44" s="44"/>
      <c r="JZT44" s="44"/>
      <c r="JZU44" s="44"/>
      <c r="JZV44" s="44"/>
      <c r="JZW44" s="44"/>
      <c r="JZX44" s="44"/>
      <c r="JZY44" s="44"/>
      <c r="JZZ44" s="44"/>
      <c r="KAA44" s="44"/>
      <c r="KAB44" s="44"/>
      <c r="KAC44" s="44"/>
      <c r="KAD44" s="44"/>
      <c r="KAE44" s="44"/>
      <c r="KAF44" s="44"/>
      <c r="KAG44" s="44"/>
      <c r="KAH44" s="44"/>
      <c r="KAI44" s="44"/>
      <c r="KAJ44" s="44"/>
      <c r="KAK44" s="44"/>
      <c r="KAL44" s="44"/>
      <c r="KAM44" s="44"/>
      <c r="KAN44" s="44"/>
      <c r="KAO44" s="44"/>
      <c r="KAP44" s="44"/>
      <c r="KAQ44" s="44"/>
      <c r="KAR44" s="44"/>
      <c r="KAS44" s="44"/>
      <c r="KAT44" s="44"/>
      <c r="KAU44" s="44"/>
      <c r="KAV44" s="44"/>
      <c r="KAW44" s="44"/>
      <c r="KAX44" s="44"/>
      <c r="KAY44" s="44"/>
      <c r="KAZ44" s="44"/>
      <c r="KBA44" s="44"/>
      <c r="KBB44" s="44"/>
      <c r="KBC44" s="44"/>
      <c r="KBD44" s="44"/>
      <c r="KBE44" s="44"/>
      <c r="KBF44" s="44"/>
      <c r="KBG44" s="44"/>
      <c r="KBH44" s="44"/>
      <c r="KBI44" s="44"/>
      <c r="KBJ44" s="44"/>
      <c r="KBK44" s="44"/>
      <c r="KBL44" s="44"/>
      <c r="KBM44" s="44"/>
      <c r="KBN44" s="44"/>
      <c r="KBO44" s="44"/>
      <c r="KBP44" s="44"/>
      <c r="KBQ44" s="44"/>
      <c r="KBR44" s="44"/>
      <c r="KBS44" s="44"/>
      <c r="KBT44" s="44"/>
      <c r="KBU44" s="44"/>
      <c r="KBV44" s="44"/>
      <c r="KBW44" s="44"/>
      <c r="KBX44" s="44"/>
      <c r="KBY44" s="44"/>
      <c r="KBZ44" s="44"/>
      <c r="KCA44" s="44"/>
      <c r="KCB44" s="44"/>
      <c r="KCC44" s="44"/>
      <c r="KCD44" s="44"/>
      <c r="KCE44" s="44"/>
      <c r="KCF44" s="44"/>
      <c r="KCG44" s="44"/>
      <c r="KCH44" s="44"/>
      <c r="KCI44" s="44"/>
      <c r="KCJ44" s="44"/>
      <c r="KCK44" s="44"/>
      <c r="KCL44" s="44"/>
      <c r="KCM44" s="44"/>
      <c r="KCN44" s="44"/>
      <c r="KCO44" s="44"/>
      <c r="KCP44" s="44"/>
      <c r="KCQ44" s="44"/>
      <c r="KCR44" s="44"/>
      <c r="KCS44" s="44"/>
      <c r="KCT44" s="44"/>
      <c r="KCU44" s="44"/>
      <c r="KCV44" s="44"/>
      <c r="KCW44" s="44"/>
      <c r="KCX44" s="44"/>
      <c r="KCY44" s="44"/>
      <c r="KCZ44" s="44"/>
      <c r="KDA44" s="44"/>
      <c r="KDB44" s="44"/>
      <c r="KDC44" s="44"/>
      <c r="KDD44" s="44"/>
      <c r="KDE44" s="44"/>
      <c r="KDF44" s="44"/>
      <c r="KDG44" s="44"/>
      <c r="KDH44" s="44"/>
      <c r="KDI44" s="44"/>
      <c r="KDJ44" s="44"/>
      <c r="KDK44" s="44"/>
      <c r="KDL44" s="44"/>
      <c r="KDM44" s="44"/>
      <c r="KDN44" s="44"/>
      <c r="KDO44" s="44"/>
      <c r="KDP44" s="44"/>
      <c r="KDQ44" s="44"/>
      <c r="KDR44" s="44"/>
      <c r="KDS44" s="44"/>
      <c r="KDT44" s="44"/>
      <c r="KDU44" s="44"/>
      <c r="KDV44" s="44"/>
      <c r="KDW44" s="44"/>
      <c r="KDX44" s="44"/>
      <c r="KDY44" s="44"/>
      <c r="KDZ44" s="44"/>
      <c r="KEA44" s="44"/>
      <c r="KEB44" s="44"/>
      <c r="KEC44" s="44"/>
      <c r="KED44" s="44"/>
      <c r="KEE44" s="44"/>
      <c r="KEF44" s="44"/>
      <c r="KEG44" s="44"/>
      <c r="KEH44" s="44"/>
      <c r="KEI44" s="44"/>
      <c r="KEJ44" s="44"/>
      <c r="KEK44" s="44"/>
      <c r="KEL44" s="44"/>
      <c r="KEM44" s="44"/>
      <c r="KEN44" s="44"/>
      <c r="KEO44" s="44"/>
      <c r="KEP44" s="44"/>
      <c r="KEQ44" s="44"/>
      <c r="KER44" s="44"/>
      <c r="KES44" s="44"/>
      <c r="KET44" s="44"/>
      <c r="KEU44" s="44"/>
      <c r="KEV44" s="44"/>
      <c r="KEW44" s="44"/>
      <c r="KEX44" s="44"/>
      <c r="KEY44" s="44"/>
      <c r="KEZ44" s="44"/>
      <c r="KFA44" s="44"/>
      <c r="KFB44" s="44"/>
      <c r="KFC44" s="44"/>
      <c r="KFD44" s="44"/>
      <c r="KFE44" s="44"/>
      <c r="KFF44" s="44"/>
      <c r="KFG44" s="44"/>
      <c r="KFH44" s="44"/>
      <c r="KFI44" s="44"/>
      <c r="KFJ44" s="44"/>
      <c r="KFK44" s="44"/>
      <c r="KFL44" s="44"/>
      <c r="KFM44" s="44"/>
      <c r="KFN44" s="44"/>
      <c r="KFO44" s="44"/>
      <c r="KFP44" s="44"/>
      <c r="KFQ44" s="44"/>
      <c r="KFR44" s="44"/>
      <c r="KFS44" s="44"/>
      <c r="KFT44" s="44"/>
      <c r="KFU44" s="44"/>
      <c r="KFV44" s="44"/>
      <c r="KFW44" s="44"/>
      <c r="KFX44" s="44"/>
      <c r="KFY44" s="44"/>
      <c r="KFZ44" s="44"/>
      <c r="KGA44" s="44"/>
      <c r="KGB44" s="44"/>
      <c r="KGC44" s="44"/>
      <c r="KGD44" s="44"/>
      <c r="KGE44" s="44"/>
      <c r="KGF44" s="44"/>
      <c r="KGG44" s="44"/>
      <c r="KGH44" s="44"/>
      <c r="KGI44" s="44"/>
      <c r="KGJ44" s="44"/>
      <c r="KGK44" s="44"/>
      <c r="KGL44" s="44"/>
      <c r="KGM44" s="44"/>
      <c r="KGN44" s="44"/>
      <c r="KGO44" s="44"/>
      <c r="KGP44" s="44"/>
      <c r="KGQ44" s="44"/>
      <c r="KGR44" s="44"/>
      <c r="KGS44" s="44"/>
      <c r="KGT44" s="44"/>
      <c r="KGU44" s="44"/>
      <c r="KGV44" s="44"/>
      <c r="KGW44" s="44"/>
      <c r="KGX44" s="44"/>
      <c r="KGY44" s="44"/>
      <c r="KGZ44" s="44"/>
      <c r="KHA44" s="44"/>
      <c r="KHB44" s="44"/>
      <c r="KHC44" s="44"/>
      <c r="KHD44" s="44"/>
      <c r="KHE44" s="44"/>
      <c r="KHF44" s="44"/>
      <c r="KHG44" s="44"/>
      <c r="KHH44" s="44"/>
      <c r="KHI44" s="44"/>
      <c r="KHJ44" s="44"/>
      <c r="KHK44" s="44"/>
      <c r="KHL44" s="44"/>
      <c r="KHM44" s="44"/>
      <c r="KHN44" s="44"/>
      <c r="KHO44" s="44"/>
      <c r="KHP44" s="44"/>
      <c r="KHQ44" s="44"/>
      <c r="KHR44" s="44"/>
      <c r="KHS44" s="44"/>
      <c r="KHT44" s="44"/>
      <c r="KHU44" s="44"/>
      <c r="KHV44" s="44"/>
      <c r="KHW44" s="44"/>
      <c r="KHX44" s="44"/>
      <c r="KHY44" s="44"/>
      <c r="KHZ44" s="44"/>
      <c r="KIA44" s="44"/>
      <c r="KIB44" s="44"/>
      <c r="KIC44" s="44"/>
      <c r="KID44" s="44"/>
      <c r="KIE44" s="44"/>
      <c r="KIF44" s="44"/>
      <c r="KIG44" s="44"/>
      <c r="KIH44" s="44"/>
      <c r="KII44" s="44"/>
      <c r="KIJ44" s="44"/>
      <c r="KIK44" s="44"/>
      <c r="KIL44" s="44"/>
      <c r="KIM44" s="44"/>
      <c r="KIN44" s="44"/>
      <c r="KIO44" s="44"/>
      <c r="KIP44" s="44"/>
      <c r="KIQ44" s="44"/>
      <c r="KIR44" s="44"/>
      <c r="KIS44" s="44"/>
      <c r="KIT44" s="44"/>
      <c r="KIU44" s="44"/>
      <c r="KIV44" s="44"/>
      <c r="KIW44" s="44"/>
      <c r="KIX44" s="44"/>
      <c r="KIY44" s="44"/>
      <c r="KIZ44" s="44"/>
      <c r="KJA44" s="44"/>
      <c r="KJB44" s="44"/>
      <c r="KJC44" s="44"/>
      <c r="KJD44" s="44"/>
      <c r="KJE44" s="44"/>
      <c r="KJF44" s="44"/>
      <c r="KJG44" s="44"/>
      <c r="KJH44" s="44"/>
      <c r="KJI44" s="44"/>
      <c r="KJJ44" s="44"/>
      <c r="KJK44" s="44"/>
      <c r="KJL44" s="44"/>
      <c r="KJM44" s="44"/>
      <c r="KJN44" s="44"/>
      <c r="KJO44" s="44"/>
      <c r="KJP44" s="44"/>
      <c r="KJQ44" s="44"/>
      <c r="KJR44" s="44"/>
      <c r="KJS44" s="44"/>
      <c r="KJT44" s="44"/>
      <c r="KJU44" s="44"/>
      <c r="KJV44" s="44"/>
      <c r="KJW44" s="44"/>
      <c r="KJX44" s="44"/>
      <c r="KJY44" s="44"/>
      <c r="KJZ44" s="44"/>
      <c r="KKA44" s="44"/>
      <c r="KKB44" s="44"/>
      <c r="KKC44" s="44"/>
      <c r="KKD44" s="44"/>
      <c r="KKE44" s="44"/>
      <c r="KKF44" s="44"/>
      <c r="KKG44" s="44"/>
      <c r="KKH44" s="44"/>
      <c r="KKI44" s="44"/>
      <c r="KKJ44" s="44"/>
      <c r="KKK44" s="44"/>
      <c r="KKL44" s="44"/>
      <c r="KKM44" s="44"/>
      <c r="KKN44" s="44"/>
      <c r="KKO44" s="44"/>
      <c r="KKP44" s="44"/>
      <c r="KKQ44" s="44"/>
      <c r="KKR44" s="44"/>
      <c r="KKS44" s="44"/>
      <c r="KKT44" s="44"/>
      <c r="KKU44" s="44"/>
      <c r="KKV44" s="44"/>
      <c r="KKW44" s="44"/>
      <c r="KKX44" s="44"/>
      <c r="KKY44" s="44"/>
      <c r="KKZ44" s="44"/>
      <c r="KLA44" s="44"/>
      <c r="KLB44" s="44"/>
      <c r="KLC44" s="44"/>
      <c r="KLD44" s="44"/>
      <c r="KLE44" s="44"/>
      <c r="KLF44" s="44"/>
      <c r="KLG44" s="44"/>
      <c r="KLH44" s="44"/>
      <c r="KLI44" s="44"/>
      <c r="KLJ44" s="44"/>
      <c r="KLK44" s="44"/>
      <c r="KLL44" s="44"/>
      <c r="KLM44" s="44"/>
      <c r="KLN44" s="44"/>
      <c r="KLO44" s="44"/>
      <c r="KLP44" s="44"/>
      <c r="KLQ44" s="44"/>
      <c r="KLR44" s="44"/>
      <c r="KLS44" s="44"/>
      <c r="KLT44" s="44"/>
      <c r="KLU44" s="44"/>
      <c r="KLV44" s="44"/>
      <c r="KLW44" s="44"/>
      <c r="KLX44" s="44"/>
      <c r="KLY44" s="44"/>
      <c r="KLZ44" s="44"/>
      <c r="KMA44" s="44"/>
      <c r="KMB44" s="44"/>
      <c r="KMC44" s="44"/>
      <c r="KMD44" s="44"/>
      <c r="KME44" s="44"/>
      <c r="KMF44" s="44"/>
      <c r="KMG44" s="44"/>
      <c r="KMH44" s="44"/>
      <c r="KMI44" s="44"/>
      <c r="KMJ44" s="44"/>
      <c r="KMK44" s="44"/>
      <c r="KML44" s="44"/>
      <c r="KMM44" s="44"/>
      <c r="KMN44" s="44"/>
      <c r="KMO44" s="44"/>
      <c r="KMP44" s="44"/>
      <c r="KMQ44" s="44"/>
      <c r="KMR44" s="44"/>
      <c r="KMS44" s="44"/>
      <c r="KMT44" s="44"/>
      <c r="KMU44" s="44"/>
      <c r="KMV44" s="44"/>
      <c r="KMW44" s="44"/>
      <c r="KMX44" s="44"/>
      <c r="KMY44" s="44"/>
      <c r="KMZ44" s="44"/>
      <c r="KNA44" s="44"/>
      <c r="KNB44" s="44"/>
      <c r="KNC44" s="44"/>
      <c r="KND44" s="44"/>
      <c r="KNE44" s="44"/>
      <c r="KNF44" s="44"/>
      <c r="KNG44" s="44"/>
      <c r="KNH44" s="44"/>
      <c r="KNI44" s="44"/>
      <c r="KNJ44" s="44"/>
      <c r="KNK44" s="44"/>
      <c r="KNL44" s="44"/>
      <c r="KNM44" s="44"/>
      <c r="KNN44" s="44"/>
      <c r="KNO44" s="44"/>
      <c r="KNP44" s="44"/>
      <c r="KNQ44" s="44"/>
      <c r="KNR44" s="44"/>
      <c r="KNS44" s="44"/>
      <c r="KNT44" s="44"/>
      <c r="KNU44" s="44"/>
      <c r="KNV44" s="44"/>
      <c r="KNW44" s="44"/>
      <c r="KNX44" s="44"/>
      <c r="KNY44" s="44"/>
      <c r="KNZ44" s="44"/>
      <c r="KOA44" s="44"/>
      <c r="KOB44" s="44"/>
      <c r="KOC44" s="44"/>
      <c r="KOD44" s="44"/>
      <c r="KOE44" s="44"/>
      <c r="KOF44" s="44"/>
      <c r="KOG44" s="44"/>
      <c r="KOH44" s="44"/>
      <c r="KOI44" s="44"/>
      <c r="KOJ44" s="44"/>
      <c r="KOK44" s="44"/>
      <c r="KOL44" s="44"/>
      <c r="KOM44" s="44"/>
      <c r="KON44" s="44"/>
      <c r="KOO44" s="44"/>
      <c r="KOP44" s="44"/>
      <c r="KOQ44" s="44"/>
      <c r="KOR44" s="44"/>
      <c r="KOS44" s="44"/>
      <c r="KOT44" s="44"/>
      <c r="KOU44" s="44"/>
      <c r="KOV44" s="44"/>
      <c r="KOW44" s="44"/>
      <c r="KOX44" s="44"/>
      <c r="KOY44" s="44"/>
      <c r="KOZ44" s="44"/>
      <c r="KPA44" s="44"/>
      <c r="KPB44" s="44"/>
      <c r="KPC44" s="44"/>
      <c r="KPD44" s="44"/>
      <c r="KPE44" s="44"/>
      <c r="KPF44" s="44"/>
      <c r="KPG44" s="44"/>
      <c r="KPH44" s="44"/>
      <c r="KPI44" s="44"/>
      <c r="KPJ44" s="44"/>
      <c r="KPK44" s="44"/>
      <c r="KPL44" s="44"/>
      <c r="KPM44" s="44"/>
      <c r="KPN44" s="44"/>
      <c r="KPO44" s="44"/>
      <c r="KPP44" s="44"/>
      <c r="KPQ44" s="44"/>
      <c r="KPR44" s="44"/>
      <c r="KPS44" s="44"/>
      <c r="KPT44" s="44"/>
      <c r="KPU44" s="44"/>
      <c r="KPV44" s="44"/>
      <c r="KPW44" s="44"/>
      <c r="KPX44" s="44"/>
      <c r="KPY44" s="44"/>
      <c r="KPZ44" s="44"/>
      <c r="KQA44" s="44"/>
      <c r="KQB44" s="44"/>
      <c r="KQC44" s="44"/>
      <c r="KQD44" s="44"/>
      <c r="KQE44" s="44"/>
      <c r="KQF44" s="44"/>
      <c r="KQG44" s="44"/>
      <c r="KQH44" s="44"/>
      <c r="KQI44" s="44"/>
      <c r="KQJ44" s="44"/>
      <c r="KQK44" s="44"/>
      <c r="KQL44" s="44"/>
      <c r="KQM44" s="44"/>
      <c r="KQN44" s="44"/>
      <c r="KQO44" s="44"/>
      <c r="KQP44" s="44"/>
      <c r="KQQ44" s="44"/>
      <c r="KQR44" s="44"/>
      <c r="KQS44" s="44"/>
      <c r="KQT44" s="44"/>
      <c r="KQU44" s="44"/>
      <c r="KQV44" s="44"/>
      <c r="KQW44" s="44"/>
      <c r="KQX44" s="44"/>
      <c r="KQY44" s="44"/>
      <c r="KQZ44" s="44"/>
      <c r="KRA44" s="44"/>
      <c r="KRB44" s="44"/>
      <c r="KRC44" s="44"/>
      <c r="KRD44" s="44"/>
      <c r="KRE44" s="44"/>
      <c r="KRF44" s="44"/>
      <c r="KRG44" s="44"/>
      <c r="KRH44" s="44"/>
      <c r="KRI44" s="44"/>
      <c r="KRJ44" s="44"/>
      <c r="KRK44" s="44"/>
      <c r="KRL44" s="44"/>
      <c r="KRM44" s="44"/>
      <c r="KRN44" s="44"/>
      <c r="KRO44" s="44"/>
      <c r="KRP44" s="44"/>
      <c r="KRQ44" s="44"/>
      <c r="KRR44" s="44"/>
      <c r="KRS44" s="44"/>
      <c r="KRT44" s="44"/>
      <c r="KRU44" s="44"/>
      <c r="KRV44" s="44"/>
      <c r="KRW44" s="44"/>
      <c r="KRX44" s="44"/>
      <c r="KRY44" s="44"/>
      <c r="KRZ44" s="44"/>
      <c r="KSA44" s="44"/>
      <c r="KSB44" s="44"/>
      <c r="KSC44" s="44"/>
      <c r="KSD44" s="44"/>
      <c r="KSE44" s="44"/>
      <c r="KSF44" s="44"/>
      <c r="KSG44" s="44"/>
      <c r="KSH44" s="44"/>
      <c r="KSI44" s="44"/>
      <c r="KSJ44" s="44"/>
      <c r="KSK44" s="44"/>
      <c r="KSL44" s="44"/>
      <c r="KSM44" s="44"/>
      <c r="KSN44" s="44"/>
      <c r="KSO44" s="44"/>
      <c r="KSP44" s="44"/>
      <c r="KSQ44" s="44"/>
      <c r="KSR44" s="44"/>
      <c r="KSS44" s="44"/>
      <c r="KST44" s="44"/>
      <c r="KSU44" s="44"/>
      <c r="KSV44" s="44"/>
      <c r="KSW44" s="44"/>
      <c r="KSX44" s="44"/>
      <c r="KSY44" s="44"/>
      <c r="KSZ44" s="44"/>
      <c r="KTA44" s="44"/>
      <c r="KTB44" s="44"/>
      <c r="KTC44" s="44"/>
      <c r="KTD44" s="44"/>
      <c r="KTE44" s="44"/>
      <c r="KTF44" s="44"/>
      <c r="KTG44" s="44"/>
      <c r="KTH44" s="44"/>
      <c r="KTI44" s="44"/>
      <c r="KTJ44" s="44"/>
      <c r="KTK44" s="44"/>
      <c r="KTL44" s="44"/>
      <c r="KTM44" s="44"/>
      <c r="KTN44" s="44"/>
      <c r="KTO44" s="44"/>
      <c r="KTP44" s="44"/>
      <c r="KTQ44" s="44"/>
      <c r="KTR44" s="44"/>
      <c r="KTS44" s="44"/>
      <c r="KTT44" s="44"/>
      <c r="KTU44" s="44"/>
      <c r="KTV44" s="44"/>
      <c r="KTW44" s="44"/>
      <c r="KTX44" s="44"/>
      <c r="KTY44" s="44"/>
      <c r="KTZ44" s="44"/>
      <c r="KUA44" s="44"/>
      <c r="KUB44" s="44"/>
      <c r="KUC44" s="44"/>
      <c r="KUD44" s="44"/>
      <c r="KUE44" s="44"/>
      <c r="KUF44" s="44"/>
      <c r="KUG44" s="44"/>
      <c r="KUH44" s="44"/>
      <c r="KUI44" s="44"/>
      <c r="KUJ44" s="44"/>
      <c r="KUK44" s="44"/>
      <c r="KUL44" s="44"/>
      <c r="KUM44" s="44"/>
      <c r="KUN44" s="44"/>
      <c r="KUO44" s="44"/>
      <c r="KUP44" s="44"/>
      <c r="KUQ44" s="44"/>
      <c r="KUR44" s="44"/>
      <c r="KUS44" s="44"/>
      <c r="KUT44" s="44"/>
      <c r="KUU44" s="44"/>
      <c r="KUV44" s="44"/>
      <c r="KUW44" s="44"/>
      <c r="KUX44" s="44"/>
      <c r="KUY44" s="44"/>
      <c r="KUZ44" s="44"/>
      <c r="KVA44" s="44"/>
      <c r="KVB44" s="44"/>
      <c r="KVC44" s="44"/>
      <c r="KVD44" s="44"/>
      <c r="KVE44" s="44"/>
      <c r="KVF44" s="44"/>
      <c r="KVG44" s="44"/>
      <c r="KVH44" s="44"/>
      <c r="KVI44" s="44"/>
      <c r="KVJ44" s="44"/>
      <c r="KVK44" s="44"/>
      <c r="KVL44" s="44"/>
      <c r="KVM44" s="44"/>
      <c r="KVN44" s="44"/>
      <c r="KVO44" s="44"/>
      <c r="KVP44" s="44"/>
      <c r="KVQ44" s="44"/>
      <c r="KVR44" s="44"/>
      <c r="KVS44" s="44"/>
      <c r="KVT44" s="44"/>
      <c r="KVU44" s="44"/>
      <c r="KVV44" s="44"/>
      <c r="KVW44" s="44"/>
      <c r="KVX44" s="44"/>
      <c r="KVY44" s="44"/>
      <c r="KVZ44" s="44"/>
      <c r="KWA44" s="44"/>
      <c r="KWB44" s="44"/>
      <c r="KWC44" s="44"/>
      <c r="KWD44" s="44"/>
      <c r="KWE44" s="44"/>
      <c r="KWF44" s="44"/>
      <c r="KWG44" s="44"/>
      <c r="KWH44" s="44"/>
      <c r="KWI44" s="44"/>
      <c r="KWJ44" s="44"/>
      <c r="KWK44" s="44"/>
      <c r="KWL44" s="44"/>
      <c r="KWM44" s="44"/>
      <c r="KWN44" s="44"/>
      <c r="KWO44" s="44"/>
      <c r="KWP44" s="44"/>
      <c r="KWQ44" s="44"/>
      <c r="KWR44" s="44"/>
      <c r="KWS44" s="44"/>
      <c r="KWT44" s="44"/>
      <c r="KWU44" s="44"/>
      <c r="KWV44" s="44"/>
      <c r="KWW44" s="44"/>
      <c r="KWX44" s="44"/>
      <c r="KWY44" s="44"/>
      <c r="KWZ44" s="44"/>
      <c r="KXA44" s="44"/>
      <c r="KXB44" s="44"/>
      <c r="KXC44" s="44"/>
      <c r="KXD44" s="44"/>
      <c r="KXE44" s="44"/>
      <c r="KXF44" s="44"/>
      <c r="KXG44" s="44"/>
      <c r="KXH44" s="44"/>
      <c r="KXI44" s="44"/>
      <c r="KXJ44" s="44"/>
      <c r="KXK44" s="44"/>
      <c r="KXL44" s="44"/>
      <c r="KXM44" s="44"/>
      <c r="KXN44" s="44"/>
      <c r="KXO44" s="44"/>
      <c r="KXP44" s="44"/>
      <c r="KXQ44" s="44"/>
      <c r="KXR44" s="44"/>
      <c r="KXS44" s="44"/>
      <c r="KXT44" s="44"/>
      <c r="KXU44" s="44"/>
      <c r="KXV44" s="44"/>
      <c r="KXW44" s="44"/>
      <c r="KXX44" s="44"/>
      <c r="KXY44" s="44"/>
      <c r="KXZ44" s="44"/>
      <c r="KYA44" s="44"/>
      <c r="KYB44" s="44"/>
      <c r="KYC44" s="44"/>
      <c r="KYD44" s="44"/>
      <c r="KYE44" s="44"/>
      <c r="KYF44" s="44"/>
      <c r="KYG44" s="44"/>
      <c r="KYH44" s="44"/>
      <c r="KYI44" s="44"/>
      <c r="KYJ44" s="44"/>
      <c r="KYK44" s="44"/>
      <c r="KYL44" s="44"/>
      <c r="KYM44" s="44"/>
      <c r="KYN44" s="44"/>
      <c r="KYO44" s="44"/>
      <c r="KYP44" s="44"/>
      <c r="KYQ44" s="44"/>
      <c r="KYR44" s="44"/>
      <c r="KYS44" s="44"/>
      <c r="KYT44" s="44"/>
      <c r="KYU44" s="44"/>
      <c r="KYV44" s="44"/>
      <c r="KYW44" s="44"/>
      <c r="KYX44" s="44"/>
      <c r="KYY44" s="44"/>
      <c r="KYZ44" s="44"/>
      <c r="KZA44" s="44"/>
      <c r="KZB44" s="44"/>
      <c r="KZC44" s="44"/>
      <c r="KZD44" s="44"/>
      <c r="KZE44" s="44"/>
      <c r="KZF44" s="44"/>
      <c r="KZG44" s="44"/>
      <c r="KZH44" s="44"/>
      <c r="KZI44" s="44"/>
      <c r="KZJ44" s="44"/>
      <c r="KZK44" s="44"/>
      <c r="KZL44" s="44"/>
      <c r="KZM44" s="44"/>
      <c r="KZN44" s="44"/>
      <c r="KZO44" s="44"/>
      <c r="KZP44" s="44"/>
      <c r="KZQ44" s="44"/>
      <c r="KZR44" s="44"/>
      <c r="KZS44" s="44"/>
      <c r="KZT44" s="44"/>
      <c r="KZU44" s="44"/>
      <c r="KZV44" s="44"/>
      <c r="KZW44" s="44"/>
      <c r="KZX44" s="44"/>
      <c r="KZY44" s="44"/>
      <c r="KZZ44" s="44"/>
      <c r="LAA44" s="44"/>
      <c r="LAB44" s="44"/>
      <c r="LAC44" s="44"/>
      <c r="LAD44" s="44"/>
      <c r="LAE44" s="44"/>
      <c r="LAF44" s="44"/>
      <c r="LAG44" s="44"/>
      <c r="LAH44" s="44"/>
      <c r="LAI44" s="44"/>
      <c r="LAJ44" s="44"/>
      <c r="LAK44" s="44"/>
      <c r="LAL44" s="44"/>
      <c r="LAM44" s="44"/>
      <c r="LAN44" s="44"/>
      <c r="LAO44" s="44"/>
      <c r="LAP44" s="44"/>
      <c r="LAQ44" s="44"/>
      <c r="LAR44" s="44"/>
      <c r="LAS44" s="44"/>
      <c r="LAT44" s="44"/>
      <c r="LAU44" s="44"/>
      <c r="LAV44" s="44"/>
      <c r="LAW44" s="44"/>
      <c r="LAX44" s="44"/>
      <c r="LAY44" s="44"/>
      <c r="LAZ44" s="44"/>
      <c r="LBA44" s="44"/>
      <c r="LBB44" s="44"/>
      <c r="LBC44" s="44"/>
      <c r="LBD44" s="44"/>
      <c r="LBE44" s="44"/>
      <c r="LBF44" s="44"/>
      <c r="LBG44" s="44"/>
      <c r="LBH44" s="44"/>
      <c r="LBI44" s="44"/>
      <c r="LBJ44" s="44"/>
      <c r="LBK44" s="44"/>
      <c r="LBL44" s="44"/>
      <c r="LBM44" s="44"/>
      <c r="LBN44" s="44"/>
      <c r="LBO44" s="44"/>
      <c r="LBP44" s="44"/>
      <c r="LBQ44" s="44"/>
      <c r="LBR44" s="44"/>
      <c r="LBS44" s="44"/>
      <c r="LBT44" s="44"/>
      <c r="LBU44" s="44"/>
      <c r="LBV44" s="44"/>
      <c r="LBW44" s="44"/>
      <c r="LBX44" s="44"/>
      <c r="LBY44" s="44"/>
      <c r="LBZ44" s="44"/>
      <c r="LCA44" s="44"/>
      <c r="LCB44" s="44"/>
      <c r="LCC44" s="44"/>
      <c r="LCD44" s="44"/>
      <c r="LCE44" s="44"/>
      <c r="LCF44" s="44"/>
      <c r="LCG44" s="44"/>
      <c r="LCH44" s="44"/>
      <c r="LCI44" s="44"/>
      <c r="LCJ44" s="44"/>
      <c r="LCK44" s="44"/>
      <c r="LCL44" s="44"/>
      <c r="LCM44" s="44"/>
      <c r="LCN44" s="44"/>
      <c r="LCO44" s="44"/>
      <c r="LCP44" s="44"/>
      <c r="LCQ44" s="44"/>
      <c r="LCR44" s="44"/>
      <c r="LCS44" s="44"/>
      <c r="LCT44" s="44"/>
      <c r="LCU44" s="44"/>
      <c r="LCV44" s="44"/>
      <c r="LCW44" s="44"/>
      <c r="LCX44" s="44"/>
      <c r="LCY44" s="44"/>
      <c r="LCZ44" s="44"/>
      <c r="LDA44" s="44"/>
      <c r="LDB44" s="44"/>
      <c r="LDC44" s="44"/>
      <c r="LDD44" s="44"/>
      <c r="LDE44" s="44"/>
      <c r="LDF44" s="44"/>
      <c r="LDG44" s="44"/>
      <c r="LDH44" s="44"/>
      <c r="LDI44" s="44"/>
      <c r="LDJ44" s="44"/>
      <c r="LDK44" s="44"/>
      <c r="LDL44" s="44"/>
      <c r="LDM44" s="44"/>
      <c r="LDN44" s="44"/>
      <c r="LDO44" s="44"/>
      <c r="LDP44" s="44"/>
      <c r="LDQ44" s="44"/>
      <c r="LDR44" s="44"/>
      <c r="LDS44" s="44"/>
      <c r="LDT44" s="44"/>
      <c r="LDU44" s="44"/>
      <c r="LDV44" s="44"/>
      <c r="LDW44" s="44"/>
      <c r="LDX44" s="44"/>
      <c r="LDY44" s="44"/>
      <c r="LDZ44" s="44"/>
      <c r="LEA44" s="44"/>
      <c r="LEB44" s="44"/>
      <c r="LEC44" s="44"/>
      <c r="LED44" s="44"/>
      <c r="LEE44" s="44"/>
      <c r="LEF44" s="44"/>
      <c r="LEG44" s="44"/>
      <c r="LEH44" s="44"/>
      <c r="LEI44" s="44"/>
      <c r="LEJ44" s="44"/>
      <c r="LEK44" s="44"/>
      <c r="LEL44" s="44"/>
      <c r="LEM44" s="44"/>
      <c r="LEN44" s="44"/>
      <c r="LEO44" s="44"/>
      <c r="LEP44" s="44"/>
      <c r="LEQ44" s="44"/>
      <c r="LER44" s="44"/>
      <c r="LES44" s="44"/>
      <c r="LET44" s="44"/>
      <c r="LEU44" s="44"/>
      <c r="LEV44" s="44"/>
      <c r="LEW44" s="44"/>
      <c r="LEX44" s="44"/>
      <c r="LEY44" s="44"/>
      <c r="LEZ44" s="44"/>
      <c r="LFA44" s="44"/>
      <c r="LFB44" s="44"/>
      <c r="LFC44" s="44"/>
      <c r="LFD44" s="44"/>
      <c r="LFE44" s="44"/>
      <c r="LFF44" s="44"/>
      <c r="LFG44" s="44"/>
      <c r="LFH44" s="44"/>
      <c r="LFI44" s="44"/>
      <c r="LFJ44" s="44"/>
      <c r="LFK44" s="44"/>
      <c r="LFL44" s="44"/>
      <c r="LFM44" s="44"/>
      <c r="LFN44" s="44"/>
      <c r="LFO44" s="44"/>
      <c r="LFP44" s="44"/>
      <c r="LFQ44" s="44"/>
      <c r="LFR44" s="44"/>
      <c r="LFS44" s="44"/>
      <c r="LFT44" s="44"/>
      <c r="LFU44" s="44"/>
      <c r="LFV44" s="44"/>
      <c r="LFW44" s="44"/>
      <c r="LFX44" s="44"/>
      <c r="LFY44" s="44"/>
      <c r="LFZ44" s="44"/>
      <c r="LGA44" s="44"/>
      <c r="LGB44" s="44"/>
      <c r="LGC44" s="44"/>
      <c r="LGD44" s="44"/>
      <c r="LGE44" s="44"/>
      <c r="LGF44" s="44"/>
      <c r="LGG44" s="44"/>
      <c r="LGH44" s="44"/>
      <c r="LGI44" s="44"/>
      <c r="LGJ44" s="44"/>
      <c r="LGK44" s="44"/>
      <c r="LGL44" s="44"/>
      <c r="LGM44" s="44"/>
      <c r="LGN44" s="44"/>
      <c r="LGO44" s="44"/>
      <c r="LGP44" s="44"/>
      <c r="LGQ44" s="44"/>
      <c r="LGR44" s="44"/>
      <c r="LGS44" s="44"/>
      <c r="LGT44" s="44"/>
      <c r="LGU44" s="44"/>
      <c r="LGV44" s="44"/>
      <c r="LGW44" s="44"/>
      <c r="LGX44" s="44"/>
      <c r="LGY44" s="44"/>
      <c r="LGZ44" s="44"/>
      <c r="LHA44" s="44"/>
      <c r="LHB44" s="44"/>
      <c r="LHC44" s="44"/>
      <c r="LHD44" s="44"/>
      <c r="LHE44" s="44"/>
      <c r="LHF44" s="44"/>
      <c r="LHG44" s="44"/>
      <c r="LHH44" s="44"/>
      <c r="LHI44" s="44"/>
      <c r="LHJ44" s="44"/>
      <c r="LHK44" s="44"/>
      <c r="LHL44" s="44"/>
      <c r="LHM44" s="44"/>
      <c r="LHN44" s="44"/>
      <c r="LHO44" s="44"/>
      <c r="LHP44" s="44"/>
      <c r="LHQ44" s="44"/>
      <c r="LHR44" s="44"/>
      <c r="LHS44" s="44"/>
      <c r="LHT44" s="44"/>
      <c r="LHU44" s="44"/>
      <c r="LHV44" s="44"/>
      <c r="LHW44" s="44"/>
      <c r="LHX44" s="44"/>
      <c r="LHY44" s="44"/>
      <c r="LHZ44" s="44"/>
      <c r="LIA44" s="44"/>
      <c r="LIB44" s="44"/>
      <c r="LIC44" s="44"/>
      <c r="LID44" s="44"/>
      <c r="LIE44" s="44"/>
      <c r="LIF44" s="44"/>
      <c r="LIG44" s="44"/>
      <c r="LIH44" s="44"/>
      <c r="LII44" s="44"/>
      <c r="LIJ44" s="44"/>
      <c r="LIK44" s="44"/>
      <c r="LIL44" s="44"/>
      <c r="LIM44" s="44"/>
      <c r="LIN44" s="44"/>
      <c r="LIO44" s="44"/>
      <c r="LIP44" s="44"/>
      <c r="LIQ44" s="44"/>
      <c r="LIR44" s="44"/>
      <c r="LIS44" s="44"/>
      <c r="LIT44" s="44"/>
      <c r="LIU44" s="44"/>
      <c r="LIV44" s="44"/>
      <c r="LIW44" s="44"/>
      <c r="LIX44" s="44"/>
      <c r="LIY44" s="44"/>
      <c r="LIZ44" s="44"/>
      <c r="LJA44" s="44"/>
      <c r="LJB44" s="44"/>
      <c r="LJC44" s="44"/>
      <c r="LJD44" s="44"/>
      <c r="LJE44" s="44"/>
      <c r="LJF44" s="44"/>
      <c r="LJG44" s="44"/>
      <c r="LJH44" s="44"/>
      <c r="LJI44" s="44"/>
      <c r="LJJ44" s="44"/>
      <c r="LJK44" s="44"/>
      <c r="LJL44" s="44"/>
      <c r="LJM44" s="44"/>
      <c r="LJN44" s="44"/>
      <c r="LJO44" s="44"/>
      <c r="LJP44" s="44"/>
      <c r="LJQ44" s="44"/>
      <c r="LJR44" s="44"/>
      <c r="LJS44" s="44"/>
      <c r="LJT44" s="44"/>
      <c r="LJU44" s="44"/>
      <c r="LJV44" s="44"/>
      <c r="LJW44" s="44"/>
      <c r="LJX44" s="44"/>
      <c r="LJY44" s="44"/>
      <c r="LJZ44" s="44"/>
      <c r="LKA44" s="44"/>
      <c r="LKB44" s="44"/>
      <c r="LKC44" s="44"/>
      <c r="LKD44" s="44"/>
      <c r="LKE44" s="44"/>
      <c r="LKF44" s="44"/>
      <c r="LKG44" s="44"/>
      <c r="LKH44" s="44"/>
      <c r="LKI44" s="44"/>
      <c r="LKJ44" s="44"/>
      <c r="LKK44" s="44"/>
      <c r="LKL44" s="44"/>
      <c r="LKM44" s="44"/>
      <c r="LKN44" s="44"/>
      <c r="LKO44" s="44"/>
      <c r="LKP44" s="44"/>
      <c r="LKQ44" s="44"/>
      <c r="LKR44" s="44"/>
      <c r="LKS44" s="44"/>
      <c r="LKT44" s="44"/>
      <c r="LKU44" s="44"/>
      <c r="LKV44" s="44"/>
      <c r="LKW44" s="44"/>
      <c r="LKX44" s="44"/>
      <c r="LKY44" s="44"/>
      <c r="LKZ44" s="44"/>
      <c r="LLA44" s="44"/>
      <c r="LLB44" s="44"/>
      <c r="LLC44" s="44"/>
      <c r="LLD44" s="44"/>
      <c r="LLE44" s="44"/>
      <c r="LLF44" s="44"/>
      <c r="LLG44" s="44"/>
      <c r="LLH44" s="44"/>
      <c r="LLI44" s="44"/>
      <c r="LLJ44" s="44"/>
      <c r="LLK44" s="44"/>
      <c r="LLL44" s="44"/>
      <c r="LLM44" s="44"/>
      <c r="LLN44" s="44"/>
      <c r="LLO44" s="44"/>
      <c r="LLP44" s="44"/>
      <c r="LLQ44" s="44"/>
      <c r="LLR44" s="44"/>
      <c r="LLS44" s="44"/>
      <c r="LLT44" s="44"/>
      <c r="LLU44" s="44"/>
      <c r="LLV44" s="44"/>
      <c r="LLW44" s="44"/>
      <c r="LLX44" s="44"/>
      <c r="LLY44" s="44"/>
      <c r="LLZ44" s="44"/>
      <c r="LMA44" s="44"/>
      <c r="LMB44" s="44"/>
      <c r="LMC44" s="44"/>
      <c r="LMD44" s="44"/>
      <c r="LME44" s="44"/>
      <c r="LMF44" s="44"/>
      <c r="LMG44" s="44"/>
      <c r="LMH44" s="44"/>
      <c r="LMI44" s="44"/>
      <c r="LMJ44" s="44"/>
      <c r="LMK44" s="44"/>
      <c r="LML44" s="44"/>
      <c r="LMM44" s="44"/>
      <c r="LMN44" s="44"/>
      <c r="LMO44" s="44"/>
      <c r="LMP44" s="44"/>
      <c r="LMQ44" s="44"/>
      <c r="LMR44" s="44"/>
      <c r="LMS44" s="44"/>
      <c r="LMT44" s="44"/>
      <c r="LMU44" s="44"/>
      <c r="LMV44" s="44"/>
      <c r="LMW44" s="44"/>
      <c r="LMX44" s="44"/>
      <c r="LMY44" s="44"/>
      <c r="LMZ44" s="44"/>
      <c r="LNA44" s="44"/>
      <c r="LNB44" s="44"/>
      <c r="LNC44" s="44"/>
      <c r="LND44" s="44"/>
      <c r="LNE44" s="44"/>
      <c r="LNF44" s="44"/>
      <c r="LNG44" s="44"/>
      <c r="LNH44" s="44"/>
      <c r="LNI44" s="44"/>
      <c r="LNJ44" s="44"/>
      <c r="LNK44" s="44"/>
      <c r="LNL44" s="44"/>
      <c r="LNM44" s="44"/>
      <c r="LNN44" s="44"/>
      <c r="LNO44" s="44"/>
      <c r="LNP44" s="44"/>
      <c r="LNQ44" s="44"/>
      <c r="LNR44" s="44"/>
      <c r="LNS44" s="44"/>
      <c r="LNT44" s="44"/>
      <c r="LNU44" s="44"/>
      <c r="LNV44" s="44"/>
      <c r="LNW44" s="44"/>
      <c r="LNX44" s="44"/>
      <c r="LNY44" s="44"/>
      <c r="LNZ44" s="44"/>
      <c r="LOA44" s="44"/>
      <c r="LOB44" s="44"/>
      <c r="LOC44" s="44"/>
      <c r="LOD44" s="44"/>
      <c r="LOE44" s="44"/>
      <c r="LOF44" s="44"/>
      <c r="LOG44" s="44"/>
      <c r="LOH44" s="44"/>
      <c r="LOI44" s="44"/>
      <c r="LOJ44" s="44"/>
      <c r="LOK44" s="44"/>
      <c r="LOL44" s="44"/>
      <c r="LOM44" s="44"/>
      <c r="LON44" s="44"/>
      <c r="LOO44" s="44"/>
      <c r="LOP44" s="44"/>
      <c r="LOQ44" s="44"/>
      <c r="LOR44" s="44"/>
      <c r="LOS44" s="44"/>
      <c r="LOT44" s="44"/>
      <c r="LOU44" s="44"/>
      <c r="LOV44" s="44"/>
      <c r="LOW44" s="44"/>
      <c r="LOX44" s="44"/>
      <c r="LOY44" s="44"/>
      <c r="LOZ44" s="44"/>
      <c r="LPA44" s="44"/>
      <c r="LPB44" s="44"/>
      <c r="LPC44" s="44"/>
      <c r="LPD44" s="44"/>
      <c r="LPE44" s="44"/>
      <c r="LPF44" s="44"/>
      <c r="LPG44" s="44"/>
      <c r="LPH44" s="44"/>
      <c r="LPI44" s="44"/>
      <c r="LPJ44" s="44"/>
      <c r="LPK44" s="44"/>
      <c r="LPL44" s="44"/>
      <c r="LPM44" s="44"/>
      <c r="LPN44" s="44"/>
      <c r="LPO44" s="44"/>
      <c r="LPP44" s="44"/>
      <c r="LPQ44" s="44"/>
      <c r="LPR44" s="44"/>
      <c r="LPS44" s="44"/>
      <c r="LPT44" s="44"/>
      <c r="LPU44" s="44"/>
      <c r="LPV44" s="44"/>
      <c r="LPW44" s="44"/>
      <c r="LPX44" s="44"/>
      <c r="LPY44" s="44"/>
      <c r="LPZ44" s="44"/>
      <c r="LQA44" s="44"/>
      <c r="LQB44" s="44"/>
      <c r="LQC44" s="44"/>
      <c r="LQD44" s="44"/>
      <c r="LQE44" s="44"/>
      <c r="LQF44" s="44"/>
      <c r="LQG44" s="44"/>
      <c r="LQH44" s="44"/>
      <c r="LQI44" s="44"/>
      <c r="LQJ44" s="44"/>
      <c r="LQK44" s="44"/>
      <c r="LQL44" s="44"/>
      <c r="LQM44" s="44"/>
      <c r="LQN44" s="44"/>
      <c r="LQO44" s="44"/>
      <c r="LQP44" s="44"/>
      <c r="LQQ44" s="44"/>
      <c r="LQR44" s="44"/>
      <c r="LQS44" s="44"/>
      <c r="LQT44" s="44"/>
      <c r="LQU44" s="44"/>
      <c r="LQV44" s="44"/>
      <c r="LQW44" s="44"/>
      <c r="LQX44" s="44"/>
      <c r="LQY44" s="44"/>
      <c r="LQZ44" s="44"/>
      <c r="LRA44" s="44"/>
      <c r="LRB44" s="44"/>
      <c r="LRC44" s="44"/>
      <c r="LRD44" s="44"/>
      <c r="LRE44" s="44"/>
      <c r="LRF44" s="44"/>
      <c r="LRG44" s="44"/>
      <c r="LRH44" s="44"/>
      <c r="LRI44" s="44"/>
      <c r="LRJ44" s="44"/>
      <c r="LRK44" s="44"/>
      <c r="LRL44" s="44"/>
      <c r="LRM44" s="44"/>
      <c r="LRN44" s="44"/>
      <c r="LRO44" s="44"/>
      <c r="LRP44" s="44"/>
      <c r="LRQ44" s="44"/>
      <c r="LRR44" s="44"/>
      <c r="LRS44" s="44"/>
      <c r="LRT44" s="44"/>
      <c r="LRU44" s="44"/>
      <c r="LRV44" s="44"/>
      <c r="LRW44" s="44"/>
      <c r="LRX44" s="44"/>
      <c r="LRY44" s="44"/>
      <c r="LRZ44" s="44"/>
      <c r="LSA44" s="44"/>
      <c r="LSB44" s="44"/>
      <c r="LSC44" s="44"/>
      <c r="LSD44" s="44"/>
      <c r="LSE44" s="44"/>
      <c r="LSF44" s="44"/>
      <c r="LSG44" s="44"/>
      <c r="LSH44" s="44"/>
      <c r="LSI44" s="44"/>
      <c r="LSJ44" s="44"/>
      <c r="LSK44" s="44"/>
      <c r="LSL44" s="44"/>
      <c r="LSM44" s="44"/>
      <c r="LSN44" s="44"/>
      <c r="LSO44" s="44"/>
      <c r="LSP44" s="44"/>
      <c r="LSQ44" s="44"/>
      <c r="LSR44" s="44"/>
      <c r="LSS44" s="44"/>
      <c r="LST44" s="44"/>
      <c r="LSU44" s="44"/>
      <c r="LSV44" s="44"/>
      <c r="LSW44" s="44"/>
      <c r="LSX44" s="44"/>
      <c r="LSY44" s="44"/>
      <c r="LSZ44" s="44"/>
      <c r="LTA44" s="44"/>
      <c r="LTB44" s="44"/>
      <c r="LTC44" s="44"/>
      <c r="LTD44" s="44"/>
      <c r="LTE44" s="44"/>
      <c r="LTF44" s="44"/>
      <c r="LTG44" s="44"/>
      <c r="LTH44" s="44"/>
      <c r="LTI44" s="44"/>
      <c r="LTJ44" s="44"/>
      <c r="LTK44" s="44"/>
      <c r="LTL44" s="44"/>
      <c r="LTM44" s="44"/>
      <c r="LTN44" s="44"/>
      <c r="LTO44" s="44"/>
      <c r="LTP44" s="44"/>
      <c r="LTQ44" s="44"/>
      <c r="LTR44" s="44"/>
      <c r="LTS44" s="44"/>
      <c r="LTT44" s="44"/>
      <c r="LTU44" s="44"/>
      <c r="LTV44" s="44"/>
      <c r="LTW44" s="44"/>
      <c r="LTX44" s="44"/>
      <c r="LTY44" s="44"/>
      <c r="LTZ44" s="44"/>
      <c r="LUA44" s="44"/>
      <c r="LUB44" s="44"/>
      <c r="LUC44" s="44"/>
      <c r="LUD44" s="44"/>
      <c r="LUE44" s="44"/>
      <c r="LUF44" s="44"/>
      <c r="LUG44" s="44"/>
      <c r="LUH44" s="44"/>
      <c r="LUI44" s="44"/>
      <c r="LUJ44" s="44"/>
      <c r="LUK44" s="44"/>
      <c r="LUL44" s="44"/>
      <c r="LUM44" s="44"/>
      <c r="LUN44" s="44"/>
      <c r="LUO44" s="44"/>
      <c r="LUP44" s="44"/>
      <c r="LUQ44" s="44"/>
      <c r="LUR44" s="44"/>
      <c r="LUS44" s="44"/>
      <c r="LUT44" s="44"/>
      <c r="LUU44" s="44"/>
      <c r="LUV44" s="44"/>
      <c r="LUW44" s="44"/>
      <c r="LUX44" s="44"/>
      <c r="LUY44" s="44"/>
      <c r="LUZ44" s="44"/>
      <c r="LVA44" s="44"/>
      <c r="LVB44" s="44"/>
      <c r="LVC44" s="44"/>
      <c r="LVD44" s="44"/>
      <c r="LVE44" s="44"/>
      <c r="LVF44" s="44"/>
      <c r="LVG44" s="44"/>
      <c r="LVH44" s="44"/>
      <c r="LVI44" s="44"/>
      <c r="LVJ44" s="44"/>
      <c r="LVK44" s="44"/>
      <c r="LVL44" s="44"/>
      <c r="LVM44" s="44"/>
      <c r="LVN44" s="44"/>
      <c r="LVO44" s="44"/>
      <c r="LVP44" s="44"/>
      <c r="LVQ44" s="44"/>
      <c r="LVR44" s="44"/>
      <c r="LVS44" s="44"/>
      <c r="LVT44" s="44"/>
      <c r="LVU44" s="44"/>
      <c r="LVV44" s="44"/>
      <c r="LVW44" s="44"/>
      <c r="LVX44" s="44"/>
      <c r="LVY44" s="44"/>
      <c r="LVZ44" s="44"/>
      <c r="LWA44" s="44"/>
      <c r="LWB44" s="44"/>
      <c r="LWC44" s="44"/>
      <c r="LWD44" s="44"/>
      <c r="LWE44" s="44"/>
      <c r="LWF44" s="44"/>
      <c r="LWG44" s="44"/>
      <c r="LWH44" s="44"/>
      <c r="LWI44" s="44"/>
      <c r="LWJ44" s="44"/>
      <c r="LWK44" s="44"/>
      <c r="LWL44" s="44"/>
      <c r="LWM44" s="44"/>
      <c r="LWN44" s="44"/>
      <c r="LWO44" s="44"/>
      <c r="LWP44" s="44"/>
      <c r="LWQ44" s="44"/>
      <c r="LWR44" s="44"/>
      <c r="LWS44" s="44"/>
      <c r="LWT44" s="44"/>
      <c r="LWU44" s="44"/>
      <c r="LWV44" s="44"/>
      <c r="LWW44" s="44"/>
      <c r="LWX44" s="44"/>
      <c r="LWY44" s="44"/>
      <c r="LWZ44" s="44"/>
      <c r="LXA44" s="44"/>
      <c r="LXB44" s="44"/>
      <c r="LXC44" s="44"/>
      <c r="LXD44" s="44"/>
      <c r="LXE44" s="44"/>
      <c r="LXF44" s="44"/>
      <c r="LXG44" s="44"/>
      <c r="LXH44" s="44"/>
      <c r="LXI44" s="44"/>
      <c r="LXJ44" s="44"/>
      <c r="LXK44" s="44"/>
      <c r="LXL44" s="44"/>
      <c r="LXM44" s="44"/>
      <c r="LXN44" s="44"/>
      <c r="LXO44" s="44"/>
      <c r="LXP44" s="44"/>
      <c r="LXQ44" s="44"/>
      <c r="LXR44" s="44"/>
      <c r="LXS44" s="44"/>
      <c r="LXT44" s="44"/>
      <c r="LXU44" s="44"/>
      <c r="LXV44" s="44"/>
      <c r="LXW44" s="44"/>
      <c r="LXX44" s="44"/>
      <c r="LXY44" s="44"/>
      <c r="LXZ44" s="44"/>
      <c r="LYA44" s="44"/>
      <c r="LYB44" s="44"/>
      <c r="LYC44" s="44"/>
      <c r="LYD44" s="44"/>
      <c r="LYE44" s="44"/>
      <c r="LYF44" s="44"/>
      <c r="LYG44" s="44"/>
      <c r="LYH44" s="44"/>
      <c r="LYI44" s="44"/>
      <c r="LYJ44" s="44"/>
      <c r="LYK44" s="44"/>
      <c r="LYL44" s="44"/>
      <c r="LYM44" s="44"/>
      <c r="LYN44" s="44"/>
      <c r="LYO44" s="44"/>
      <c r="LYP44" s="44"/>
      <c r="LYQ44" s="44"/>
      <c r="LYR44" s="44"/>
      <c r="LYS44" s="44"/>
      <c r="LYT44" s="44"/>
      <c r="LYU44" s="44"/>
      <c r="LYV44" s="44"/>
      <c r="LYW44" s="44"/>
      <c r="LYX44" s="44"/>
      <c r="LYY44" s="44"/>
      <c r="LYZ44" s="44"/>
      <c r="LZA44" s="44"/>
      <c r="LZB44" s="44"/>
      <c r="LZC44" s="44"/>
      <c r="LZD44" s="44"/>
      <c r="LZE44" s="44"/>
      <c r="LZF44" s="44"/>
      <c r="LZG44" s="44"/>
      <c r="LZH44" s="44"/>
      <c r="LZI44" s="44"/>
      <c r="LZJ44" s="44"/>
      <c r="LZK44" s="44"/>
      <c r="LZL44" s="44"/>
      <c r="LZM44" s="44"/>
      <c r="LZN44" s="44"/>
      <c r="LZO44" s="44"/>
      <c r="LZP44" s="44"/>
      <c r="LZQ44" s="44"/>
      <c r="LZR44" s="44"/>
      <c r="LZS44" s="44"/>
      <c r="LZT44" s="44"/>
      <c r="LZU44" s="44"/>
      <c r="LZV44" s="44"/>
      <c r="LZW44" s="44"/>
      <c r="LZX44" s="44"/>
      <c r="LZY44" s="44"/>
      <c r="LZZ44" s="44"/>
      <c r="MAA44" s="44"/>
      <c r="MAB44" s="44"/>
      <c r="MAC44" s="44"/>
      <c r="MAD44" s="44"/>
      <c r="MAE44" s="44"/>
      <c r="MAF44" s="44"/>
      <c r="MAG44" s="44"/>
      <c r="MAH44" s="44"/>
      <c r="MAI44" s="44"/>
      <c r="MAJ44" s="44"/>
      <c r="MAK44" s="44"/>
      <c r="MAL44" s="44"/>
      <c r="MAM44" s="44"/>
      <c r="MAN44" s="44"/>
      <c r="MAO44" s="44"/>
      <c r="MAP44" s="44"/>
      <c r="MAQ44" s="44"/>
      <c r="MAR44" s="44"/>
      <c r="MAS44" s="44"/>
      <c r="MAT44" s="44"/>
      <c r="MAU44" s="44"/>
      <c r="MAV44" s="44"/>
      <c r="MAW44" s="44"/>
      <c r="MAX44" s="44"/>
      <c r="MAY44" s="44"/>
      <c r="MAZ44" s="44"/>
      <c r="MBA44" s="44"/>
      <c r="MBB44" s="44"/>
      <c r="MBC44" s="44"/>
      <c r="MBD44" s="44"/>
      <c r="MBE44" s="44"/>
      <c r="MBF44" s="44"/>
      <c r="MBG44" s="44"/>
      <c r="MBH44" s="44"/>
      <c r="MBI44" s="44"/>
      <c r="MBJ44" s="44"/>
      <c r="MBK44" s="44"/>
      <c r="MBL44" s="44"/>
      <c r="MBM44" s="44"/>
      <c r="MBN44" s="44"/>
      <c r="MBO44" s="44"/>
      <c r="MBP44" s="44"/>
      <c r="MBQ44" s="44"/>
      <c r="MBR44" s="44"/>
      <c r="MBS44" s="44"/>
      <c r="MBT44" s="44"/>
      <c r="MBU44" s="44"/>
      <c r="MBV44" s="44"/>
      <c r="MBW44" s="44"/>
      <c r="MBX44" s="44"/>
      <c r="MBY44" s="44"/>
      <c r="MBZ44" s="44"/>
      <c r="MCA44" s="44"/>
      <c r="MCB44" s="44"/>
      <c r="MCC44" s="44"/>
      <c r="MCD44" s="44"/>
      <c r="MCE44" s="44"/>
      <c r="MCF44" s="44"/>
      <c r="MCG44" s="44"/>
      <c r="MCH44" s="44"/>
      <c r="MCI44" s="44"/>
      <c r="MCJ44" s="44"/>
      <c r="MCK44" s="44"/>
      <c r="MCL44" s="44"/>
      <c r="MCM44" s="44"/>
      <c r="MCN44" s="44"/>
      <c r="MCO44" s="44"/>
      <c r="MCP44" s="44"/>
      <c r="MCQ44" s="44"/>
      <c r="MCR44" s="44"/>
      <c r="MCS44" s="44"/>
      <c r="MCT44" s="44"/>
      <c r="MCU44" s="44"/>
      <c r="MCV44" s="44"/>
      <c r="MCW44" s="44"/>
      <c r="MCX44" s="44"/>
      <c r="MCY44" s="44"/>
      <c r="MCZ44" s="44"/>
      <c r="MDA44" s="44"/>
      <c r="MDB44" s="44"/>
      <c r="MDC44" s="44"/>
      <c r="MDD44" s="44"/>
      <c r="MDE44" s="44"/>
      <c r="MDF44" s="44"/>
      <c r="MDG44" s="44"/>
      <c r="MDH44" s="44"/>
      <c r="MDI44" s="44"/>
      <c r="MDJ44" s="44"/>
      <c r="MDK44" s="44"/>
      <c r="MDL44" s="44"/>
      <c r="MDM44" s="44"/>
      <c r="MDN44" s="44"/>
      <c r="MDO44" s="44"/>
      <c r="MDP44" s="44"/>
      <c r="MDQ44" s="44"/>
      <c r="MDR44" s="44"/>
      <c r="MDS44" s="44"/>
      <c r="MDT44" s="44"/>
      <c r="MDU44" s="44"/>
      <c r="MDV44" s="44"/>
      <c r="MDW44" s="44"/>
      <c r="MDX44" s="44"/>
      <c r="MDY44" s="44"/>
      <c r="MDZ44" s="44"/>
      <c r="MEA44" s="44"/>
      <c r="MEB44" s="44"/>
      <c r="MEC44" s="44"/>
      <c r="MED44" s="44"/>
      <c r="MEE44" s="44"/>
      <c r="MEF44" s="44"/>
      <c r="MEG44" s="44"/>
      <c r="MEH44" s="44"/>
      <c r="MEI44" s="44"/>
      <c r="MEJ44" s="44"/>
      <c r="MEK44" s="44"/>
      <c r="MEL44" s="44"/>
      <c r="MEM44" s="44"/>
      <c r="MEN44" s="44"/>
      <c r="MEO44" s="44"/>
      <c r="MEP44" s="44"/>
      <c r="MEQ44" s="44"/>
      <c r="MER44" s="44"/>
      <c r="MES44" s="44"/>
      <c r="MET44" s="44"/>
      <c r="MEU44" s="44"/>
      <c r="MEV44" s="44"/>
      <c r="MEW44" s="44"/>
      <c r="MEX44" s="44"/>
      <c r="MEY44" s="44"/>
      <c r="MEZ44" s="44"/>
      <c r="MFA44" s="44"/>
      <c r="MFB44" s="44"/>
      <c r="MFC44" s="44"/>
      <c r="MFD44" s="44"/>
      <c r="MFE44" s="44"/>
      <c r="MFF44" s="44"/>
      <c r="MFG44" s="44"/>
      <c r="MFH44" s="44"/>
      <c r="MFI44" s="44"/>
      <c r="MFJ44" s="44"/>
      <c r="MFK44" s="44"/>
      <c r="MFL44" s="44"/>
      <c r="MFM44" s="44"/>
      <c r="MFN44" s="44"/>
      <c r="MFO44" s="44"/>
      <c r="MFP44" s="44"/>
      <c r="MFQ44" s="44"/>
      <c r="MFR44" s="44"/>
      <c r="MFS44" s="44"/>
      <c r="MFT44" s="44"/>
      <c r="MFU44" s="44"/>
      <c r="MFV44" s="44"/>
      <c r="MFW44" s="44"/>
      <c r="MFX44" s="44"/>
      <c r="MFY44" s="44"/>
      <c r="MFZ44" s="44"/>
      <c r="MGA44" s="44"/>
      <c r="MGB44" s="44"/>
      <c r="MGC44" s="44"/>
      <c r="MGD44" s="44"/>
      <c r="MGE44" s="44"/>
      <c r="MGF44" s="44"/>
      <c r="MGG44" s="44"/>
      <c r="MGH44" s="44"/>
      <c r="MGI44" s="44"/>
      <c r="MGJ44" s="44"/>
      <c r="MGK44" s="44"/>
      <c r="MGL44" s="44"/>
      <c r="MGM44" s="44"/>
      <c r="MGN44" s="44"/>
      <c r="MGO44" s="44"/>
      <c r="MGP44" s="44"/>
      <c r="MGQ44" s="44"/>
      <c r="MGR44" s="44"/>
      <c r="MGS44" s="44"/>
      <c r="MGT44" s="44"/>
      <c r="MGU44" s="44"/>
      <c r="MGV44" s="44"/>
      <c r="MGW44" s="44"/>
      <c r="MGX44" s="44"/>
      <c r="MGY44" s="44"/>
      <c r="MGZ44" s="44"/>
      <c r="MHA44" s="44"/>
      <c r="MHB44" s="44"/>
      <c r="MHC44" s="44"/>
      <c r="MHD44" s="44"/>
      <c r="MHE44" s="44"/>
      <c r="MHF44" s="44"/>
      <c r="MHG44" s="44"/>
      <c r="MHH44" s="44"/>
      <c r="MHI44" s="44"/>
      <c r="MHJ44" s="44"/>
      <c r="MHK44" s="44"/>
      <c r="MHL44" s="44"/>
      <c r="MHM44" s="44"/>
      <c r="MHN44" s="44"/>
      <c r="MHO44" s="44"/>
      <c r="MHP44" s="44"/>
      <c r="MHQ44" s="44"/>
      <c r="MHR44" s="44"/>
      <c r="MHS44" s="44"/>
      <c r="MHT44" s="44"/>
      <c r="MHU44" s="44"/>
      <c r="MHV44" s="44"/>
      <c r="MHW44" s="44"/>
      <c r="MHX44" s="44"/>
      <c r="MHY44" s="44"/>
      <c r="MHZ44" s="44"/>
      <c r="MIA44" s="44"/>
      <c r="MIB44" s="44"/>
      <c r="MIC44" s="44"/>
      <c r="MID44" s="44"/>
      <c r="MIE44" s="44"/>
      <c r="MIF44" s="44"/>
      <c r="MIG44" s="44"/>
      <c r="MIH44" s="44"/>
      <c r="MII44" s="44"/>
      <c r="MIJ44" s="44"/>
      <c r="MIK44" s="44"/>
      <c r="MIL44" s="44"/>
      <c r="MIM44" s="44"/>
      <c r="MIN44" s="44"/>
      <c r="MIO44" s="44"/>
      <c r="MIP44" s="44"/>
      <c r="MIQ44" s="44"/>
      <c r="MIR44" s="44"/>
      <c r="MIS44" s="44"/>
      <c r="MIT44" s="44"/>
      <c r="MIU44" s="44"/>
      <c r="MIV44" s="44"/>
      <c r="MIW44" s="44"/>
      <c r="MIX44" s="44"/>
      <c r="MIY44" s="44"/>
      <c r="MIZ44" s="44"/>
      <c r="MJA44" s="44"/>
      <c r="MJB44" s="44"/>
      <c r="MJC44" s="44"/>
      <c r="MJD44" s="44"/>
      <c r="MJE44" s="44"/>
      <c r="MJF44" s="44"/>
      <c r="MJG44" s="44"/>
      <c r="MJH44" s="44"/>
      <c r="MJI44" s="44"/>
      <c r="MJJ44" s="44"/>
      <c r="MJK44" s="44"/>
      <c r="MJL44" s="44"/>
      <c r="MJM44" s="44"/>
      <c r="MJN44" s="44"/>
      <c r="MJO44" s="44"/>
      <c r="MJP44" s="44"/>
      <c r="MJQ44" s="44"/>
      <c r="MJR44" s="44"/>
      <c r="MJS44" s="44"/>
      <c r="MJT44" s="44"/>
      <c r="MJU44" s="44"/>
      <c r="MJV44" s="44"/>
      <c r="MJW44" s="44"/>
      <c r="MJX44" s="44"/>
      <c r="MJY44" s="44"/>
      <c r="MJZ44" s="44"/>
      <c r="MKA44" s="44"/>
      <c r="MKB44" s="44"/>
      <c r="MKC44" s="44"/>
      <c r="MKD44" s="44"/>
      <c r="MKE44" s="44"/>
      <c r="MKF44" s="44"/>
      <c r="MKG44" s="44"/>
      <c r="MKH44" s="44"/>
      <c r="MKI44" s="44"/>
      <c r="MKJ44" s="44"/>
      <c r="MKK44" s="44"/>
      <c r="MKL44" s="44"/>
      <c r="MKM44" s="44"/>
      <c r="MKN44" s="44"/>
      <c r="MKO44" s="44"/>
      <c r="MKP44" s="44"/>
      <c r="MKQ44" s="44"/>
      <c r="MKR44" s="44"/>
      <c r="MKS44" s="44"/>
      <c r="MKT44" s="44"/>
      <c r="MKU44" s="44"/>
      <c r="MKV44" s="44"/>
      <c r="MKW44" s="44"/>
      <c r="MKX44" s="44"/>
      <c r="MKY44" s="44"/>
      <c r="MKZ44" s="44"/>
      <c r="MLA44" s="44"/>
      <c r="MLB44" s="44"/>
      <c r="MLC44" s="44"/>
      <c r="MLD44" s="44"/>
      <c r="MLE44" s="44"/>
      <c r="MLF44" s="44"/>
      <c r="MLG44" s="44"/>
      <c r="MLH44" s="44"/>
      <c r="MLI44" s="44"/>
      <c r="MLJ44" s="44"/>
      <c r="MLK44" s="44"/>
      <c r="MLL44" s="44"/>
      <c r="MLM44" s="44"/>
      <c r="MLN44" s="44"/>
      <c r="MLO44" s="44"/>
      <c r="MLP44" s="44"/>
      <c r="MLQ44" s="44"/>
      <c r="MLR44" s="44"/>
      <c r="MLS44" s="44"/>
      <c r="MLT44" s="44"/>
      <c r="MLU44" s="44"/>
      <c r="MLV44" s="44"/>
      <c r="MLW44" s="44"/>
      <c r="MLX44" s="44"/>
      <c r="MLY44" s="44"/>
      <c r="MLZ44" s="44"/>
      <c r="MMA44" s="44"/>
      <c r="MMB44" s="44"/>
      <c r="MMC44" s="44"/>
      <c r="MMD44" s="44"/>
      <c r="MME44" s="44"/>
      <c r="MMF44" s="44"/>
      <c r="MMG44" s="44"/>
      <c r="MMH44" s="44"/>
      <c r="MMI44" s="44"/>
      <c r="MMJ44" s="44"/>
      <c r="MMK44" s="44"/>
      <c r="MML44" s="44"/>
      <c r="MMM44" s="44"/>
      <c r="MMN44" s="44"/>
      <c r="MMO44" s="44"/>
      <c r="MMP44" s="44"/>
      <c r="MMQ44" s="44"/>
      <c r="MMR44" s="44"/>
      <c r="MMS44" s="44"/>
      <c r="MMT44" s="44"/>
      <c r="MMU44" s="44"/>
      <c r="MMV44" s="44"/>
      <c r="MMW44" s="44"/>
      <c r="MMX44" s="44"/>
      <c r="MMY44" s="44"/>
      <c r="MMZ44" s="44"/>
      <c r="MNA44" s="44"/>
      <c r="MNB44" s="44"/>
      <c r="MNC44" s="44"/>
      <c r="MND44" s="44"/>
      <c r="MNE44" s="44"/>
      <c r="MNF44" s="44"/>
      <c r="MNG44" s="44"/>
      <c r="MNH44" s="44"/>
      <c r="MNI44" s="44"/>
      <c r="MNJ44" s="44"/>
      <c r="MNK44" s="44"/>
      <c r="MNL44" s="44"/>
      <c r="MNM44" s="44"/>
      <c r="MNN44" s="44"/>
      <c r="MNO44" s="44"/>
      <c r="MNP44" s="44"/>
      <c r="MNQ44" s="44"/>
      <c r="MNR44" s="44"/>
      <c r="MNS44" s="44"/>
      <c r="MNT44" s="44"/>
      <c r="MNU44" s="44"/>
      <c r="MNV44" s="44"/>
      <c r="MNW44" s="44"/>
      <c r="MNX44" s="44"/>
      <c r="MNY44" s="44"/>
      <c r="MNZ44" s="44"/>
      <c r="MOA44" s="44"/>
      <c r="MOB44" s="44"/>
      <c r="MOC44" s="44"/>
      <c r="MOD44" s="44"/>
      <c r="MOE44" s="44"/>
      <c r="MOF44" s="44"/>
      <c r="MOG44" s="44"/>
      <c r="MOH44" s="44"/>
      <c r="MOI44" s="44"/>
      <c r="MOJ44" s="44"/>
      <c r="MOK44" s="44"/>
      <c r="MOL44" s="44"/>
      <c r="MOM44" s="44"/>
      <c r="MON44" s="44"/>
      <c r="MOO44" s="44"/>
      <c r="MOP44" s="44"/>
      <c r="MOQ44" s="44"/>
      <c r="MOR44" s="44"/>
      <c r="MOS44" s="44"/>
      <c r="MOT44" s="44"/>
      <c r="MOU44" s="44"/>
      <c r="MOV44" s="44"/>
      <c r="MOW44" s="44"/>
      <c r="MOX44" s="44"/>
      <c r="MOY44" s="44"/>
      <c r="MOZ44" s="44"/>
      <c r="MPA44" s="44"/>
      <c r="MPB44" s="44"/>
      <c r="MPC44" s="44"/>
      <c r="MPD44" s="44"/>
      <c r="MPE44" s="44"/>
      <c r="MPF44" s="44"/>
      <c r="MPG44" s="44"/>
      <c r="MPH44" s="44"/>
      <c r="MPI44" s="44"/>
      <c r="MPJ44" s="44"/>
      <c r="MPK44" s="44"/>
      <c r="MPL44" s="44"/>
      <c r="MPM44" s="44"/>
      <c r="MPN44" s="44"/>
      <c r="MPO44" s="44"/>
      <c r="MPP44" s="44"/>
      <c r="MPQ44" s="44"/>
      <c r="MPR44" s="44"/>
      <c r="MPS44" s="44"/>
      <c r="MPT44" s="44"/>
      <c r="MPU44" s="44"/>
      <c r="MPV44" s="44"/>
      <c r="MPW44" s="44"/>
      <c r="MPX44" s="44"/>
      <c r="MPY44" s="44"/>
      <c r="MPZ44" s="44"/>
      <c r="MQA44" s="44"/>
      <c r="MQB44" s="44"/>
      <c r="MQC44" s="44"/>
      <c r="MQD44" s="44"/>
      <c r="MQE44" s="44"/>
      <c r="MQF44" s="44"/>
      <c r="MQG44" s="44"/>
      <c r="MQH44" s="44"/>
      <c r="MQI44" s="44"/>
      <c r="MQJ44" s="44"/>
      <c r="MQK44" s="44"/>
      <c r="MQL44" s="44"/>
      <c r="MQM44" s="44"/>
      <c r="MQN44" s="44"/>
      <c r="MQO44" s="44"/>
      <c r="MQP44" s="44"/>
      <c r="MQQ44" s="44"/>
      <c r="MQR44" s="44"/>
      <c r="MQS44" s="44"/>
      <c r="MQT44" s="44"/>
      <c r="MQU44" s="44"/>
      <c r="MQV44" s="44"/>
      <c r="MQW44" s="44"/>
      <c r="MQX44" s="44"/>
      <c r="MQY44" s="44"/>
      <c r="MQZ44" s="44"/>
      <c r="MRA44" s="44"/>
      <c r="MRB44" s="44"/>
      <c r="MRC44" s="44"/>
      <c r="MRD44" s="44"/>
      <c r="MRE44" s="44"/>
      <c r="MRF44" s="44"/>
      <c r="MRG44" s="44"/>
      <c r="MRH44" s="44"/>
      <c r="MRI44" s="44"/>
      <c r="MRJ44" s="44"/>
      <c r="MRK44" s="44"/>
      <c r="MRL44" s="44"/>
      <c r="MRM44" s="44"/>
      <c r="MRN44" s="44"/>
      <c r="MRO44" s="44"/>
      <c r="MRP44" s="44"/>
      <c r="MRQ44" s="44"/>
      <c r="MRR44" s="44"/>
      <c r="MRS44" s="44"/>
      <c r="MRT44" s="44"/>
      <c r="MRU44" s="44"/>
      <c r="MRV44" s="44"/>
      <c r="MRW44" s="44"/>
      <c r="MRX44" s="44"/>
      <c r="MRY44" s="44"/>
      <c r="MRZ44" s="44"/>
      <c r="MSA44" s="44"/>
      <c r="MSB44" s="44"/>
      <c r="MSC44" s="44"/>
      <c r="MSD44" s="44"/>
      <c r="MSE44" s="44"/>
      <c r="MSF44" s="44"/>
      <c r="MSG44" s="44"/>
      <c r="MSH44" s="44"/>
      <c r="MSI44" s="44"/>
      <c r="MSJ44" s="44"/>
      <c r="MSK44" s="44"/>
      <c r="MSL44" s="44"/>
      <c r="MSM44" s="44"/>
      <c r="MSN44" s="44"/>
      <c r="MSO44" s="44"/>
      <c r="MSP44" s="44"/>
      <c r="MSQ44" s="44"/>
      <c r="MSR44" s="44"/>
      <c r="MSS44" s="44"/>
      <c r="MST44" s="44"/>
      <c r="MSU44" s="44"/>
      <c r="MSV44" s="44"/>
      <c r="MSW44" s="44"/>
      <c r="MSX44" s="44"/>
      <c r="MSY44" s="44"/>
      <c r="MSZ44" s="44"/>
      <c r="MTA44" s="44"/>
      <c r="MTB44" s="44"/>
      <c r="MTC44" s="44"/>
      <c r="MTD44" s="44"/>
      <c r="MTE44" s="44"/>
      <c r="MTF44" s="44"/>
      <c r="MTG44" s="44"/>
      <c r="MTH44" s="44"/>
      <c r="MTI44" s="44"/>
      <c r="MTJ44" s="44"/>
      <c r="MTK44" s="44"/>
      <c r="MTL44" s="44"/>
      <c r="MTM44" s="44"/>
      <c r="MTN44" s="44"/>
      <c r="MTO44" s="44"/>
      <c r="MTP44" s="44"/>
      <c r="MTQ44" s="44"/>
      <c r="MTR44" s="44"/>
      <c r="MTS44" s="44"/>
      <c r="MTT44" s="44"/>
      <c r="MTU44" s="44"/>
      <c r="MTV44" s="44"/>
      <c r="MTW44" s="44"/>
      <c r="MTX44" s="44"/>
      <c r="MTY44" s="44"/>
      <c r="MTZ44" s="44"/>
      <c r="MUA44" s="44"/>
      <c r="MUB44" s="44"/>
      <c r="MUC44" s="44"/>
      <c r="MUD44" s="44"/>
      <c r="MUE44" s="44"/>
      <c r="MUF44" s="44"/>
      <c r="MUG44" s="44"/>
      <c r="MUH44" s="44"/>
      <c r="MUI44" s="44"/>
      <c r="MUJ44" s="44"/>
      <c r="MUK44" s="44"/>
      <c r="MUL44" s="44"/>
      <c r="MUM44" s="44"/>
      <c r="MUN44" s="44"/>
      <c r="MUO44" s="44"/>
      <c r="MUP44" s="44"/>
      <c r="MUQ44" s="44"/>
      <c r="MUR44" s="44"/>
      <c r="MUS44" s="44"/>
      <c r="MUT44" s="44"/>
      <c r="MUU44" s="44"/>
      <c r="MUV44" s="44"/>
      <c r="MUW44" s="44"/>
      <c r="MUX44" s="44"/>
      <c r="MUY44" s="44"/>
      <c r="MUZ44" s="44"/>
      <c r="MVA44" s="44"/>
      <c r="MVB44" s="44"/>
      <c r="MVC44" s="44"/>
      <c r="MVD44" s="44"/>
      <c r="MVE44" s="44"/>
      <c r="MVF44" s="44"/>
      <c r="MVG44" s="44"/>
      <c r="MVH44" s="44"/>
      <c r="MVI44" s="44"/>
      <c r="MVJ44" s="44"/>
      <c r="MVK44" s="44"/>
      <c r="MVL44" s="44"/>
      <c r="MVM44" s="44"/>
      <c r="MVN44" s="44"/>
      <c r="MVO44" s="44"/>
      <c r="MVP44" s="44"/>
      <c r="MVQ44" s="44"/>
      <c r="MVR44" s="44"/>
      <c r="MVS44" s="44"/>
      <c r="MVT44" s="44"/>
      <c r="MVU44" s="44"/>
      <c r="MVV44" s="44"/>
      <c r="MVW44" s="44"/>
      <c r="MVX44" s="44"/>
      <c r="MVY44" s="44"/>
      <c r="MVZ44" s="44"/>
      <c r="MWA44" s="44"/>
      <c r="MWB44" s="44"/>
      <c r="MWC44" s="44"/>
      <c r="MWD44" s="44"/>
      <c r="MWE44" s="44"/>
      <c r="MWF44" s="44"/>
      <c r="MWG44" s="44"/>
      <c r="MWH44" s="44"/>
      <c r="MWI44" s="44"/>
      <c r="MWJ44" s="44"/>
      <c r="MWK44" s="44"/>
      <c r="MWL44" s="44"/>
      <c r="MWM44" s="44"/>
      <c r="MWN44" s="44"/>
      <c r="MWO44" s="44"/>
      <c r="MWP44" s="44"/>
      <c r="MWQ44" s="44"/>
      <c r="MWR44" s="44"/>
      <c r="MWS44" s="44"/>
      <c r="MWT44" s="44"/>
      <c r="MWU44" s="44"/>
      <c r="MWV44" s="44"/>
      <c r="MWW44" s="44"/>
      <c r="MWX44" s="44"/>
      <c r="MWY44" s="44"/>
      <c r="MWZ44" s="44"/>
      <c r="MXA44" s="44"/>
      <c r="MXB44" s="44"/>
      <c r="MXC44" s="44"/>
      <c r="MXD44" s="44"/>
      <c r="MXE44" s="44"/>
      <c r="MXF44" s="44"/>
      <c r="MXG44" s="44"/>
      <c r="MXH44" s="44"/>
      <c r="MXI44" s="44"/>
      <c r="MXJ44" s="44"/>
      <c r="MXK44" s="44"/>
      <c r="MXL44" s="44"/>
      <c r="MXM44" s="44"/>
      <c r="MXN44" s="44"/>
      <c r="MXO44" s="44"/>
      <c r="MXP44" s="44"/>
      <c r="MXQ44" s="44"/>
      <c r="MXR44" s="44"/>
      <c r="MXS44" s="44"/>
      <c r="MXT44" s="44"/>
      <c r="MXU44" s="44"/>
      <c r="MXV44" s="44"/>
      <c r="MXW44" s="44"/>
      <c r="MXX44" s="44"/>
      <c r="MXY44" s="44"/>
      <c r="MXZ44" s="44"/>
      <c r="MYA44" s="44"/>
      <c r="MYB44" s="44"/>
      <c r="MYC44" s="44"/>
      <c r="MYD44" s="44"/>
      <c r="MYE44" s="44"/>
      <c r="MYF44" s="44"/>
      <c r="MYG44" s="44"/>
      <c r="MYH44" s="44"/>
      <c r="MYI44" s="44"/>
      <c r="MYJ44" s="44"/>
      <c r="MYK44" s="44"/>
      <c r="MYL44" s="44"/>
      <c r="MYM44" s="44"/>
      <c r="MYN44" s="44"/>
      <c r="MYO44" s="44"/>
      <c r="MYP44" s="44"/>
      <c r="MYQ44" s="44"/>
      <c r="MYR44" s="44"/>
      <c r="MYS44" s="44"/>
      <c r="MYT44" s="44"/>
      <c r="MYU44" s="44"/>
      <c r="MYV44" s="44"/>
      <c r="MYW44" s="44"/>
      <c r="MYX44" s="44"/>
      <c r="MYY44" s="44"/>
      <c r="MYZ44" s="44"/>
      <c r="MZA44" s="44"/>
      <c r="MZB44" s="44"/>
      <c r="MZC44" s="44"/>
      <c r="MZD44" s="44"/>
      <c r="MZE44" s="44"/>
      <c r="MZF44" s="44"/>
      <c r="MZG44" s="44"/>
      <c r="MZH44" s="44"/>
      <c r="MZI44" s="44"/>
      <c r="MZJ44" s="44"/>
      <c r="MZK44" s="44"/>
      <c r="MZL44" s="44"/>
      <c r="MZM44" s="44"/>
      <c r="MZN44" s="44"/>
      <c r="MZO44" s="44"/>
      <c r="MZP44" s="44"/>
      <c r="MZQ44" s="44"/>
      <c r="MZR44" s="44"/>
      <c r="MZS44" s="44"/>
      <c r="MZT44" s="44"/>
      <c r="MZU44" s="44"/>
      <c r="MZV44" s="44"/>
      <c r="MZW44" s="44"/>
      <c r="MZX44" s="44"/>
      <c r="MZY44" s="44"/>
      <c r="MZZ44" s="44"/>
      <c r="NAA44" s="44"/>
      <c r="NAB44" s="44"/>
      <c r="NAC44" s="44"/>
      <c r="NAD44" s="44"/>
      <c r="NAE44" s="44"/>
      <c r="NAF44" s="44"/>
      <c r="NAG44" s="44"/>
      <c r="NAH44" s="44"/>
      <c r="NAI44" s="44"/>
      <c r="NAJ44" s="44"/>
      <c r="NAK44" s="44"/>
      <c r="NAL44" s="44"/>
      <c r="NAM44" s="44"/>
      <c r="NAN44" s="44"/>
      <c r="NAO44" s="44"/>
      <c r="NAP44" s="44"/>
      <c r="NAQ44" s="44"/>
      <c r="NAR44" s="44"/>
      <c r="NAS44" s="44"/>
      <c r="NAT44" s="44"/>
      <c r="NAU44" s="44"/>
      <c r="NAV44" s="44"/>
      <c r="NAW44" s="44"/>
      <c r="NAX44" s="44"/>
      <c r="NAY44" s="44"/>
      <c r="NAZ44" s="44"/>
      <c r="NBA44" s="44"/>
      <c r="NBB44" s="44"/>
      <c r="NBC44" s="44"/>
      <c r="NBD44" s="44"/>
      <c r="NBE44" s="44"/>
      <c r="NBF44" s="44"/>
      <c r="NBG44" s="44"/>
      <c r="NBH44" s="44"/>
      <c r="NBI44" s="44"/>
      <c r="NBJ44" s="44"/>
      <c r="NBK44" s="44"/>
      <c r="NBL44" s="44"/>
      <c r="NBM44" s="44"/>
      <c r="NBN44" s="44"/>
      <c r="NBO44" s="44"/>
      <c r="NBP44" s="44"/>
      <c r="NBQ44" s="44"/>
      <c r="NBR44" s="44"/>
      <c r="NBS44" s="44"/>
      <c r="NBT44" s="44"/>
      <c r="NBU44" s="44"/>
      <c r="NBV44" s="44"/>
      <c r="NBW44" s="44"/>
      <c r="NBX44" s="44"/>
      <c r="NBY44" s="44"/>
      <c r="NBZ44" s="44"/>
      <c r="NCA44" s="44"/>
      <c r="NCB44" s="44"/>
      <c r="NCC44" s="44"/>
      <c r="NCD44" s="44"/>
      <c r="NCE44" s="44"/>
      <c r="NCF44" s="44"/>
      <c r="NCG44" s="44"/>
      <c r="NCH44" s="44"/>
      <c r="NCI44" s="44"/>
      <c r="NCJ44" s="44"/>
      <c r="NCK44" s="44"/>
      <c r="NCL44" s="44"/>
      <c r="NCM44" s="44"/>
      <c r="NCN44" s="44"/>
      <c r="NCO44" s="44"/>
      <c r="NCP44" s="44"/>
      <c r="NCQ44" s="44"/>
      <c r="NCR44" s="44"/>
      <c r="NCS44" s="44"/>
      <c r="NCT44" s="44"/>
      <c r="NCU44" s="44"/>
      <c r="NCV44" s="44"/>
      <c r="NCW44" s="44"/>
      <c r="NCX44" s="44"/>
      <c r="NCY44" s="44"/>
      <c r="NCZ44" s="44"/>
      <c r="NDA44" s="44"/>
      <c r="NDB44" s="44"/>
      <c r="NDC44" s="44"/>
      <c r="NDD44" s="44"/>
      <c r="NDE44" s="44"/>
      <c r="NDF44" s="44"/>
      <c r="NDG44" s="44"/>
      <c r="NDH44" s="44"/>
      <c r="NDI44" s="44"/>
      <c r="NDJ44" s="44"/>
      <c r="NDK44" s="44"/>
      <c r="NDL44" s="44"/>
      <c r="NDM44" s="44"/>
      <c r="NDN44" s="44"/>
      <c r="NDO44" s="44"/>
      <c r="NDP44" s="44"/>
      <c r="NDQ44" s="44"/>
      <c r="NDR44" s="44"/>
      <c r="NDS44" s="44"/>
      <c r="NDT44" s="44"/>
      <c r="NDU44" s="44"/>
      <c r="NDV44" s="44"/>
      <c r="NDW44" s="44"/>
      <c r="NDX44" s="44"/>
      <c r="NDY44" s="44"/>
      <c r="NDZ44" s="44"/>
      <c r="NEA44" s="44"/>
      <c r="NEB44" s="44"/>
      <c r="NEC44" s="44"/>
      <c r="NED44" s="44"/>
      <c r="NEE44" s="44"/>
      <c r="NEF44" s="44"/>
      <c r="NEG44" s="44"/>
      <c r="NEH44" s="44"/>
      <c r="NEI44" s="44"/>
      <c r="NEJ44" s="44"/>
      <c r="NEK44" s="44"/>
      <c r="NEL44" s="44"/>
      <c r="NEM44" s="44"/>
      <c r="NEN44" s="44"/>
      <c r="NEO44" s="44"/>
      <c r="NEP44" s="44"/>
      <c r="NEQ44" s="44"/>
      <c r="NER44" s="44"/>
      <c r="NES44" s="44"/>
      <c r="NET44" s="44"/>
      <c r="NEU44" s="44"/>
      <c r="NEV44" s="44"/>
      <c r="NEW44" s="44"/>
      <c r="NEX44" s="44"/>
      <c r="NEY44" s="44"/>
      <c r="NEZ44" s="44"/>
      <c r="NFA44" s="44"/>
      <c r="NFB44" s="44"/>
      <c r="NFC44" s="44"/>
      <c r="NFD44" s="44"/>
      <c r="NFE44" s="44"/>
      <c r="NFF44" s="44"/>
      <c r="NFG44" s="44"/>
      <c r="NFH44" s="44"/>
      <c r="NFI44" s="44"/>
      <c r="NFJ44" s="44"/>
      <c r="NFK44" s="44"/>
      <c r="NFL44" s="44"/>
      <c r="NFM44" s="44"/>
      <c r="NFN44" s="44"/>
      <c r="NFO44" s="44"/>
      <c r="NFP44" s="44"/>
      <c r="NFQ44" s="44"/>
      <c r="NFR44" s="44"/>
      <c r="NFS44" s="44"/>
      <c r="NFT44" s="44"/>
      <c r="NFU44" s="44"/>
      <c r="NFV44" s="44"/>
      <c r="NFW44" s="44"/>
      <c r="NFX44" s="44"/>
      <c r="NFY44" s="44"/>
      <c r="NFZ44" s="44"/>
      <c r="NGA44" s="44"/>
      <c r="NGB44" s="44"/>
      <c r="NGC44" s="44"/>
      <c r="NGD44" s="44"/>
      <c r="NGE44" s="44"/>
      <c r="NGF44" s="44"/>
      <c r="NGG44" s="44"/>
      <c r="NGH44" s="44"/>
      <c r="NGI44" s="44"/>
      <c r="NGJ44" s="44"/>
      <c r="NGK44" s="44"/>
      <c r="NGL44" s="44"/>
      <c r="NGM44" s="44"/>
      <c r="NGN44" s="44"/>
      <c r="NGO44" s="44"/>
      <c r="NGP44" s="44"/>
      <c r="NGQ44" s="44"/>
      <c r="NGR44" s="44"/>
      <c r="NGS44" s="44"/>
      <c r="NGT44" s="44"/>
      <c r="NGU44" s="44"/>
      <c r="NGV44" s="44"/>
      <c r="NGW44" s="44"/>
      <c r="NGX44" s="44"/>
      <c r="NGY44" s="44"/>
      <c r="NGZ44" s="44"/>
      <c r="NHA44" s="44"/>
      <c r="NHB44" s="44"/>
      <c r="NHC44" s="44"/>
      <c r="NHD44" s="44"/>
      <c r="NHE44" s="44"/>
      <c r="NHF44" s="44"/>
      <c r="NHG44" s="44"/>
      <c r="NHH44" s="44"/>
      <c r="NHI44" s="44"/>
      <c r="NHJ44" s="44"/>
      <c r="NHK44" s="44"/>
      <c r="NHL44" s="44"/>
      <c r="NHM44" s="44"/>
      <c r="NHN44" s="44"/>
      <c r="NHO44" s="44"/>
      <c r="NHP44" s="44"/>
      <c r="NHQ44" s="44"/>
      <c r="NHR44" s="44"/>
      <c r="NHS44" s="44"/>
      <c r="NHT44" s="44"/>
      <c r="NHU44" s="44"/>
      <c r="NHV44" s="44"/>
      <c r="NHW44" s="44"/>
      <c r="NHX44" s="44"/>
      <c r="NHY44" s="44"/>
      <c r="NHZ44" s="44"/>
      <c r="NIA44" s="44"/>
      <c r="NIB44" s="44"/>
      <c r="NIC44" s="44"/>
      <c r="NID44" s="44"/>
      <c r="NIE44" s="44"/>
      <c r="NIF44" s="44"/>
      <c r="NIG44" s="44"/>
      <c r="NIH44" s="44"/>
      <c r="NII44" s="44"/>
      <c r="NIJ44" s="44"/>
      <c r="NIK44" s="44"/>
      <c r="NIL44" s="44"/>
      <c r="NIM44" s="44"/>
      <c r="NIN44" s="44"/>
      <c r="NIO44" s="44"/>
      <c r="NIP44" s="44"/>
      <c r="NIQ44" s="44"/>
      <c r="NIR44" s="44"/>
      <c r="NIS44" s="44"/>
      <c r="NIT44" s="44"/>
      <c r="NIU44" s="44"/>
      <c r="NIV44" s="44"/>
      <c r="NIW44" s="44"/>
      <c r="NIX44" s="44"/>
      <c r="NIY44" s="44"/>
      <c r="NIZ44" s="44"/>
      <c r="NJA44" s="44"/>
      <c r="NJB44" s="44"/>
      <c r="NJC44" s="44"/>
      <c r="NJD44" s="44"/>
      <c r="NJE44" s="44"/>
      <c r="NJF44" s="44"/>
      <c r="NJG44" s="44"/>
      <c r="NJH44" s="44"/>
      <c r="NJI44" s="44"/>
      <c r="NJJ44" s="44"/>
      <c r="NJK44" s="44"/>
      <c r="NJL44" s="44"/>
      <c r="NJM44" s="44"/>
      <c r="NJN44" s="44"/>
      <c r="NJO44" s="44"/>
      <c r="NJP44" s="44"/>
      <c r="NJQ44" s="44"/>
      <c r="NJR44" s="44"/>
      <c r="NJS44" s="44"/>
      <c r="NJT44" s="44"/>
      <c r="NJU44" s="44"/>
      <c r="NJV44" s="44"/>
      <c r="NJW44" s="44"/>
      <c r="NJX44" s="44"/>
      <c r="NJY44" s="44"/>
      <c r="NJZ44" s="44"/>
      <c r="NKA44" s="44"/>
      <c r="NKB44" s="44"/>
      <c r="NKC44" s="44"/>
      <c r="NKD44" s="44"/>
      <c r="NKE44" s="44"/>
      <c r="NKF44" s="44"/>
      <c r="NKG44" s="44"/>
      <c r="NKH44" s="44"/>
      <c r="NKI44" s="44"/>
      <c r="NKJ44" s="44"/>
      <c r="NKK44" s="44"/>
      <c r="NKL44" s="44"/>
      <c r="NKM44" s="44"/>
      <c r="NKN44" s="44"/>
      <c r="NKO44" s="44"/>
      <c r="NKP44" s="44"/>
      <c r="NKQ44" s="44"/>
      <c r="NKR44" s="44"/>
      <c r="NKS44" s="44"/>
      <c r="NKT44" s="44"/>
      <c r="NKU44" s="44"/>
      <c r="NKV44" s="44"/>
      <c r="NKW44" s="44"/>
      <c r="NKX44" s="44"/>
      <c r="NKY44" s="44"/>
      <c r="NKZ44" s="44"/>
      <c r="NLA44" s="44"/>
      <c r="NLB44" s="44"/>
      <c r="NLC44" s="44"/>
      <c r="NLD44" s="44"/>
      <c r="NLE44" s="44"/>
      <c r="NLF44" s="44"/>
      <c r="NLG44" s="44"/>
      <c r="NLH44" s="44"/>
      <c r="NLI44" s="44"/>
      <c r="NLJ44" s="44"/>
      <c r="NLK44" s="44"/>
      <c r="NLL44" s="44"/>
      <c r="NLM44" s="44"/>
      <c r="NLN44" s="44"/>
      <c r="NLO44" s="44"/>
      <c r="NLP44" s="44"/>
      <c r="NLQ44" s="44"/>
      <c r="NLR44" s="44"/>
      <c r="NLS44" s="44"/>
      <c r="NLT44" s="44"/>
      <c r="NLU44" s="44"/>
      <c r="NLV44" s="44"/>
      <c r="NLW44" s="44"/>
      <c r="NLX44" s="44"/>
      <c r="NLY44" s="44"/>
      <c r="NLZ44" s="44"/>
      <c r="NMA44" s="44"/>
      <c r="NMB44" s="44"/>
      <c r="NMC44" s="44"/>
      <c r="NMD44" s="44"/>
      <c r="NME44" s="44"/>
      <c r="NMF44" s="44"/>
      <c r="NMG44" s="44"/>
      <c r="NMH44" s="44"/>
      <c r="NMI44" s="44"/>
      <c r="NMJ44" s="44"/>
      <c r="NMK44" s="44"/>
      <c r="NML44" s="44"/>
      <c r="NMM44" s="44"/>
      <c r="NMN44" s="44"/>
      <c r="NMO44" s="44"/>
      <c r="NMP44" s="44"/>
      <c r="NMQ44" s="44"/>
      <c r="NMR44" s="44"/>
      <c r="NMS44" s="44"/>
      <c r="NMT44" s="44"/>
      <c r="NMU44" s="44"/>
      <c r="NMV44" s="44"/>
      <c r="NMW44" s="44"/>
      <c r="NMX44" s="44"/>
      <c r="NMY44" s="44"/>
      <c r="NMZ44" s="44"/>
      <c r="NNA44" s="44"/>
      <c r="NNB44" s="44"/>
      <c r="NNC44" s="44"/>
      <c r="NND44" s="44"/>
      <c r="NNE44" s="44"/>
      <c r="NNF44" s="44"/>
      <c r="NNG44" s="44"/>
      <c r="NNH44" s="44"/>
      <c r="NNI44" s="44"/>
      <c r="NNJ44" s="44"/>
      <c r="NNK44" s="44"/>
      <c r="NNL44" s="44"/>
      <c r="NNM44" s="44"/>
      <c r="NNN44" s="44"/>
      <c r="NNO44" s="44"/>
      <c r="NNP44" s="44"/>
      <c r="NNQ44" s="44"/>
      <c r="NNR44" s="44"/>
      <c r="NNS44" s="44"/>
      <c r="NNT44" s="44"/>
      <c r="NNU44" s="44"/>
      <c r="NNV44" s="44"/>
      <c r="NNW44" s="44"/>
      <c r="NNX44" s="44"/>
      <c r="NNY44" s="44"/>
      <c r="NNZ44" s="44"/>
      <c r="NOA44" s="44"/>
      <c r="NOB44" s="44"/>
      <c r="NOC44" s="44"/>
      <c r="NOD44" s="44"/>
      <c r="NOE44" s="44"/>
      <c r="NOF44" s="44"/>
      <c r="NOG44" s="44"/>
      <c r="NOH44" s="44"/>
      <c r="NOI44" s="44"/>
      <c r="NOJ44" s="44"/>
      <c r="NOK44" s="44"/>
      <c r="NOL44" s="44"/>
      <c r="NOM44" s="44"/>
      <c r="NON44" s="44"/>
      <c r="NOO44" s="44"/>
      <c r="NOP44" s="44"/>
      <c r="NOQ44" s="44"/>
      <c r="NOR44" s="44"/>
      <c r="NOS44" s="44"/>
      <c r="NOT44" s="44"/>
      <c r="NOU44" s="44"/>
      <c r="NOV44" s="44"/>
      <c r="NOW44" s="44"/>
      <c r="NOX44" s="44"/>
      <c r="NOY44" s="44"/>
      <c r="NOZ44" s="44"/>
      <c r="NPA44" s="44"/>
      <c r="NPB44" s="44"/>
      <c r="NPC44" s="44"/>
      <c r="NPD44" s="44"/>
      <c r="NPE44" s="44"/>
      <c r="NPF44" s="44"/>
      <c r="NPG44" s="44"/>
      <c r="NPH44" s="44"/>
      <c r="NPI44" s="44"/>
      <c r="NPJ44" s="44"/>
      <c r="NPK44" s="44"/>
      <c r="NPL44" s="44"/>
      <c r="NPM44" s="44"/>
      <c r="NPN44" s="44"/>
      <c r="NPO44" s="44"/>
      <c r="NPP44" s="44"/>
      <c r="NPQ44" s="44"/>
      <c r="NPR44" s="44"/>
      <c r="NPS44" s="44"/>
      <c r="NPT44" s="44"/>
      <c r="NPU44" s="44"/>
      <c r="NPV44" s="44"/>
      <c r="NPW44" s="44"/>
      <c r="NPX44" s="44"/>
      <c r="NPY44" s="44"/>
      <c r="NPZ44" s="44"/>
      <c r="NQA44" s="44"/>
      <c r="NQB44" s="44"/>
      <c r="NQC44" s="44"/>
      <c r="NQD44" s="44"/>
      <c r="NQE44" s="44"/>
      <c r="NQF44" s="44"/>
      <c r="NQG44" s="44"/>
      <c r="NQH44" s="44"/>
      <c r="NQI44" s="44"/>
      <c r="NQJ44" s="44"/>
      <c r="NQK44" s="44"/>
      <c r="NQL44" s="44"/>
      <c r="NQM44" s="44"/>
      <c r="NQN44" s="44"/>
      <c r="NQO44" s="44"/>
      <c r="NQP44" s="44"/>
      <c r="NQQ44" s="44"/>
      <c r="NQR44" s="44"/>
      <c r="NQS44" s="44"/>
      <c r="NQT44" s="44"/>
      <c r="NQU44" s="44"/>
      <c r="NQV44" s="44"/>
      <c r="NQW44" s="44"/>
      <c r="NQX44" s="44"/>
      <c r="NQY44" s="44"/>
      <c r="NQZ44" s="44"/>
      <c r="NRA44" s="44"/>
      <c r="NRB44" s="44"/>
      <c r="NRC44" s="44"/>
      <c r="NRD44" s="44"/>
      <c r="NRE44" s="44"/>
      <c r="NRF44" s="44"/>
      <c r="NRG44" s="44"/>
      <c r="NRH44" s="44"/>
      <c r="NRI44" s="44"/>
      <c r="NRJ44" s="44"/>
      <c r="NRK44" s="44"/>
      <c r="NRL44" s="44"/>
      <c r="NRM44" s="44"/>
      <c r="NRN44" s="44"/>
      <c r="NRO44" s="44"/>
      <c r="NRP44" s="44"/>
      <c r="NRQ44" s="44"/>
      <c r="NRR44" s="44"/>
      <c r="NRS44" s="44"/>
      <c r="NRT44" s="44"/>
      <c r="NRU44" s="44"/>
      <c r="NRV44" s="44"/>
      <c r="NRW44" s="44"/>
      <c r="NRX44" s="44"/>
      <c r="NRY44" s="44"/>
      <c r="NRZ44" s="44"/>
      <c r="NSA44" s="44"/>
      <c r="NSB44" s="44"/>
      <c r="NSC44" s="44"/>
      <c r="NSD44" s="44"/>
      <c r="NSE44" s="44"/>
      <c r="NSF44" s="44"/>
      <c r="NSG44" s="44"/>
      <c r="NSH44" s="44"/>
      <c r="NSI44" s="44"/>
      <c r="NSJ44" s="44"/>
      <c r="NSK44" s="44"/>
      <c r="NSL44" s="44"/>
      <c r="NSM44" s="44"/>
      <c r="NSN44" s="44"/>
      <c r="NSO44" s="44"/>
      <c r="NSP44" s="44"/>
      <c r="NSQ44" s="44"/>
      <c r="NSR44" s="44"/>
      <c r="NSS44" s="44"/>
      <c r="NST44" s="44"/>
      <c r="NSU44" s="44"/>
      <c r="NSV44" s="44"/>
      <c r="NSW44" s="44"/>
      <c r="NSX44" s="44"/>
      <c r="NSY44" s="44"/>
      <c r="NSZ44" s="44"/>
      <c r="NTA44" s="44"/>
      <c r="NTB44" s="44"/>
      <c r="NTC44" s="44"/>
      <c r="NTD44" s="44"/>
      <c r="NTE44" s="44"/>
      <c r="NTF44" s="44"/>
      <c r="NTG44" s="44"/>
      <c r="NTH44" s="44"/>
      <c r="NTI44" s="44"/>
      <c r="NTJ44" s="44"/>
      <c r="NTK44" s="44"/>
      <c r="NTL44" s="44"/>
      <c r="NTM44" s="44"/>
      <c r="NTN44" s="44"/>
      <c r="NTO44" s="44"/>
      <c r="NTP44" s="44"/>
      <c r="NTQ44" s="44"/>
      <c r="NTR44" s="44"/>
      <c r="NTS44" s="44"/>
      <c r="NTT44" s="44"/>
      <c r="NTU44" s="44"/>
      <c r="NTV44" s="44"/>
      <c r="NTW44" s="44"/>
      <c r="NTX44" s="44"/>
      <c r="NTY44" s="44"/>
      <c r="NTZ44" s="44"/>
      <c r="NUA44" s="44"/>
      <c r="NUB44" s="44"/>
      <c r="NUC44" s="44"/>
      <c r="NUD44" s="44"/>
      <c r="NUE44" s="44"/>
      <c r="NUF44" s="44"/>
      <c r="NUG44" s="44"/>
      <c r="NUH44" s="44"/>
      <c r="NUI44" s="44"/>
      <c r="NUJ44" s="44"/>
      <c r="NUK44" s="44"/>
      <c r="NUL44" s="44"/>
      <c r="NUM44" s="44"/>
      <c r="NUN44" s="44"/>
      <c r="NUO44" s="44"/>
      <c r="NUP44" s="44"/>
      <c r="NUQ44" s="44"/>
      <c r="NUR44" s="44"/>
      <c r="NUS44" s="44"/>
      <c r="NUT44" s="44"/>
      <c r="NUU44" s="44"/>
      <c r="NUV44" s="44"/>
      <c r="NUW44" s="44"/>
      <c r="NUX44" s="44"/>
      <c r="NUY44" s="44"/>
      <c r="NUZ44" s="44"/>
      <c r="NVA44" s="44"/>
      <c r="NVB44" s="44"/>
      <c r="NVC44" s="44"/>
      <c r="NVD44" s="44"/>
      <c r="NVE44" s="44"/>
      <c r="NVF44" s="44"/>
      <c r="NVG44" s="44"/>
      <c r="NVH44" s="44"/>
      <c r="NVI44" s="44"/>
      <c r="NVJ44" s="44"/>
      <c r="NVK44" s="44"/>
      <c r="NVL44" s="44"/>
      <c r="NVM44" s="44"/>
      <c r="NVN44" s="44"/>
      <c r="NVO44" s="44"/>
      <c r="NVP44" s="44"/>
      <c r="NVQ44" s="44"/>
      <c r="NVR44" s="44"/>
      <c r="NVS44" s="44"/>
      <c r="NVT44" s="44"/>
      <c r="NVU44" s="44"/>
      <c r="NVV44" s="44"/>
      <c r="NVW44" s="44"/>
      <c r="NVX44" s="44"/>
      <c r="NVY44" s="44"/>
      <c r="NVZ44" s="44"/>
      <c r="NWA44" s="44"/>
      <c r="NWB44" s="44"/>
      <c r="NWC44" s="44"/>
      <c r="NWD44" s="44"/>
      <c r="NWE44" s="44"/>
      <c r="NWF44" s="44"/>
      <c r="NWG44" s="44"/>
      <c r="NWH44" s="44"/>
      <c r="NWI44" s="44"/>
      <c r="NWJ44" s="44"/>
      <c r="NWK44" s="44"/>
      <c r="NWL44" s="44"/>
      <c r="NWM44" s="44"/>
      <c r="NWN44" s="44"/>
      <c r="NWO44" s="44"/>
      <c r="NWP44" s="44"/>
      <c r="NWQ44" s="44"/>
      <c r="NWR44" s="44"/>
      <c r="NWS44" s="44"/>
      <c r="NWT44" s="44"/>
      <c r="NWU44" s="44"/>
      <c r="NWV44" s="44"/>
      <c r="NWW44" s="44"/>
      <c r="NWX44" s="44"/>
      <c r="NWY44" s="44"/>
      <c r="NWZ44" s="44"/>
      <c r="NXA44" s="44"/>
      <c r="NXB44" s="44"/>
      <c r="NXC44" s="44"/>
      <c r="NXD44" s="44"/>
      <c r="NXE44" s="44"/>
      <c r="NXF44" s="44"/>
      <c r="NXG44" s="44"/>
      <c r="NXH44" s="44"/>
      <c r="NXI44" s="44"/>
      <c r="NXJ44" s="44"/>
      <c r="NXK44" s="44"/>
      <c r="NXL44" s="44"/>
      <c r="NXM44" s="44"/>
      <c r="NXN44" s="44"/>
      <c r="NXO44" s="44"/>
      <c r="NXP44" s="44"/>
      <c r="NXQ44" s="44"/>
      <c r="NXR44" s="44"/>
      <c r="NXS44" s="44"/>
      <c r="NXT44" s="44"/>
      <c r="NXU44" s="44"/>
      <c r="NXV44" s="44"/>
      <c r="NXW44" s="44"/>
      <c r="NXX44" s="44"/>
      <c r="NXY44" s="44"/>
      <c r="NXZ44" s="44"/>
      <c r="NYA44" s="44"/>
      <c r="NYB44" s="44"/>
      <c r="NYC44" s="44"/>
      <c r="NYD44" s="44"/>
      <c r="NYE44" s="44"/>
      <c r="NYF44" s="44"/>
      <c r="NYG44" s="44"/>
      <c r="NYH44" s="44"/>
      <c r="NYI44" s="44"/>
      <c r="NYJ44" s="44"/>
      <c r="NYK44" s="44"/>
      <c r="NYL44" s="44"/>
      <c r="NYM44" s="44"/>
      <c r="NYN44" s="44"/>
      <c r="NYO44" s="44"/>
      <c r="NYP44" s="44"/>
      <c r="NYQ44" s="44"/>
      <c r="NYR44" s="44"/>
      <c r="NYS44" s="44"/>
      <c r="NYT44" s="44"/>
      <c r="NYU44" s="44"/>
      <c r="NYV44" s="44"/>
      <c r="NYW44" s="44"/>
      <c r="NYX44" s="44"/>
      <c r="NYY44" s="44"/>
      <c r="NYZ44" s="44"/>
      <c r="NZA44" s="44"/>
      <c r="NZB44" s="44"/>
      <c r="NZC44" s="44"/>
      <c r="NZD44" s="44"/>
      <c r="NZE44" s="44"/>
      <c r="NZF44" s="44"/>
      <c r="NZG44" s="44"/>
      <c r="NZH44" s="44"/>
      <c r="NZI44" s="44"/>
      <c r="NZJ44" s="44"/>
      <c r="NZK44" s="44"/>
      <c r="NZL44" s="44"/>
      <c r="NZM44" s="44"/>
      <c r="NZN44" s="44"/>
      <c r="NZO44" s="44"/>
      <c r="NZP44" s="44"/>
      <c r="NZQ44" s="44"/>
      <c r="NZR44" s="44"/>
      <c r="NZS44" s="44"/>
      <c r="NZT44" s="44"/>
      <c r="NZU44" s="44"/>
      <c r="NZV44" s="44"/>
      <c r="NZW44" s="44"/>
      <c r="NZX44" s="44"/>
      <c r="NZY44" s="44"/>
      <c r="NZZ44" s="44"/>
      <c r="OAA44" s="44"/>
      <c r="OAB44" s="44"/>
      <c r="OAC44" s="44"/>
      <c r="OAD44" s="44"/>
      <c r="OAE44" s="44"/>
      <c r="OAF44" s="44"/>
      <c r="OAG44" s="44"/>
      <c r="OAH44" s="44"/>
      <c r="OAI44" s="44"/>
      <c r="OAJ44" s="44"/>
      <c r="OAK44" s="44"/>
      <c r="OAL44" s="44"/>
      <c r="OAM44" s="44"/>
      <c r="OAN44" s="44"/>
      <c r="OAO44" s="44"/>
      <c r="OAP44" s="44"/>
      <c r="OAQ44" s="44"/>
      <c r="OAR44" s="44"/>
      <c r="OAS44" s="44"/>
      <c r="OAT44" s="44"/>
      <c r="OAU44" s="44"/>
      <c r="OAV44" s="44"/>
      <c r="OAW44" s="44"/>
      <c r="OAX44" s="44"/>
      <c r="OAY44" s="44"/>
      <c r="OAZ44" s="44"/>
      <c r="OBA44" s="44"/>
      <c r="OBB44" s="44"/>
      <c r="OBC44" s="44"/>
      <c r="OBD44" s="44"/>
      <c r="OBE44" s="44"/>
      <c r="OBF44" s="44"/>
      <c r="OBG44" s="44"/>
      <c r="OBH44" s="44"/>
      <c r="OBI44" s="44"/>
      <c r="OBJ44" s="44"/>
      <c r="OBK44" s="44"/>
      <c r="OBL44" s="44"/>
      <c r="OBM44" s="44"/>
      <c r="OBN44" s="44"/>
      <c r="OBO44" s="44"/>
      <c r="OBP44" s="44"/>
      <c r="OBQ44" s="44"/>
      <c r="OBR44" s="44"/>
      <c r="OBS44" s="44"/>
      <c r="OBT44" s="44"/>
      <c r="OBU44" s="44"/>
      <c r="OBV44" s="44"/>
      <c r="OBW44" s="44"/>
      <c r="OBX44" s="44"/>
      <c r="OBY44" s="44"/>
      <c r="OBZ44" s="44"/>
      <c r="OCA44" s="44"/>
      <c r="OCB44" s="44"/>
      <c r="OCC44" s="44"/>
      <c r="OCD44" s="44"/>
      <c r="OCE44" s="44"/>
      <c r="OCF44" s="44"/>
      <c r="OCG44" s="44"/>
      <c r="OCH44" s="44"/>
      <c r="OCI44" s="44"/>
      <c r="OCJ44" s="44"/>
      <c r="OCK44" s="44"/>
      <c r="OCL44" s="44"/>
      <c r="OCM44" s="44"/>
      <c r="OCN44" s="44"/>
      <c r="OCO44" s="44"/>
      <c r="OCP44" s="44"/>
      <c r="OCQ44" s="44"/>
      <c r="OCR44" s="44"/>
      <c r="OCS44" s="44"/>
      <c r="OCT44" s="44"/>
      <c r="OCU44" s="44"/>
      <c r="OCV44" s="44"/>
      <c r="OCW44" s="44"/>
      <c r="OCX44" s="44"/>
      <c r="OCY44" s="44"/>
      <c r="OCZ44" s="44"/>
      <c r="ODA44" s="44"/>
      <c r="ODB44" s="44"/>
      <c r="ODC44" s="44"/>
      <c r="ODD44" s="44"/>
      <c r="ODE44" s="44"/>
      <c r="ODF44" s="44"/>
      <c r="ODG44" s="44"/>
      <c r="ODH44" s="44"/>
      <c r="ODI44" s="44"/>
      <c r="ODJ44" s="44"/>
      <c r="ODK44" s="44"/>
      <c r="ODL44" s="44"/>
      <c r="ODM44" s="44"/>
      <c r="ODN44" s="44"/>
      <c r="ODO44" s="44"/>
      <c r="ODP44" s="44"/>
      <c r="ODQ44" s="44"/>
      <c r="ODR44" s="44"/>
      <c r="ODS44" s="44"/>
      <c r="ODT44" s="44"/>
      <c r="ODU44" s="44"/>
      <c r="ODV44" s="44"/>
      <c r="ODW44" s="44"/>
      <c r="ODX44" s="44"/>
      <c r="ODY44" s="44"/>
      <c r="ODZ44" s="44"/>
      <c r="OEA44" s="44"/>
      <c r="OEB44" s="44"/>
      <c r="OEC44" s="44"/>
      <c r="OED44" s="44"/>
      <c r="OEE44" s="44"/>
      <c r="OEF44" s="44"/>
      <c r="OEG44" s="44"/>
      <c r="OEH44" s="44"/>
      <c r="OEI44" s="44"/>
      <c r="OEJ44" s="44"/>
      <c r="OEK44" s="44"/>
      <c r="OEL44" s="44"/>
      <c r="OEM44" s="44"/>
      <c r="OEN44" s="44"/>
      <c r="OEO44" s="44"/>
      <c r="OEP44" s="44"/>
      <c r="OEQ44" s="44"/>
      <c r="OER44" s="44"/>
      <c r="OES44" s="44"/>
      <c r="OET44" s="44"/>
      <c r="OEU44" s="44"/>
      <c r="OEV44" s="44"/>
      <c r="OEW44" s="44"/>
      <c r="OEX44" s="44"/>
      <c r="OEY44" s="44"/>
      <c r="OEZ44" s="44"/>
      <c r="OFA44" s="44"/>
      <c r="OFB44" s="44"/>
      <c r="OFC44" s="44"/>
      <c r="OFD44" s="44"/>
      <c r="OFE44" s="44"/>
      <c r="OFF44" s="44"/>
      <c r="OFG44" s="44"/>
      <c r="OFH44" s="44"/>
      <c r="OFI44" s="44"/>
      <c r="OFJ44" s="44"/>
      <c r="OFK44" s="44"/>
      <c r="OFL44" s="44"/>
      <c r="OFM44" s="44"/>
      <c r="OFN44" s="44"/>
      <c r="OFO44" s="44"/>
      <c r="OFP44" s="44"/>
      <c r="OFQ44" s="44"/>
      <c r="OFR44" s="44"/>
      <c r="OFS44" s="44"/>
      <c r="OFT44" s="44"/>
      <c r="OFU44" s="44"/>
      <c r="OFV44" s="44"/>
      <c r="OFW44" s="44"/>
      <c r="OFX44" s="44"/>
      <c r="OFY44" s="44"/>
      <c r="OFZ44" s="44"/>
      <c r="OGA44" s="44"/>
      <c r="OGB44" s="44"/>
      <c r="OGC44" s="44"/>
      <c r="OGD44" s="44"/>
      <c r="OGE44" s="44"/>
      <c r="OGF44" s="44"/>
      <c r="OGG44" s="44"/>
      <c r="OGH44" s="44"/>
      <c r="OGI44" s="44"/>
      <c r="OGJ44" s="44"/>
      <c r="OGK44" s="44"/>
      <c r="OGL44" s="44"/>
      <c r="OGM44" s="44"/>
      <c r="OGN44" s="44"/>
      <c r="OGO44" s="44"/>
      <c r="OGP44" s="44"/>
      <c r="OGQ44" s="44"/>
      <c r="OGR44" s="44"/>
      <c r="OGS44" s="44"/>
      <c r="OGT44" s="44"/>
      <c r="OGU44" s="44"/>
      <c r="OGV44" s="44"/>
      <c r="OGW44" s="44"/>
      <c r="OGX44" s="44"/>
      <c r="OGY44" s="44"/>
      <c r="OGZ44" s="44"/>
      <c r="OHA44" s="44"/>
      <c r="OHB44" s="44"/>
      <c r="OHC44" s="44"/>
      <c r="OHD44" s="44"/>
      <c r="OHE44" s="44"/>
      <c r="OHF44" s="44"/>
      <c r="OHG44" s="44"/>
      <c r="OHH44" s="44"/>
      <c r="OHI44" s="44"/>
      <c r="OHJ44" s="44"/>
      <c r="OHK44" s="44"/>
      <c r="OHL44" s="44"/>
      <c r="OHM44" s="44"/>
      <c r="OHN44" s="44"/>
      <c r="OHO44" s="44"/>
      <c r="OHP44" s="44"/>
      <c r="OHQ44" s="44"/>
      <c r="OHR44" s="44"/>
      <c r="OHS44" s="44"/>
      <c r="OHT44" s="44"/>
      <c r="OHU44" s="44"/>
      <c r="OHV44" s="44"/>
      <c r="OHW44" s="44"/>
      <c r="OHX44" s="44"/>
      <c r="OHY44" s="44"/>
      <c r="OHZ44" s="44"/>
      <c r="OIA44" s="44"/>
      <c r="OIB44" s="44"/>
      <c r="OIC44" s="44"/>
      <c r="OID44" s="44"/>
      <c r="OIE44" s="44"/>
      <c r="OIF44" s="44"/>
      <c r="OIG44" s="44"/>
      <c r="OIH44" s="44"/>
      <c r="OII44" s="44"/>
      <c r="OIJ44" s="44"/>
      <c r="OIK44" s="44"/>
      <c r="OIL44" s="44"/>
      <c r="OIM44" s="44"/>
      <c r="OIN44" s="44"/>
      <c r="OIO44" s="44"/>
      <c r="OIP44" s="44"/>
      <c r="OIQ44" s="44"/>
      <c r="OIR44" s="44"/>
      <c r="OIS44" s="44"/>
      <c r="OIT44" s="44"/>
      <c r="OIU44" s="44"/>
      <c r="OIV44" s="44"/>
      <c r="OIW44" s="44"/>
      <c r="OIX44" s="44"/>
      <c r="OIY44" s="44"/>
      <c r="OIZ44" s="44"/>
      <c r="OJA44" s="44"/>
      <c r="OJB44" s="44"/>
      <c r="OJC44" s="44"/>
      <c r="OJD44" s="44"/>
      <c r="OJE44" s="44"/>
      <c r="OJF44" s="44"/>
      <c r="OJG44" s="44"/>
      <c r="OJH44" s="44"/>
      <c r="OJI44" s="44"/>
      <c r="OJJ44" s="44"/>
      <c r="OJK44" s="44"/>
      <c r="OJL44" s="44"/>
      <c r="OJM44" s="44"/>
      <c r="OJN44" s="44"/>
      <c r="OJO44" s="44"/>
      <c r="OJP44" s="44"/>
      <c r="OJQ44" s="44"/>
      <c r="OJR44" s="44"/>
      <c r="OJS44" s="44"/>
      <c r="OJT44" s="44"/>
      <c r="OJU44" s="44"/>
      <c r="OJV44" s="44"/>
      <c r="OJW44" s="44"/>
      <c r="OJX44" s="44"/>
      <c r="OJY44" s="44"/>
      <c r="OJZ44" s="44"/>
      <c r="OKA44" s="44"/>
      <c r="OKB44" s="44"/>
      <c r="OKC44" s="44"/>
      <c r="OKD44" s="44"/>
      <c r="OKE44" s="44"/>
      <c r="OKF44" s="44"/>
      <c r="OKG44" s="44"/>
      <c r="OKH44" s="44"/>
      <c r="OKI44" s="44"/>
      <c r="OKJ44" s="44"/>
      <c r="OKK44" s="44"/>
      <c r="OKL44" s="44"/>
      <c r="OKM44" s="44"/>
      <c r="OKN44" s="44"/>
      <c r="OKO44" s="44"/>
      <c r="OKP44" s="44"/>
      <c r="OKQ44" s="44"/>
      <c r="OKR44" s="44"/>
      <c r="OKS44" s="44"/>
      <c r="OKT44" s="44"/>
      <c r="OKU44" s="44"/>
      <c r="OKV44" s="44"/>
      <c r="OKW44" s="44"/>
      <c r="OKX44" s="44"/>
      <c r="OKY44" s="44"/>
      <c r="OKZ44" s="44"/>
      <c r="OLA44" s="44"/>
      <c r="OLB44" s="44"/>
      <c r="OLC44" s="44"/>
      <c r="OLD44" s="44"/>
      <c r="OLE44" s="44"/>
      <c r="OLF44" s="44"/>
      <c r="OLG44" s="44"/>
      <c r="OLH44" s="44"/>
      <c r="OLI44" s="44"/>
      <c r="OLJ44" s="44"/>
      <c r="OLK44" s="44"/>
      <c r="OLL44" s="44"/>
      <c r="OLM44" s="44"/>
      <c r="OLN44" s="44"/>
      <c r="OLO44" s="44"/>
      <c r="OLP44" s="44"/>
      <c r="OLQ44" s="44"/>
      <c r="OLR44" s="44"/>
      <c r="OLS44" s="44"/>
      <c r="OLT44" s="44"/>
      <c r="OLU44" s="44"/>
      <c r="OLV44" s="44"/>
      <c r="OLW44" s="44"/>
      <c r="OLX44" s="44"/>
      <c r="OLY44" s="44"/>
      <c r="OLZ44" s="44"/>
      <c r="OMA44" s="44"/>
      <c r="OMB44" s="44"/>
      <c r="OMC44" s="44"/>
      <c r="OMD44" s="44"/>
      <c r="OME44" s="44"/>
      <c r="OMF44" s="44"/>
      <c r="OMG44" s="44"/>
      <c r="OMH44" s="44"/>
      <c r="OMI44" s="44"/>
      <c r="OMJ44" s="44"/>
      <c r="OMK44" s="44"/>
      <c r="OML44" s="44"/>
      <c r="OMM44" s="44"/>
      <c r="OMN44" s="44"/>
      <c r="OMO44" s="44"/>
      <c r="OMP44" s="44"/>
      <c r="OMQ44" s="44"/>
      <c r="OMR44" s="44"/>
      <c r="OMS44" s="44"/>
      <c r="OMT44" s="44"/>
      <c r="OMU44" s="44"/>
      <c r="OMV44" s="44"/>
      <c r="OMW44" s="44"/>
      <c r="OMX44" s="44"/>
      <c r="OMY44" s="44"/>
      <c r="OMZ44" s="44"/>
      <c r="ONA44" s="44"/>
      <c r="ONB44" s="44"/>
      <c r="ONC44" s="44"/>
      <c r="OND44" s="44"/>
      <c r="ONE44" s="44"/>
      <c r="ONF44" s="44"/>
      <c r="ONG44" s="44"/>
      <c r="ONH44" s="44"/>
      <c r="ONI44" s="44"/>
      <c r="ONJ44" s="44"/>
      <c r="ONK44" s="44"/>
      <c r="ONL44" s="44"/>
      <c r="ONM44" s="44"/>
      <c r="ONN44" s="44"/>
      <c r="ONO44" s="44"/>
      <c r="ONP44" s="44"/>
      <c r="ONQ44" s="44"/>
      <c r="ONR44" s="44"/>
      <c r="ONS44" s="44"/>
      <c r="ONT44" s="44"/>
      <c r="ONU44" s="44"/>
      <c r="ONV44" s="44"/>
      <c r="ONW44" s="44"/>
      <c r="ONX44" s="44"/>
      <c r="ONY44" s="44"/>
      <c r="ONZ44" s="44"/>
      <c r="OOA44" s="44"/>
      <c r="OOB44" s="44"/>
      <c r="OOC44" s="44"/>
      <c r="OOD44" s="44"/>
      <c r="OOE44" s="44"/>
      <c r="OOF44" s="44"/>
      <c r="OOG44" s="44"/>
      <c r="OOH44" s="44"/>
      <c r="OOI44" s="44"/>
      <c r="OOJ44" s="44"/>
      <c r="OOK44" s="44"/>
      <c r="OOL44" s="44"/>
      <c r="OOM44" s="44"/>
      <c r="OON44" s="44"/>
      <c r="OOO44" s="44"/>
      <c r="OOP44" s="44"/>
      <c r="OOQ44" s="44"/>
      <c r="OOR44" s="44"/>
      <c r="OOS44" s="44"/>
      <c r="OOT44" s="44"/>
      <c r="OOU44" s="44"/>
      <c r="OOV44" s="44"/>
      <c r="OOW44" s="44"/>
      <c r="OOX44" s="44"/>
      <c r="OOY44" s="44"/>
      <c r="OOZ44" s="44"/>
      <c r="OPA44" s="44"/>
      <c r="OPB44" s="44"/>
      <c r="OPC44" s="44"/>
      <c r="OPD44" s="44"/>
      <c r="OPE44" s="44"/>
      <c r="OPF44" s="44"/>
      <c r="OPG44" s="44"/>
      <c r="OPH44" s="44"/>
      <c r="OPI44" s="44"/>
      <c r="OPJ44" s="44"/>
      <c r="OPK44" s="44"/>
      <c r="OPL44" s="44"/>
      <c r="OPM44" s="44"/>
      <c r="OPN44" s="44"/>
      <c r="OPO44" s="44"/>
      <c r="OPP44" s="44"/>
      <c r="OPQ44" s="44"/>
      <c r="OPR44" s="44"/>
      <c r="OPS44" s="44"/>
      <c r="OPT44" s="44"/>
      <c r="OPU44" s="44"/>
      <c r="OPV44" s="44"/>
      <c r="OPW44" s="44"/>
      <c r="OPX44" s="44"/>
      <c r="OPY44" s="44"/>
      <c r="OPZ44" s="44"/>
      <c r="OQA44" s="44"/>
      <c r="OQB44" s="44"/>
      <c r="OQC44" s="44"/>
      <c r="OQD44" s="44"/>
      <c r="OQE44" s="44"/>
      <c r="OQF44" s="44"/>
      <c r="OQG44" s="44"/>
      <c r="OQH44" s="44"/>
      <c r="OQI44" s="44"/>
      <c r="OQJ44" s="44"/>
      <c r="OQK44" s="44"/>
      <c r="OQL44" s="44"/>
      <c r="OQM44" s="44"/>
      <c r="OQN44" s="44"/>
      <c r="OQO44" s="44"/>
      <c r="OQP44" s="44"/>
      <c r="OQQ44" s="44"/>
      <c r="OQR44" s="44"/>
      <c r="OQS44" s="44"/>
      <c r="OQT44" s="44"/>
      <c r="OQU44" s="44"/>
      <c r="OQV44" s="44"/>
      <c r="OQW44" s="44"/>
      <c r="OQX44" s="44"/>
      <c r="OQY44" s="44"/>
      <c r="OQZ44" s="44"/>
      <c r="ORA44" s="44"/>
      <c r="ORB44" s="44"/>
      <c r="ORC44" s="44"/>
      <c r="ORD44" s="44"/>
      <c r="ORE44" s="44"/>
      <c r="ORF44" s="44"/>
      <c r="ORG44" s="44"/>
      <c r="ORH44" s="44"/>
      <c r="ORI44" s="44"/>
      <c r="ORJ44" s="44"/>
      <c r="ORK44" s="44"/>
      <c r="ORL44" s="44"/>
      <c r="ORM44" s="44"/>
      <c r="ORN44" s="44"/>
      <c r="ORO44" s="44"/>
      <c r="ORP44" s="44"/>
      <c r="ORQ44" s="44"/>
      <c r="ORR44" s="44"/>
      <c r="ORS44" s="44"/>
      <c r="ORT44" s="44"/>
      <c r="ORU44" s="44"/>
      <c r="ORV44" s="44"/>
      <c r="ORW44" s="44"/>
      <c r="ORX44" s="44"/>
      <c r="ORY44" s="44"/>
      <c r="ORZ44" s="44"/>
      <c r="OSA44" s="44"/>
      <c r="OSB44" s="44"/>
      <c r="OSC44" s="44"/>
      <c r="OSD44" s="44"/>
      <c r="OSE44" s="44"/>
      <c r="OSF44" s="44"/>
      <c r="OSG44" s="44"/>
      <c r="OSH44" s="44"/>
      <c r="OSI44" s="44"/>
      <c r="OSJ44" s="44"/>
      <c r="OSK44" s="44"/>
      <c r="OSL44" s="44"/>
      <c r="OSM44" s="44"/>
      <c r="OSN44" s="44"/>
      <c r="OSO44" s="44"/>
      <c r="OSP44" s="44"/>
      <c r="OSQ44" s="44"/>
      <c r="OSR44" s="44"/>
      <c r="OSS44" s="44"/>
      <c r="OST44" s="44"/>
      <c r="OSU44" s="44"/>
      <c r="OSV44" s="44"/>
      <c r="OSW44" s="44"/>
      <c r="OSX44" s="44"/>
      <c r="OSY44" s="44"/>
      <c r="OSZ44" s="44"/>
      <c r="OTA44" s="44"/>
      <c r="OTB44" s="44"/>
      <c r="OTC44" s="44"/>
      <c r="OTD44" s="44"/>
      <c r="OTE44" s="44"/>
      <c r="OTF44" s="44"/>
      <c r="OTG44" s="44"/>
      <c r="OTH44" s="44"/>
      <c r="OTI44" s="44"/>
      <c r="OTJ44" s="44"/>
      <c r="OTK44" s="44"/>
      <c r="OTL44" s="44"/>
      <c r="OTM44" s="44"/>
      <c r="OTN44" s="44"/>
      <c r="OTO44" s="44"/>
      <c r="OTP44" s="44"/>
      <c r="OTQ44" s="44"/>
      <c r="OTR44" s="44"/>
      <c r="OTS44" s="44"/>
      <c r="OTT44" s="44"/>
      <c r="OTU44" s="44"/>
      <c r="OTV44" s="44"/>
      <c r="OTW44" s="44"/>
      <c r="OTX44" s="44"/>
      <c r="OTY44" s="44"/>
      <c r="OTZ44" s="44"/>
      <c r="OUA44" s="44"/>
      <c r="OUB44" s="44"/>
      <c r="OUC44" s="44"/>
      <c r="OUD44" s="44"/>
      <c r="OUE44" s="44"/>
      <c r="OUF44" s="44"/>
      <c r="OUG44" s="44"/>
      <c r="OUH44" s="44"/>
      <c r="OUI44" s="44"/>
      <c r="OUJ44" s="44"/>
      <c r="OUK44" s="44"/>
      <c r="OUL44" s="44"/>
      <c r="OUM44" s="44"/>
      <c r="OUN44" s="44"/>
      <c r="OUO44" s="44"/>
      <c r="OUP44" s="44"/>
      <c r="OUQ44" s="44"/>
      <c r="OUR44" s="44"/>
      <c r="OUS44" s="44"/>
      <c r="OUT44" s="44"/>
      <c r="OUU44" s="44"/>
      <c r="OUV44" s="44"/>
      <c r="OUW44" s="44"/>
      <c r="OUX44" s="44"/>
      <c r="OUY44" s="44"/>
      <c r="OUZ44" s="44"/>
      <c r="OVA44" s="44"/>
      <c r="OVB44" s="44"/>
      <c r="OVC44" s="44"/>
      <c r="OVD44" s="44"/>
      <c r="OVE44" s="44"/>
      <c r="OVF44" s="44"/>
      <c r="OVG44" s="44"/>
      <c r="OVH44" s="44"/>
      <c r="OVI44" s="44"/>
      <c r="OVJ44" s="44"/>
      <c r="OVK44" s="44"/>
      <c r="OVL44" s="44"/>
      <c r="OVM44" s="44"/>
      <c r="OVN44" s="44"/>
      <c r="OVO44" s="44"/>
      <c r="OVP44" s="44"/>
      <c r="OVQ44" s="44"/>
      <c r="OVR44" s="44"/>
      <c r="OVS44" s="44"/>
      <c r="OVT44" s="44"/>
      <c r="OVU44" s="44"/>
      <c r="OVV44" s="44"/>
      <c r="OVW44" s="44"/>
      <c r="OVX44" s="44"/>
      <c r="OVY44" s="44"/>
      <c r="OVZ44" s="44"/>
      <c r="OWA44" s="44"/>
      <c r="OWB44" s="44"/>
      <c r="OWC44" s="44"/>
      <c r="OWD44" s="44"/>
      <c r="OWE44" s="44"/>
      <c r="OWF44" s="44"/>
      <c r="OWG44" s="44"/>
      <c r="OWH44" s="44"/>
      <c r="OWI44" s="44"/>
      <c r="OWJ44" s="44"/>
      <c r="OWK44" s="44"/>
      <c r="OWL44" s="44"/>
      <c r="OWM44" s="44"/>
      <c r="OWN44" s="44"/>
      <c r="OWO44" s="44"/>
      <c r="OWP44" s="44"/>
      <c r="OWQ44" s="44"/>
      <c r="OWR44" s="44"/>
      <c r="OWS44" s="44"/>
      <c r="OWT44" s="44"/>
      <c r="OWU44" s="44"/>
      <c r="OWV44" s="44"/>
      <c r="OWW44" s="44"/>
      <c r="OWX44" s="44"/>
      <c r="OWY44" s="44"/>
      <c r="OWZ44" s="44"/>
      <c r="OXA44" s="44"/>
      <c r="OXB44" s="44"/>
      <c r="OXC44" s="44"/>
      <c r="OXD44" s="44"/>
      <c r="OXE44" s="44"/>
      <c r="OXF44" s="44"/>
      <c r="OXG44" s="44"/>
      <c r="OXH44" s="44"/>
      <c r="OXI44" s="44"/>
      <c r="OXJ44" s="44"/>
      <c r="OXK44" s="44"/>
      <c r="OXL44" s="44"/>
      <c r="OXM44" s="44"/>
      <c r="OXN44" s="44"/>
      <c r="OXO44" s="44"/>
      <c r="OXP44" s="44"/>
      <c r="OXQ44" s="44"/>
      <c r="OXR44" s="44"/>
      <c r="OXS44" s="44"/>
      <c r="OXT44" s="44"/>
      <c r="OXU44" s="44"/>
      <c r="OXV44" s="44"/>
      <c r="OXW44" s="44"/>
      <c r="OXX44" s="44"/>
      <c r="OXY44" s="44"/>
      <c r="OXZ44" s="44"/>
      <c r="OYA44" s="44"/>
      <c r="OYB44" s="44"/>
      <c r="OYC44" s="44"/>
      <c r="OYD44" s="44"/>
      <c r="OYE44" s="44"/>
      <c r="OYF44" s="44"/>
      <c r="OYG44" s="44"/>
      <c r="OYH44" s="44"/>
      <c r="OYI44" s="44"/>
      <c r="OYJ44" s="44"/>
      <c r="OYK44" s="44"/>
      <c r="OYL44" s="44"/>
      <c r="OYM44" s="44"/>
      <c r="OYN44" s="44"/>
      <c r="OYO44" s="44"/>
      <c r="OYP44" s="44"/>
      <c r="OYQ44" s="44"/>
      <c r="OYR44" s="44"/>
      <c r="OYS44" s="44"/>
      <c r="OYT44" s="44"/>
      <c r="OYU44" s="44"/>
      <c r="OYV44" s="44"/>
      <c r="OYW44" s="44"/>
      <c r="OYX44" s="44"/>
      <c r="OYY44" s="44"/>
      <c r="OYZ44" s="44"/>
      <c r="OZA44" s="44"/>
      <c r="OZB44" s="44"/>
      <c r="OZC44" s="44"/>
      <c r="OZD44" s="44"/>
      <c r="OZE44" s="44"/>
      <c r="OZF44" s="44"/>
      <c r="OZG44" s="44"/>
      <c r="OZH44" s="44"/>
      <c r="OZI44" s="44"/>
      <c r="OZJ44" s="44"/>
      <c r="OZK44" s="44"/>
      <c r="OZL44" s="44"/>
      <c r="OZM44" s="44"/>
      <c r="OZN44" s="44"/>
      <c r="OZO44" s="44"/>
      <c r="OZP44" s="44"/>
      <c r="OZQ44" s="44"/>
      <c r="OZR44" s="44"/>
      <c r="OZS44" s="44"/>
      <c r="OZT44" s="44"/>
      <c r="OZU44" s="44"/>
      <c r="OZV44" s="44"/>
      <c r="OZW44" s="44"/>
      <c r="OZX44" s="44"/>
      <c r="OZY44" s="44"/>
      <c r="OZZ44" s="44"/>
      <c r="PAA44" s="44"/>
      <c r="PAB44" s="44"/>
      <c r="PAC44" s="44"/>
      <c r="PAD44" s="44"/>
      <c r="PAE44" s="44"/>
      <c r="PAF44" s="44"/>
      <c r="PAG44" s="44"/>
      <c r="PAH44" s="44"/>
      <c r="PAI44" s="44"/>
      <c r="PAJ44" s="44"/>
      <c r="PAK44" s="44"/>
      <c r="PAL44" s="44"/>
      <c r="PAM44" s="44"/>
      <c r="PAN44" s="44"/>
      <c r="PAO44" s="44"/>
      <c r="PAP44" s="44"/>
      <c r="PAQ44" s="44"/>
      <c r="PAR44" s="44"/>
      <c r="PAS44" s="44"/>
      <c r="PAT44" s="44"/>
      <c r="PAU44" s="44"/>
      <c r="PAV44" s="44"/>
      <c r="PAW44" s="44"/>
      <c r="PAX44" s="44"/>
      <c r="PAY44" s="44"/>
      <c r="PAZ44" s="44"/>
      <c r="PBA44" s="44"/>
      <c r="PBB44" s="44"/>
      <c r="PBC44" s="44"/>
      <c r="PBD44" s="44"/>
      <c r="PBE44" s="44"/>
      <c r="PBF44" s="44"/>
      <c r="PBG44" s="44"/>
      <c r="PBH44" s="44"/>
      <c r="PBI44" s="44"/>
      <c r="PBJ44" s="44"/>
      <c r="PBK44" s="44"/>
      <c r="PBL44" s="44"/>
      <c r="PBM44" s="44"/>
      <c r="PBN44" s="44"/>
      <c r="PBO44" s="44"/>
      <c r="PBP44" s="44"/>
      <c r="PBQ44" s="44"/>
      <c r="PBR44" s="44"/>
      <c r="PBS44" s="44"/>
      <c r="PBT44" s="44"/>
      <c r="PBU44" s="44"/>
      <c r="PBV44" s="44"/>
      <c r="PBW44" s="44"/>
      <c r="PBX44" s="44"/>
      <c r="PBY44" s="44"/>
      <c r="PBZ44" s="44"/>
      <c r="PCA44" s="44"/>
      <c r="PCB44" s="44"/>
      <c r="PCC44" s="44"/>
      <c r="PCD44" s="44"/>
      <c r="PCE44" s="44"/>
      <c r="PCF44" s="44"/>
      <c r="PCG44" s="44"/>
      <c r="PCH44" s="44"/>
      <c r="PCI44" s="44"/>
      <c r="PCJ44" s="44"/>
      <c r="PCK44" s="44"/>
      <c r="PCL44" s="44"/>
      <c r="PCM44" s="44"/>
      <c r="PCN44" s="44"/>
      <c r="PCO44" s="44"/>
      <c r="PCP44" s="44"/>
      <c r="PCQ44" s="44"/>
      <c r="PCR44" s="44"/>
      <c r="PCS44" s="44"/>
      <c r="PCT44" s="44"/>
      <c r="PCU44" s="44"/>
      <c r="PCV44" s="44"/>
      <c r="PCW44" s="44"/>
      <c r="PCX44" s="44"/>
      <c r="PCY44" s="44"/>
      <c r="PCZ44" s="44"/>
      <c r="PDA44" s="44"/>
      <c r="PDB44" s="44"/>
      <c r="PDC44" s="44"/>
      <c r="PDD44" s="44"/>
      <c r="PDE44" s="44"/>
      <c r="PDF44" s="44"/>
      <c r="PDG44" s="44"/>
      <c r="PDH44" s="44"/>
      <c r="PDI44" s="44"/>
      <c r="PDJ44" s="44"/>
      <c r="PDK44" s="44"/>
      <c r="PDL44" s="44"/>
      <c r="PDM44" s="44"/>
      <c r="PDN44" s="44"/>
      <c r="PDO44" s="44"/>
      <c r="PDP44" s="44"/>
      <c r="PDQ44" s="44"/>
      <c r="PDR44" s="44"/>
      <c r="PDS44" s="44"/>
      <c r="PDT44" s="44"/>
      <c r="PDU44" s="44"/>
      <c r="PDV44" s="44"/>
      <c r="PDW44" s="44"/>
      <c r="PDX44" s="44"/>
      <c r="PDY44" s="44"/>
      <c r="PDZ44" s="44"/>
      <c r="PEA44" s="44"/>
      <c r="PEB44" s="44"/>
      <c r="PEC44" s="44"/>
      <c r="PED44" s="44"/>
      <c r="PEE44" s="44"/>
      <c r="PEF44" s="44"/>
      <c r="PEG44" s="44"/>
      <c r="PEH44" s="44"/>
      <c r="PEI44" s="44"/>
      <c r="PEJ44" s="44"/>
      <c r="PEK44" s="44"/>
      <c r="PEL44" s="44"/>
      <c r="PEM44" s="44"/>
      <c r="PEN44" s="44"/>
      <c r="PEO44" s="44"/>
      <c r="PEP44" s="44"/>
      <c r="PEQ44" s="44"/>
      <c r="PER44" s="44"/>
      <c r="PES44" s="44"/>
      <c r="PET44" s="44"/>
      <c r="PEU44" s="44"/>
      <c r="PEV44" s="44"/>
      <c r="PEW44" s="44"/>
      <c r="PEX44" s="44"/>
      <c r="PEY44" s="44"/>
      <c r="PEZ44" s="44"/>
      <c r="PFA44" s="44"/>
      <c r="PFB44" s="44"/>
      <c r="PFC44" s="44"/>
      <c r="PFD44" s="44"/>
      <c r="PFE44" s="44"/>
      <c r="PFF44" s="44"/>
      <c r="PFG44" s="44"/>
      <c r="PFH44" s="44"/>
      <c r="PFI44" s="44"/>
      <c r="PFJ44" s="44"/>
      <c r="PFK44" s="44"/>
      <c r="PFL44" s="44"/>
      <c r="PFM44" s="44"/>
      <c r="PFN44" s="44"/>
      <c r="PFO44" s="44"/>
      <c r="PFP44" s="44"/>
      <c r="PFQ44" s="44"/>
      <c r="PFR44" s="44"/>
      <c r="PFS44" s="44"/>
      <c r="PFT44" s="44"/>
      <c r="PFU44" s="44"/>
      <c r="PFV44" s="44"/>
      <c r="PFW44" s="44"/>
      <c r="PFX44" s="44"/>
      <c r="PFY44" s="44"/>
      <c r="PFZ44" s="44"/>
      <c r="PGA44" s="44"/>
      <c r="PGB44" s="44"/>
      <c r="PGC44" s="44"/>
      <c r="PGD44" s="44"/>
      <c r="PGE44" s="44"/>
      <c r="PGF44" s="44"/>
      <c r="PGG44" s="44"/>
      <c r="PGH44" s="44"/>
      <c r="PGI44" s="44"/>
      <c r="PGJ44" s="44"/>
      <c r="PGK44" s="44"/>
      <c r="PGL44" s="44"/>
      <c r="PGM44" s="44"/>
      <c r="PGN44" s="44"/>
      <c r="PGO44" s="44"/>
      <c r="PGP44" s="44"/>
      <c r="PGQ44" s="44"/>
      <c r="PGR44" s="44"/>
      <c r="PGS44" s="44"/>
      <c r="PGT44" s="44"/>
      <c r="PGU44" s="44"/>
      <c r="PGV44" s="44"/>
      <c r="PGW44" s="44"/>
      <c r="PGX44" s="44"/>
      <c r="PGY44" s="44"/>
      <c r="PGZ44" s="44"/>
      <c r="PHA44" s="44"/>
      <c r="PHB44" s="44"/>
      <c r="PHC44" s="44"/>
      <c r="PHD44" s="44"/>
      <c r="PHE44" s="44"/>
      <c r="PHF44" s="44"/>
      <c r="PHG44" s="44"/>
      <c r="PHH44" s="44"/>
      <c r="PHI44" s="44"/>
      <c r="PHJ44" s="44"/>
      <c r="PHK44" s="44"/>
      <c r="PHL44" s="44"/>
      <c r="PHM44" s="44"/>
      <c r="PHN44" s="44"/>
      <c r="PHO44" s="44"/>
      <c r="PHP44" s="44"/>
      <c r="PHQ44" s="44"/>
      <c r="PHR44" s="44"/>
      <c r="PHS44" s="44"/>
      <c r="PHT44" s="44"/>
      <c r="PHU44" s="44"/>
      <c r="PHV44" s="44"/>
      <c r="PHW44" s="44"/>
      <c r="PHX44" s="44"/>
      <c r="PHY44" s="44"/>
      <c r="PHZ44" s="44"/>
      <c r="PIA44" s="44"/>
      <c r="PIB44" s="44"/>
      <c r="PIC44" s="44"/>
      <c r="PID44" s="44"/>
      <c r="PIE44" s="44"/>
      <c r="PIF44" s="44"/>
      <c r="PIG44" s="44"/>
      <c r="PIH44" s="44"/>
      <c r="PII44" s="44"/>
      <c r="PIJ44" s="44"/>
      <c r="PIK44" s="44"/>
      <c r="PIL44" s="44"/>
      <c r="PIM44" s="44"/>
      <c r="PIN44" s="44"/>
      <c r="PIO44" s="44"/>
      <c r="PIP44" s="44"/>
      <c r="PIQ44" s="44"/>
      <c r="PIR44" s="44"/>
      <c r="PIS44" s="44"/>
      <c r="PIT44" s="44"/>
      <c r="PIU44" s="44"/>
      <c r="PIV44" s="44"/>
      <c r="PIW44" s="44"/>
      <c r="PIX44" s="44"/>
      <c r="PIY44" s="44"/>
      <c r="PIZ44" s="44"/>
      <c r="PJA44" s="44"/>
      <c r="PJB44" s="44"/>
      <c r="PJC44" s="44"/>
      <c r="PJD44" s="44"/>
      <c r="PJE44" s="44"/>
      <c r="PJF44" s="44"/>
      <c r="PJG44" s="44"/>
      <c r="PJH44" s="44"/>
      <c r="PJI44" s="44"/>
      <c r="PJJ44" s="44"/>
      <c r="PJK44" s="44"/>
      <c r="PJL44" s="44"/>
      <c r="PJM44" s="44"/>
      <c r="PJN44" s="44"/>
      <c r="PJO44" s="44"/>
      <c r="PJP44" s="44"/>
      <c r="PJQ44" s="44"/>
      <c r="PJR44" s="44"/>
      <c r="PJS44" s="44"/>
      <c r="PJT44" s="44"/>
      <c r="PJU44" s="44"/>
      <c r="PJV44" s="44"/>
      <c r="PJW44" s="44"/>
      <c r="PJX44" s="44"/>
      <c r="PJY44" s="44"/>
      <c r="PJZ44" s="44"/>
      <c r="PKA44" s="44"/>
      <c r="PKB44" s="44"/>
      <c r="PKC44" s="44"/>
      <c r="PKD44" s="44"/>
      <c r="PKE44" s="44"/>
      <c r="PKF44" s="44"/>
      <c r="PKG44" s="44"/>
      <c r="PKH44" s="44"/>
      <c r="PKI44" s="44"/>
      <c r="PKJ44" s="44"/>
      <c r="PKK44" s="44"/>
      <c r="PKL44" s="44"/>
      <c r="PKM44" s="44"/>
      <c r="PKN44" s="44"/>
      <c r="PKO44" s="44"/>
      <c r="PKP44" s="44"/>
      <c r="PKQ44" s="44"/>
      <c r="PKR44" s="44"/>
      <c r="PKS44" s="44"/>
      <c r="PKT44" s="44"/>
      <c r="PKU44" s="44"/>
      <c r="PKV44" s="44"/>
      <c r="PKW44" s="44"/>
      <c r="PKX44" s="44"/>
      <c r="PKY44" s="44"/>
      <c r="PKZ44" s="44"/>
      <c r="PLA44" s="44"/>
      <c r="PLB44" s="44"/>
      <c r="PLC44" s="44"/>
      <c r="PLD44" s="44"/>
      <c r="PLE44" s="44"/>
      <c r="PLF44" s="44"/>
      <c r="PLG44" s="44"/>
      <c r="PLH44" s="44"/>
      <c r="PLI44" s="44"/>
      <c r="PLJ44" s="44"/>
      <c r="PLK44" s="44"/>
      <c r="PLL44" s="44"/>
      <c r="PLM44" s="44"/>
      <c r="PLN44" s="44"/>
      <c r="PLO44" s="44"/>
      <c r="PLP44" s="44"/>
      <c r="PLQ44" s="44"/>
      <c r="PLR44" s="44"/>
      <c r="PLS44" s="44"/>
      <c r="PLT44" s="44"/>
      <c r="PLU44" s="44"/>
      <c r="PLV44" s="44"/>
      <c r="PLW44" s="44"/>
      <c r="PLX44" s="44"/>
      <c r="PLY44" s="44"/>
      <c r="PLZ44" s="44"/>
      <c r="PMA44" s="44"/>
      <c r="PMB44" s="44"/>
      <c r="PMC44" s="44"/>
      <c r="PMD44" s="44"/>
      <c r="PME44" s="44"/>
      <c r="PMF44" s="44"/>
      <c r="PMG44" s="44"/>
      <c r="PMH44" s="44"/>
      <c r="PMI44" s="44"/>
      <c r="PMJ44" s="44"/>
      <c r="PMK44" s="44"/>
      <c r="PML44" s="44"/>
      <c r="PMM44" s="44"/>
      <c r="PMN44" s="44"/>
      <c r="PMO44" s="44"/>
      <c r="PMP44" s="44"/>
      <c r="PMQ44" s="44"/>
      <c r="PMR44" s="44"/>
      <c r="PMS44" s="44"/>
      <c r="PMT44" s="44"/>
      <c r="PMU44" s="44"/>
      <c r="PMV44" s="44"/>
      <c r="PMW44" s="44"/>
      <c r="PMX44" s="44"/>
      <c r="PMY44" s="44"/>
      <c r="PMZ44" s="44"/>
      <c r="PNA44" s="44"/>
      <c r="PNB44" s="44"/>
      <c r="PNC44" s="44"/>
      <c r="PND44" s="44"/>
      <c r="PNE44" s="44"/>
      <c r="PNF44" s="44"/>
      <c r="PNG44" s="44"/>
      <c r="PNH44" s="44"/>
      <c r="PNI44" s="44"/>
      <c r="PNJ44" s="44"/>
      <c r="PNK44" s="44"/>
      <c r="PNL44" s="44"/>
      <c r="PNM44" s="44"/>
      <c r="PNN44" s="44"/>
      <c r="PNO44" s="44"/>
      <c r="PNP44" s="44"/>
      <c r="PNQ44" s="44"/>
      <c r="PNR44" s="44"/>
      <c r="PNS44" s="44"/>
      <c r="PNT44" s="44"/>
      <c r="PNU44" s="44"/>
      <c r="PNV44" s="44"/>
      <c r="PNW44" s="44"/>
      <c r="PNX44" s="44"/>
      <c r="PNY44" s="44"/>
      <c r="PNZ44" s="44"/>
      <c r="POA44" s="44"/>
      <c r="POB44" s="44"/>
      <c r="POC44" s="44"/>
      <c r="POD44" s="44"/>
      <c r="POE44" s="44"/>
      <c r="POF44" s="44"/>
      <c r="POG44" s="44"/>
      <c r="POH44" s="44"/>
      <c r="POI44" s="44"/>
      <c r="POJ44" s="44"/>
      <c r="POK44" s="44"/>
      <c r="POL44" s="44"/>
      <c r="POM44" s="44"/>
      <c r="PON44" s="44"/>
      <c r="POO44" s="44"/>
      <c r="POP44" s="44"/>
      <c r="POQ44" s="44"/>
      <c r="POR44" s="44"/>
      <c r="POS44" s="44"/>
      <c r="POT44" s="44"/>
      <c r="POU44" s="44"/>
      <c r="POV44" s="44"/>
      <c r="POW44" s="44"/>
      <c r="POX44" s="44"/>
      <c r="POY44" s="44"/>
      <c r="POZ44" s="44"/>
      <c r="PPA44" s="44"/>
      <c r="PPB44" s="44"/>
      <c r="PPC44" s="44"/>
      <c r="PPD44" s="44"/>
      <c r="PPE44" s="44"/>
      <c r="PPF44" s="44"/>
      <c r="PPG44" s="44"/>
      <c r="PPH44" s="44"/>
      <c r="PPI44" s="44"/>
      <c r="PPJ44" s="44"/>
      <c r="PPK44" s="44"/>
      <c r="PPL44" s="44"/>
      <c r="PPM44" s="44"/>
      <c r="PPN44" s="44"/>
      <c r="PPO44" s="44"/>
      <c r="PPP44" s="44"/>
      <c r="PPQ44" s="44"/>
      <c r="PPR44" s="44"/>
      <c r="PPS44" s="44"/>
      <c r="PPT44" s="44"/>
      <c r="PPU44" s="44"/>
      <c r="PPV44" s="44"/>
      <c r="PPW44" s="44"/>
      <c r="PPX44" s="44"/>
      <c r="PPY44" s="44"/>
      <c r="PPZ44" s="44"/>
      <c r="PQA44" s="44"/>
      <c r="PQB44" s="44"/>
      <c r="PQC44" s="44"/>
      <c r="PQD44" s="44"/>
      <c r="PQE44" s="44"/>
      <c r="PQF44" s="44"/>
      <c r="PQG44" s="44"/>
      <c r="PQH44" s="44"/>
      <c r="PQI44" s="44"/>
      <c r="PQJ44" s="44"/>
      <c r="PQK44" s="44"/>
      <c r="PQL44" s="44"/>
      <c r="PQM44" s="44"/>
      <c r="PQN44" s="44"/>
      <c r="PQO44" s="44"/>
      <c r="PQP44" s="44"/>
      <c r="PQQ44" s="44"/>
      <c r="PQR44" s="44"/>
      <c r="PQS44" s="44"/>
      <c r="PQT44" s="44"/>
      <c r="PQU44" s="44"/>
      <c r="PQV44" s="44"/>
      <c r="PQW44" s="44"/>
      <c r="PQX44" s="44"/>
      <c r="PQY44" s="44"/>
      <c r="PQZ44" s="44"/>
      <c r="PRA44" s="44"/>
      <c r="PRB44" s="44"/>
      <c r="PRC44" s="44"/>
      <c r="PRD44" s="44"/>
      <c r="PRE44" s="44"/>
      <c r="PRF44" s="44"/>
      <c r="PRG44" s="44"/>
      <c r="PRH44" s="44"/>
      <c r="PRI44" s="44"/>
      <c r="PRJ44" s="44"/>
      <c r="PRK44" s="44"/>
      <c r="PRL44" s="44"/>
      <c r="PRM44" s="44"/>
      <c r="PRN44" s="44"/>
      <c r="PRO44" s="44"/>
      <c r="PRP44" s="44"/>
      <c r="PRQ44" s="44"/>
      <c r="PRR44" s="44"/>
      <c r="PRS44" s="44"/>
      <c r="PRT44" s="44"/>
      <c r="PRU44" s="44"/>
      <c r="PRV44" s="44"/>
      <c r="PRW44" s="44"/>
      <c r="PRX44" s="44"/>
      <c r="PRY44" s="44"/>
      <c r="PRZ44" s="44"/>
      <c r="PSA44" s="44"/>
      <c r="PSB44" s="44"/>
      <c r="PSC44" s="44"/>
      <c r="PSD44" s="44"/>
      <c r="PSE44" s="44"/>
      <c r="PSF44" s="44"/>
      <c r="PSG44" s="44"/>
      <c r="PSH44" s="44"/>
      <c r="PSI44" s="44"/>
      <c r="PSJ44" s="44"/>
      <c r="PSK44" s="44"/>
      <c r="PSL44" s="44"/>
      <c r="PSM44" s="44"/>
      <c r="PSN44" s="44"/>
      <c r="PSO44" s="44"/>
      <c r="PSP44" s="44"/>
      <c r="PSQ44" s="44"/>
      <c r="PSR44" s="44"/>
      <c r="PSS44" s="44"/>
      <c r="PST44" s="44"/>
      <c r="PSU44" s="44"/>
      <c r="PSV44" s="44"/>
      <c r="PSW44" s="44"/>
      <c r="PSX44" s="44"/>
      <c r="PSY44" s="44"/>
      <c r="PSZ44" s="44"/>
      <c r="PTA44" s="44"/>
      <c r="PTB44" s="44"/>
      <c r="PTC44" s="44"/>
      <c r="PTD44" s="44"/>
      <c r="PTE44" s="44"/>
      <c r="PTF44" s="44"/>
      <c r="PTG44" s="44"/>
      <c r="PTH44" s="44"/>
      <c r="PTI44" s="44"/>
      <c r="PTJ44" s="44"/>
      <c r="PTK44" s="44"/>
      <c r="PTL44" s="44"/>
      <c r="PTM44" s="44"/>
      <c r="PTN44" s="44"/>
      <c r="PTO44" s="44"/>
      <c r="PTP44" s="44"/>
      <c r="PTQ44" s="44"/>
      <c r="PTR44" s="44"/>
      <c r="PTS44" s="44"/>
      <c r="PTT44" s="44"/>
      <c r="PTU44" s="44"/>
      <c r="PTV44" s="44"/>
      <c r="PTW44" s="44"/>
      <c r="PTX44" s="44"/>
      <c r="PTY44" s="44"/>
      <c r="PTZ44" s="44"/>
      <c r="PUA44" s="44"/>
      <c r="PUB44" s="44"/>
      <c r="PUC44" s="44"/>
      <c r="PUD44" s="44"/>
      <c r="PUE44" s="44"/>
      <c r="PUF44" s="44"/>
      <c r="PUG44" s="44"/>
      <c r="PUH44" s="44"/>
      <c r="PUI44" s="44"/>
      <c r="PUJ44" s="44"/>
      <c r="PUK44" s="44"/>
      <c r="PUL44" s="44"/>
      <c r="PUM44" s="44"/>
      <c r="PUN44" s="44"/>
      <c r="PUO44" s="44"/>
      <c r="PUP44" s="44"/>
      <c r="PUQ44" s="44"/>
      <c r="PUR44" s="44"/>
      <c r="PUS44" s="44"/>
      <c r="PUT44" s="44"/>
      <c r="PUU44" s="44"/>
      <c r="PUV44" s="44"/>
      <c r="PUW44" s="44"/>
      <c r="PUX44" s="44"/>
      <c r="PUY44" s="44"/>
      <c r="PUZ44" s="44"/>
      <c r="PVA44" s="44"/>
      <c r="PVB44" s="44"/>
      <c r="PVC44" s="44"/>
      <c r="PVD44" s="44"/>
      <c r="PVE44" s="44"/>
      <c r="PVF44" s="44"/>
      <c r="PVG44" s="44"/>
      <c r="PVH44" s="44"/>
      <c r="PVI44" s="44"/>
      <c r="PVJ44" s="44"/>
      <c r="PVK44" s="44"/>
      <c r="PVL44" s="44"/>
      <c r="PVM44" s="44"/>
      <c r="PVN44" s="44"/>
      <c r="PVO44" s="44"/>
      <c r="PVP44" s="44"/>
      <c r="PVQ44" s="44"/>
      <c r="PVR44" s="44"/>
      <c r="PVS44" s="44"/>
      <c r="PVT44" s="44"/>
      <c r="PVU44" s="44"/>
      <c r="PVV44" s="44"/>
      <c r="PVW44" s="44"/>
      <c r="PVX44" s="44"/>
      <c r="PVY44" s="44"/>
      <c r="PVZ44" s="44"/>
      <c r="PWA44" s="44"/>
      <c r="PWB44" s="44"/>
      <c r="PWC44" s="44"/>
      <c r="PWD44" s="44"/>
      <c r="PWE44" s="44"/>
      <c r="PWF44" s="44"/>
      <c r="PWG44" s="44"/>
      <c r="PWH44" s="44"/>
      <c r="PWI44" s="44"/>
      <c r="PWJ44" s="44"/>
      <c r="PWK44" s="44"/>
      <c r="PWL44" s="44"/>
      <c r="PWM44" s="44"/>
      <c r="PWN44" s="44"/>
      <c r="PWO44" s="44"/>
      <c r="PWP44" s="44"/>
      <c r="PWQ44" s="44"/>
      <c r="PWR44" s="44"/>
      <c r="PWS44" s="44"/>
      <c r="PWT44" s="44"/>
      <c r="PWU44" s="44"/>
      <c r="PWV44" s="44"/>
      <c r="PWW44" s="44"/>
      <c r="PWX44" s="44"/>
      <c r="PWY44" s="44"/>
      <c r="PWZ44" s="44"/>
      <c r="PXA44" s="44"/>
      <c r="PXB44" s="44"/>
      <c r="PXC44" s="44"/>
      <c r="PXD44" s="44"/>
      <c r="PXE44" s="44"/>
      <c r="PXF44" s="44"/>
      <c r="PXG44" s="44"/>
      <c r="PXH44" s="44"/>
      <c r="PXI44" s="44"/>
      <c r="PXJ44" s="44"/>
      <c r="PXK44" s="44"/>
      <c r="PXL44" s="44"/>
      <c r="PXM44" s="44"/>
      <c r="PXN44" s="44"/>
      <c r="PXO44" s="44"/>
      <c r="PXP44" s="44"/>
      <c r="PXQ44" s="44"/>
      <c r="PXR44" s="44"/>
      <c r="PXS44" s="44"/>
      <c r="PXT44" s="44"/>
      <c r="PXU44" s="44"/>
      <c r="PXV44" s="44"/>
      <c r="PXW44" s="44"/>
      <c r="PXX44" s="44"/>
      <c r="PXY44" s="44"/>
      <c r="PXZ44" s="44"/>
      <c r="PYA44" s="44"/>
      <c r="PYB44" s="44"/>
      <c r="PYC44" s="44"/>
      <c r="PYD44" s="44"/>
      <c r="PYE44" s="44"/>
      <c r="PYF44" s="44"/>
      <c r="PYG44" s="44"/>
      <c r="PYH44" s="44"/>
      <c r="PYI44" s="44"/>
      <c r="PYJ44" s="44"/>
      <c r="PYK44" s="44"/>
      <c r="PYL44" s="44"/>
      <c r="PYM44" s="44"/>
      <c r="PYN44" s="44"/>
      <c r="PYO44" s="44"/>
      <c r="PYP44" s="44"/>
      <c r="PYQ44" s="44"/>
      <c r="PYR44" s="44"/>
      <c r="PYS44" s="44"/>
      <c r="PYT44" s="44"/>
      <c r="PYU44" s="44"/>
      <c r="PYV44" s="44"/>
      <c r="PYW44" s="44"/>
      <c r="PYX44" s="44"/>
      <c r="PYY44" s="44"/>
      <c r="PYZ44" s="44"/>
      <c r="PZA44" s="44"/>
      <c r="PZB44" s="44"/>
      <c r="PZC44" s="44"/>
      <c r="PZD44" s="44"/>
      <c r="PZE44" s="44"/>
      <c r="PZF44" s="44"/>
      <c r="PZG44" s="44"/>
      <c r="PZH44" s="44"/>
      <c r="PZI44" s="44"/>
      <c r="PZJ44" s="44"/>
      <c r="PZK44" s="44"/>
      <c r="PZL44" s="44"/>
      <c r="PZM44" s="44"/>
      <c r="PZN44" s="44"/>
      <c r="PZO44" s="44"/>
      <c r="PZP44" s="44"/>
      <c r="PZQ44" s="44"/>
      <c r="PZR44" s="44"/>
      <c r="PZS44" s="44"/>
      <c r="PZT44" s="44"/>
      <c r="PZU44" s="44"/>
      <c r="PZV44" s="44"/>
      <c r="PZW44" s="44"/>
      <c r="PZX44" s="44"/>
      <c r="PZY44" s="44"/>
      <c r="PZZ44" s="44"/>
      <c r="QAA44" s="44"/>
      <c r="QAB44" s="44"/>
      <c r="QAC44" s="44"/>
      <c r="QAD44" s="44"/>
      <c r="QAE44" s="44"/>
      <c r="QAF44" s="44"/>
      <c r="QAG44" s="44"/>
      <c r="QAH44" s="44"/>
      <c r="QAI44" s="44"/>
      <c r="QAJ44" s="44"/>
      <c r="QAK44" s="44"/>
      <c r="QAL44" s="44"/>
      <c r="QAM44" s="44"/>
      <c r="QAN44" s="44"/>
      <c r="QAO44" s="44"/>
      <c r="QAP44" s="44"/>
      <c r="QAQ44" s="44"/>
      <c r="QAR44" s="44"/>
      <c r="QAS44" s="44"/>
      <c r="QAT44" s="44"/>
      <c r="QAU44" s="44"/>
      <c r="QAV44" s="44"/>
      <c r="QAW44" s="44"/>
      <c r="QAX44" s="44"/>
      <c r="QAY44" s="44"/>
      <c r="QAZ44" s="44"/>
      <c r="QBA44" s="44"/>
      <c r="QBB44" s="44"/>
      <c r="QBC44" s="44"/>
      <c r="QBD44" s="44"/>
      <c r="QBE44" s="44"/>
      <c r="QBF44" s="44"/>
      <c r="QBG44" s="44"/>
      <c r="QBH44" s="44"/>
      <c r="QBI44" s="44"/>
      <c r="QBJ44" s="44"/>
      <c r="QBK44" s="44"/>
      <c r="QBL44" s="44"/>
      <c r="QBM44" s="44"/>
      <c r="QBN44" s="44"/>
      <c r="QBO44" s="44"/>
      <c r="QBP44" s="44"/>
      <c r="QBQ44" s="44"/>
      <c r="QBR44" s="44"/>
      <c r="QBS44" s="44"/>
      <c r="QBT44" s="44"/>
      <c r="QBU44" s="44"/>
      <c r="QBV44" s="44"/>
      <c r="QBW44" s="44"/>
      <c r="QBX44" s="44"/>
      <c r="QBY44" s="44"/>
      <c r="QBZ44" s="44"/>
      <c r="QCA44" s="44"/>
      <c r="QCB44" s="44"/>
      <c r="QCC44" s="44"/>
      <c r="QCD44" s="44"/>
      <c r="QCE44" s="44"/>
      <c r="QCF44" s="44"/>
      <c r="QCG44" s="44"/>
      <c r="QCH44" s="44"/>
      <c r="QCI44" s="44"/>
      <c r="QCJ44" s="44"/>
      <c r="QCK44" s="44"/>
      <c r="QCL44" s="44"/>
      <c r="QCM44" s="44"/>
      <c r="QCN44" s="44"/>
      <c r="QCO44" s="44"/>
      <c r="QCP44" s="44"/>
      <c r="QCQ44" s="44"/>
      <c r="QCR44" s="44"/>
      <c r="QCS44" s="44"/>
      <c r="QCT44" s="44"/>
      <c r="QCU44" s="44"/>
      <c r="QCV44" s="44"/>
      <c r="QCW44" s="44"/>
      <c r="QCX44" s="44"/>
      <c r="QCY44" s="44"/>
      <c r="QCZ44" s="44"/>
      <c r="QDA44" s="44"/>
      <c r="QDB44" s="44"/>
      <c r="QDC44" s="44"/>
      <c r="QDD44" s="44"/>
      <c r="QDE44" s="44"/>
      <c r="QDF44" s="44"/>
      <c r="QDG44" s="44"/>
      <c r="QDH44" s="44"/>
      <c r="QDI44" s="44"/>
      <c r="QDJ44" s="44"/>
      <c r="QDK44" s="44"/>
      <c r="QDL44" s="44"/>
      <c r="QDM44" s="44"/>
      <c r="QDN44" s="44"/>
      <c r="QDO44" s="44"/>
      <c r="QDP44" s="44"/>
      <c r="QDQ44" s="44"/>
      <c r="QDR44" s="44"/>
      <c r="QDS44" s="44"/>
      <c r="QDT44" s="44"/>
      <c r="QDU44" s="44"/>
      <c r="QDV44" s="44"/>
      <c r="QDW44" s="44"/>
      <c r="QDX44" s="44"/>
      <c r="QDY44" s="44"/>
      <c r="QDZ44" s="44"/>
      <c r="QEA44" s="44"/>
      <c r="QEB44" s="44"/>
      <c r="QEC44" s="44"/>
      <c r="QED44" s="44"/>
      <c r="QEE44" s="44"/>
      <c r="QEF44" s="44"/>
      <c r="QEG44" s="44"/>
      <c r="QEH44" s="44"/>
      <c r="QEI44" s="44"/>
      <c r="QEJ44" s="44"/>
      <c r="QEK44" s="44"/>
      <c r="QEL44" s="44"/>
      <c r="QEM44" s="44"/>
      <c r="QEN44" s="44"/>
      <c r="QEO44" s="44"/>
      <c r="QEP44" s="44"/>
      <c r="QEQ44" s="44"/>
      <c r="QER44" s="44"/>
      <c r="QES44" s="44"/>
      <c r="QET44" s="44"/>
      <c r="QEU44" s="44"/>
      <c r="QEV44" s="44"/>
      <c r="QEW44" s="44"/>
      <c r="QEX44" s="44"/>
      <c r="QEY44" s="44"/>
      <c r="QEZ44" s="44"/>
      <c r="QFA44" s="44"/>
      <c r="QFB44" s="44"/>
      <c r="QFC44" s="44"/>
      <c r="QFD44" s="44"/>
      <c r="QFE44" s="44"/>
      <c r="QFF44" s="44"/>
      <c r="QFG44" s="44"/>
      <c r="QFH44" s="44"/>
      <c r="QFI44" s="44"/>
      <c r="QFJ44" s="44"/>
      <c r="QFK44" s="44"/>
      <c r="QFL44" s="44"/>
      <c r="QFM44" s="44"/>
      <c r="QFN44" s="44"/>
      <c r="QFO44" s="44"/>
      <c r="QFP44" s="44"/>
      <c r="QFQ44" s="44"/>
      <c r="QFR44" s="44"/>
      <c r="QFS44" s="44"/>
      <c r="QFT44" s="44"/>
      <c r="QFU44" s="44"/>
      <c r="QFV44" s="44"/>
      <c r="QFW44" s="44"/>
      <c r="QFX44" s="44"/>
      <c r="QFY44" s="44"/>
      <c r="QFZ44" s="44"/>
      <c r="QGA44" s="44"/>
      <c r="QGB44" s="44"/>
      <c r="QGC44" s="44"/>
      <c r="QGD44" s="44"/>
      <c r="QGE44" s="44"/>
      <c r="QGF44" s="44"/>
      <c r="QGG44" s="44"/>
      <c r="QGH44" s="44"/>
      <c r="QGI44" s="44"/>
      <c r="QGJ44" s="44"/>
      <c r="QGK44" s="44"/>
      <c r="QGL44" s="44"/>
      <c r="QGM44" s="44"/>
      <c r="QGN44" s="44"/>
      <c r="QGO44" s="44"/>
      <c r="QGP44" s="44"/>
      <c r="QGQ44" s="44"/>
      <c r="QGR44" s="44"/>
      <c r="QGS44" s="44"/>
      <c r="QGT44" s="44"/>
      <c r="QGU44" s="44"/>
      <c r="QGV44" s="44"/>
      <c r="QGW44" s="44"/>
      <c r="QGX44" s="44"/>
      <c r="QGY44" s="44"/>
      <c r="QGZ44" s="44"/>
      <c r="QHA44" s="44"/>
      <c r="QHB44" s="44"/>
      <c r="QHC44" s="44"/>
      <c r="QHD44" s="44"/>
      <c r="QHE44" s="44"/>
      <c r="QHF44" s="44"/>
      <c r="QHG44" s="44"/>
      <c r="QHH44" s="44"/>
      <c r="QHI44" s="44"/>
      <c r="QHJ44" s="44"/>
      <c r="QHK44" s="44"/>
      <c r="QHL44" s="44"/>
      <c r="QHM44" s="44"/>
      <c r="QHN44" s="44"/>
      <c r="QHO44" s="44"/>
      <c r="QHP44" s="44"/>
      <c r="QHQ44" s="44"/>
      <c r="QHR44" s="44"/>
      <c r="QHS44" s="44"/>
      <c r="QHT44" s="44"/>
      <c r="QHU44" s="44"/>
      <c r="QHV44" s="44"/>
      <c r="QHW44" s="44"/>
      <c r="QHX44" s="44"/>
      <c r="QHY44" s="44"/>
      <c r="QHZ44" s="44"/>
      <c r="QIA44" s="44"/>
      <c r="QIB44" s="44"/>
      <c r="QIC44" s="44"/>
      <c r="QID44" s="44"/>
      <c r="QIE44" s="44"/>
      <c r="QIF44" s="44"/>
      <c r="QIG44" s="44"/>
      <c r="QIH44" s="44"/>
      <c r="QII44" s="44"/>
      <c r="QIJ44" s="44"/>
      <c r="QIK44" s="44"/>
      <c r="QIL44" s="44"/>
      <c r="QIM44" s="44"/>
      <c r="QIN44" s="44"/>
      <c r="QIO44" s="44"/>
      <c r="QIP44" s="44"/>
      <c r="QIQ44" s="44"/>
      <c r="QIR44" s="44"/>
      <c r="QIS44" s="44"/>
      <c r="QIT44" s="44"/>
      <c r="QIU44" s="44"/>
      <c r="QIV44" s="44"/>
      <c r="QIW44" s="44"/>
      <c r="QIX44" s="44"/>
      <c r="QIY44" s="44"/>
      <c r="QIZ44" s="44"/>
      <c r="QJA44" s="44"/>
      <c r="QJB44" s="44"/>
      <c r="QJC44" s="44"/>
      <c r="QJD44" s="44"/>
      <c r="QJE44" s="44"/>
      <c r="QJF44" s="44"/>
      <c r="QJG44" s="44"/>
      <c r="QJH44" s="44"/>
      <c r="QJI44" s="44"/>
      <c r="QJJ44" s="44"/>
      <c r="QJK44" s="44"/>
      <c r="QJL44" s="44"/>
      <c r="QJM44" s="44"/>
      <c r="QJN44" s="44"/>
      <c r="QJO44" s="44"/>
      <c r="QJP44" s="44"/>
      <c r="QJQ44" s="44"/>
      <c r="QJR44" s="44"/>
      <c r="QJS44" s="44"/>
      <c r="QJT44" s="44"/>
      <c r="QJU44" s="44"/>
      <c r="QJV44" s="44"/>
      <c r="QJW44" s="44"/>
      <c r="QJX44" s="44"/>
      <c r="QJY44" s="44"/>
      <c r="QJZ44" s="44"/>
      <c r="QKA44" s="44"/>
      <c r="QKB44" s="44"/>
      <c r="QKC44" s="44"/>
      <c r="QKD44" s="44"/>
      <c r="QKE44" s="44"/>
      <c r="QKF44" s="44"/>
      <c r="QKG44" s="44"/>
      <c r="QKH44" s="44"/>
      <c r="QKI44" s="44"/>
      <c r="QKJ44" s="44"/>
      <c r="QKK44" s="44"/>
      <c r="QKL44" s="44"/>
      <c r="QKM44" s="44"/>
      <c r="QKN44" s="44"/>
      <c r="QKO44" s="44"/>
      <c r="QKP44" s="44"/>
      <c r="QKQ44" s="44"/>
      <c r="QKR44" s="44"/>
      <c r="QKS44" s="44"/>
      <c r="QKT44" s="44"/>
      <c r="QKU44" s="44"/>
      <c r="QKV44" s="44"/>
      <c r="QKW44" s="44"/>
      <c r="QKX44" s="44"/>
      <c r="QKY44" s="44"/>
      <c r="QKZ44" s="44"/>
      <c r="QLA44" s="44"/>
      <c r="QLB44" s="44"/>
      <c r="QLC44" s="44"/>
      <c r="QLD44" s="44"/>
      <c r="QLE44" s="44"/>
      <c r="QLF44" s="44"/>
      <c r="QLG44" s="44"/>
      <c r="QLH44" s="44"/>
      <c r="QLI44" s="44"/>
      <c r="QLJ44" s="44"/>
      <c r="QLK44" s="44"/>
      <c r="QLL44" s="44"/>
      <c r="QLM44" s="44"/>
      <c r="QLN44" s="44"/>
      <c r="QLO44" s="44"/>
      <c r="QLP44" s="44"/>
      <c r="QLQ44" s="44"/>
      <c r="QLR44" s="44"/>
      <c r="QLS44" s="44"/>
      <c r="QLT44" s="44"/>
      <c r="QLU44" s="44"/>
      <c r="QLV44" s="44"/>
      <c r="QLW44" s="44"/>
      <c r="QLX44" s="44"/>
      <c r="QLY44" s="44"/>
      <c r="QLZ44" s="44"/>
      <c r="QMA44" s="44"/>
      <c r="QMB44" s="44"/>
      <c r="QMC44" s="44"/>
      <c r="QMD44" s="44"/>
      <c r="QME44" s="44"/>
      <c r="QMF44" s="44"/>
      <c r="QMG44" s="44"/>
      <c r="QMH44" s="44"/>
      <c r="QMI44" s="44"/>
      <c r="QMJ44" s="44"/>
      <c r="QMK44" s="44"/>
      <c r="QML44" s="44"/>
      <c r="QMM44" s="44"/>
      <c r="QMN44" s="44"/>
      <c r="QMO44" s="44"/>
      <c r="QMP44" s="44"/>
      <c r="QMQ44" s="44"/>
      <c r="QMR44" s="44"/>
      <c r="QMS44" s="44"/>
      <c r="QMT44" s="44"/>
      <c r="QMU44" s="44"/>
      <c r="QMV44" s="44"/>
      <c r="QMW44" s="44"/>
      <c r="QMX44" s="44"/>
      <c r="QMY44" s="44"/>
      <c r="QMZ44" s="44"/>
      <c r="QNA44" s="44"/>
      <c r="QNB44" s="44"/>
      <c r="QNC44" s="44"/>
      <c r="QND44" s="44"/>
      <c r="QNE44" s="44"/>
      <c r="QNF44" s="44"/>
      <c r="QNG44" s="44"/>
      <c r="QNH44" s="44"/>
      <c r="QNI44" s="44"/>
      <c r="QNJ44" s="44"/>
      <c r="QNK44" s="44"/>
      <c r="QNL44" s="44"/>
      <c r="QNM44" s="44"/>
      <c r="QNN44" s="44"/>
      <c r="QNO44" s="44"/>
      <c r="QNP44" s="44"/>
      <c r="QNQ44" s="44"/>
      <c r="QNR44" s="44"/>
      <c r="QNS44" s="44"/>
      <c r="QNT44" s="44"/>
      <c r="QNU44" s="44"/>
      <c r="QNV44" s="44"/>
      <c r="QNW44" s="44"/>
      <c r="QNX44" s="44"/>
      <c r="QNY44" s="44"/>
      <c r="QNZ44" s="44"/>
      <c r="QOA44" s="44"/>
      <c r="QOB44" s="44"/>
      <c r="QOC44" s="44"/>
      <c r="QOD44" s="44"/>
      <c r="QOE44" s="44"/>
      <c r="QOF44" s="44"/>
      <c r="QOG44" s="44"/>
      <c r="QOH44" s="44"/>
      <c r="QOI44" s="44"/>
      <c r="QOJ44" s="44"/>
      <c r="QOK44" s="44"/>
      <c r="QOL44" s="44"/>
      <c r="QOM44" s="44"/>
      <c r="QON44" s="44"/>
      <c r="QOO44" s="44"/>
      <c r="QOP44" s="44"/>
      <c r="QOQ44" s="44"/>
      <c r="QOR44" s="44"/>
      <c r="QOS44" s="44"/>
      <c r="QOT44" s="44"/>
      <c r="QOU44" s="44"/>
      <c r="QOV44" s="44"/>
      <c r="QOW44" s="44"/>
      <c r="QOX44" s="44"/>
      <c r="QOY44" s="44"/>
      <c r="QOZ44" s="44"/>
      <c r="QPA44" s="44"/>
      <c r="QPB44" s="44"/>
      <c r="QPC44" s="44"/>
      <c r="QPD44" s="44"/>
      <c r="QPE44" s="44"/>
      <c r="QPF44" s="44"/>
      <c r="QPG44" s="44"/>
      <c r="QPH44" s="44"/>
      <c r="QPI44" s="44"/>
      <c r="QPJ44" s="44"/>
      <c r="QPK44" s="44"/>
      <c r="QPL44" s="44"/>
      <c r="QPM44" s="44"/>
      <c r="QPN44" s="44"/>
      <c r="QPO44" s="44"/>
      <c r="QPP44" s="44"/>
      <c r="QPQ44" s="44"/>
      <c r="QPR44" s="44"/>
      <c r="QPS44" s="44"/>
      <c r="QPT44" s="44"/>
      <c r="QPU44" s="44"/>
      <c r="QPV44" s="44"/>
      <c r="QPW44" s="44"/>
      <c r="QPX44" s="44"/>
      <c r="QPY44" s="44"/>
      <c r="QPZ44" s="44"/>
      <c r="QQA44" s="44"/>
      <c r="QQB44" s="44"/>
      <c r="QQC44" s="44"/>
      <c r="QQD44" s="44"/>
      <c r="QQE44" s="44"/>
      <c r="QQF44" s="44"/>
      <c r="QQG44" s="44"/>
      <c r="QQH44" s="44"/>
      <c r="QQI44" s="44"/>
      <c r="QQJ44" s="44"/>
      <c r="QQK44" s="44"/>
      <c r="QQL44" s="44"/>
      <c r="QQM44" s="44"/>
      <c r="QQN44" s="44"/>
      <c r="QQO44" s="44"/>
      <c r="QQP44" s="44"/>
      <c r="QQQ44" s="44"/>
      <c r="QQR44" s="44"/>
      <c r="QQS44" s="44"/>
      <c r="QQT44" s="44"/>
      <c r="QQU44" s="44"/>
      <c r="QQV44" s="44"/>
      <c r="QQW44" s="44"/>
      <c r="QQX44" s="44"/>
      <c r="QQY44" s="44"/>
      <c r="QQZ44" s="44"/>
      <c r="QRA44" s="44"/>
      <c r="QRB44" s="44"/>
      <c r="QRC44" s="44"/>
      <c r="QRD44" s="44"/>
      <c r="QRE44" s="44"/>
      <c r="QRF44" s="44"/>
      <c r="QRG44" s="44"/>
      <c r="QRH44" s="44"/>
      <c r="QRI44" s="44"/>
      <c r="QRJ44" s="44"/>
      <c r="QRK44" s="44"/>
      <c r="QRL44" s="44"/>
      <c r="QRM44" s="44"/>
      <c r="QRN44" s="44"/>
      <c r="QRO44" s="44"/>
      <c r="QRP44" s="44"/>
      <c r="QRQ44" s="44"/>
      <c r="QRR44" s="44"/>
      <c r="QRS44" s="44"/>
      <c r="QRT44" s="44"/>
      <c r="QRU44" s="44"/>
      <c r="QRV44" s="44"/>
      <c r="QRW44" s="44"/>
      <c r="QRX44" s="44"/>
      <c r="QRY44" s="44"/>
      <c r="QRZ44" s="44"/>
      <c r="QSA44" s="44"/>
      <c r="QSB44" s="44"/>
      <c r="QSC44" s="44"/>
      <c r="QSD44" s="44"/>
      <c r="QSE44" s="44"/>
      <c r="QSF44" s="44"/>
      <c r="QSG44" s="44"/>
      <c r="QSH44" s="44"/>
      <c r="QSI44" s="44"/>
      <c r="QSJ44" s="44"/>
      <c r="QSK44" s="44"/>
      <c r="QSL44" s="44"/>
      <c r="QSM44" s="44"/>
      <c r="QSN44" s="44"/>
      <c r="QSO44" s="44"/>
      <c r="QSP44" s="44"/>
      <c r="QSQ44" s="44"/>
      <c r="QSR44" s="44"/>
      <c r="QSS44" s="44"/>
      <c r="QST44" s="44"/>
      <c r="QSU44" s="44"/>
      <c r="QSV44" s="44"/>
      <c r="QSW44" s="44"/>
      <c r="QSX44" s="44"/>
      <c r="QSY44" s="44"/>
      <c r="QSZ44" s="44"/>
      <c r="QTA44" s="44"/>
      <c r="QTB44" s="44"/>
      <c r="QTC44" s="44"/>
      <c r="QTD44" s="44"/>
      <c r="QTE44" s="44"/>
      <c r="QTF44" s="44"/>
      <c r="QTG44" s="44"/>
      <c r="QTH44" s="44"/>
      <c r="QTI44" s="44"/>
      <c r="QTJ44" s="44"/>
      <c r="QTK44" s="44"/>
      <c r="QTL44" s="44"/>
      <c r="QTM44" s="44"/>
      <c r="QTN44" s="44"/>
      <c r="QTO44" s="44"/>
      <c r="QTP44" s="44"/>
      <c r="QTQ44" s="44"/>
      <c r="QTR44" s="44"/>
      <c r="QTS44" s="44"/>
      <c r="QTT44" s="44"/>
      <c r="QTU44" s="44"/>
      <c r="QTV44" s="44"/>
      <c r="QTW44" s="44"/>
      <c r="QTX44" s="44"/>
      <c r="QTY44" s="44"/>
      <c r="QTZ44" s="44"/>
      <c r="QUA44" s="44"/>
      <c r="QUB44" s="44"/>
      <c r="QUC44" s="44"/>
      <c r="QUD44" s="44"/>
      <c r="QUE44" s="44"/>
      <c r="QUF44" s="44"/>
      <c r="QUG44" s="44"/>
      <c r="QUH44" s="44"/>
      <c r="QUI44" s="44"/>
      <c r="QUJ44" s="44"/>
      <c r="QUK44" s="44"/>
      <c r="QUL44" s="44"/>
      <c r="QUM44" s="44"/>
      <c r="QUN44" s="44"/>
      <c r="QUO44" s="44"/>
      <c r="QUP44" s="44"/>
      <c r="QUQ44" s="44"/>
      <c r="QUR44" s="44"/>
      <c r="QUS44" s="44"/>
      <c r="QUT44" s="44"/>
      <c r="QUU44" s="44"/>
      <c r="QUV44" s="44"/>
      <c r="QUW44" s="44"/>
      <c r="QUX44" s="44"/>
      <c r="QUY44" s="44"/>
      <c r="QUZ44" s="44"/>
      <c r="QVA44" s="44"/>
      <c r="QVB44" s="44"/>
      <c r="QVC44" s="44"/>
      <c r="QVD44" s="44"/>
      <c r="QVE44" s="44"/>
      <c r="QVF44" s="44"/>
      <c r="QVG44" s="44"/>
      <c r="QVH44" s="44"/>
      <c r="QVI44" s="44"/>
      <c r="QVJ44" s="44"/>
      <c r="QVK44" s="44"/>
      <c r="QVL44" s="44"/>
      <c r="QVM44" s="44"/>
      <c r="QVN44" s="44"/>
      <c r="QVO44" s="44"/>
      <c r="QVP44" s="44"/>
      <c r="QVQ44" s="44"/>
      <c r="QVR44" s="44"/>
      <c r="QVS44" s="44"/>
      <c r="QVT44" s="44"/>
      <c r="QVU44" s="44"/>
      <c r="QVV44" s="44"/>
      <c r="QVW44" s="44"/>
      <c r="QVX44" s="44"/>
      <c r="QVY44" s="44"/>
      <c r="QVZ44" s="44"/>
      <c r="QWA44" s="44"/>
      <c r="QWB44" s="44"/>
      <c r="QWC44" s="44"/>
      <c r="QWD44" s="44"/>
      <c r="QWE44" s="44"/>
      <c r="QWF44" s="44"/>
      <c r="QWG44" s="44"/>
      <c r="QWH44" s="44"/>
      <c r="QWI44" s="44"/>
      <c r="QWJ44" s="44"/>
      <c r="QWK44" s="44"/>
      <c r="QWL44" s="44"/>
      <c r="QWM44" s="44"/>
      <c r="QWN44" s="44"/>
      <c r="QWO44" s="44"/>
      <c r="QWP44" s="44"/>
      <c r="QWQ44" s="44"/>
      <c r="QWR44" s="44"/>
      <c r="QWS44" s="44"/>
      <c r="QWT44" s="44"/>
      <c r="QWU44" s="44"/>
      <c r="QWV44" s="44"/>
      <c r="QWW44" s="44"/>
      <c r="QWX44" s="44"/>
      <c r="QWY44" s="44"/>
      <c r="QWZ44" s="44"/>
      <c r="QXA44" s="44"/>
      <c r="QXB44" s="44"/>
      <c r="QXC44" s="44"/>
      <c r="QXD44" s="44"/>
      <c r="QXE44" s="44"/>
      <c r="QXF44" s="44"/>
      <c r="QXG44" s="44"/>
      <c r="QXH44" s="44"/>
      <c r="QXI44" s="44"/>
      <c r="QXJ44" s="44"/>
      <c r="QXK44" s="44"/>
      <c r="QXL44" s="44"/>
      <c r="QXM44" s="44"/>
      <c r="QXN44" s="44"/>
      <c r="QXO44" s="44"/>
      <c r="QXP44" s="44"/>
      <c r="QXQ44" s="44"/>
      <c r="QXR44" s="44"/>
      <c r="QXS44" s="44"/>
      <c r="QXT44" s="44"/>
      <c r="QXU44" s="44"/>
      <c r="QXV44" s="44"/>
      <c r="QXW44" s="44"/>
      <c r="QXX44" s="44"/>
      <c r="QXY44" s="44"/>
      <c r="QXZ44" s="44"/>
      <c r="QYA44" s="44"/>
      <c r="QYB44" s="44"/>
      <c r="QYC44" s="44"/>
      <c r="QYD44" s="44"/>
      <c r="QYE44" s="44"/>
      <c r="QYF44" s="44"/>
      <c r="QYG44" s="44"/>
      <c r="QYH44" s="44"/>
      <c r="QYI44" s="44"/>
      <c r="QYJ44" s="44"/>
      <c r="QYK44" s="44"/>
      <c r="QYL44" s="44"/>
      <c r="QYM44" s="44"/>
      <c r="QYN44" s="44"/>
      <c r="QYO44" s="44"/>
      <c r="QYP44" s="44"/>
      <c r="QYQ44" s="44"/>
      <c r="QYR44" s="44"/>
      <c r="QYS44" s="44"/>
      <c r="QYT44" s="44"/>
      <c r="QYU44" s="44"/>
      <c r="QYV44" s="44"/>
      <c r="QYW44" s="44"/>
      <c r="QYX44" s="44"/>
      <c r="QYY44" s="44"/>
      <c r="QYZ44" s="44"/>
      <c r="QZA44" s="44"/>
      <c r="QZB44" s="44"/>
      <c r="QZC44" s="44"/>
      <c r="QZD44" s="44"/>
      <c r="QZE44" s="44"/>
      <c r="QZF44" s="44"/>
      <c r="QZG44" s="44"/>
      <c r="QZH44" s="44"/>
      <c r="QZI44" s="44"/>
      <c r="QZJ44" s="44"/>
      <c r="QZK44" s="44"/>
      <c r="QZL44" s="44"/>
      <c r="QZM44" s="44"/>
      <c r="QZN44" s="44"/>
      <c r="QZO44" s="44"/>
      <c r="QZP44" s="44"/>
      <c r="QZQ44" s="44"/>
      <c r="QZR44" s="44"/>
      <c r="QZS44" s="44"/>
      <c r="QZT44" s="44"/>
      <c r="QZU44" s="44"/>
      <c r="QZV44" s="44"/>
      <c r="QZW44" s="44"/>
      <c r="QZX44" s="44"/>
      <c r="QZY44" s="44"/>
      <c r="QZZ44" s="44"/>
      <c r="RAA44" s="44"/>
      <c r="RAB44" s="44"/>
      <c r="RAC44" s="44"/>
      <c r="RAD44" s="44"/>
      <c r="RAE44" s="44"/>
      <c r="RAF44" s="44"/>
      <c r="RAG44" s="44"/>
      <c r="RAH44" s="44"/>
      <c r="RAI44" s="44"/>
      <c r="RAJ44" s="44"/>
      <c r="RAK44" s="44"/>
      <c r="RAL44" s="44"/>
      <c r="RAM44" s="44"/>
      <c r="RAN44" s="44"/>
      <c r="RAO44" s="44"/>
      <c r="RAP44" s="44"/>
      <c r="RAQ44" s="44"/>
      <c r="RAR44" s="44"/>
      <c r="RAS44" s="44"/>
      <c r="RAT44" s="44"/>
      <c r="RAU44" s="44"/>
      <c r="RAV44" s="44"/>
      <c r="RAW44" s="44"/>
      <c r="RAX44" s="44"/>
      <c r="RAY44" s="44"/>
      <c r="RAZ44" s="44"/>
      <c r="RBA44" s="44"/>
      <c r="RBB44" s="44"/>
      <c r="RBC44" s="44"/>
      <c r="RBD44" s="44"/>
      <c r="RBE44" s="44"/>
      <c r="RBF44" s="44"/>
      <c r="RBG44" s="44"/>
      <c r="RBH44" s="44"/>
      <c r="RBI44" s="44"/>
      <c r="RBJ44" s="44"/>
      <c r="RBK44" s="44"/>
      <c r="RBL44" s="44"/>
      <c r="RBM44" s="44"/>
      <c r="RBN44" s="44"/>
      <c r="RBO44" s="44"/>
      <c r="RBP44" s="44"/>
      <c r="RBQ44" s="44"/>
      <c r="RBR44" s="44"/>
      <c r="RBS44" s="44"/>
      <c r="RBT44" s="44"/>
      <c r="RBU44" s="44"/>
      <c r="RBV44" s="44"/>
      <c r="RBW44" s="44"/>
      <c r="RBX44" s="44"/>
      <c r="RBY44" s="44"/>
      <c r="RBZ44" s="44"/>
      <c r="RCA44" s="44"/>
      <c r="RCB44" s="44"/>
      <c r="RCC44" s="44"/>
      <c r="RCD44" s="44"/>
      <c r="RCE44" s="44"/>
      <c r="RCF44" s="44"/>
      <c r="RCG44" s="44"/>
      <c r="RCH44" s="44"/>
      <c r="RCI44" s="44"/>
      <c r="RCJ44" s="44"/>
      <c r="RCK44" s="44"/>
      <c r="RCL44" s="44"/>
      <c r="RCM44" s="44"/>
      <c r="RCN44" s="44"/>
      <c r="RCO44" s="44"/>
      <c r="RCP44" s="44"/>
      <c r="RCQ44" s="44"/>
      <c r="RCR44" s="44"/>
      <c r="RCS44" s="44"/>
      <c r="RCT44" s="44"/>
      <c r="RCU44" s="44"/>
      <c r="RCV44" s="44"/>
      <c r="RCW44" s="44"/>
      <c r="RCX44" s="44"/>
      <c r="RCY44" s="44"/>
      <c r="RCZ44" s="44"/>
      <c r="RDA44" s="44"/>
      <c r="RDB44" s="44"/>
      <c r="RDC44" s="44"/>
      <c r="RDD44" s="44"/>
      <c r="RDE44" s="44"/>
      <c r="RDF44" s="44"/>
      <c r="RDG44" s="44"/>
      <c r="RDH44" s="44"/>
      <c r="RDI44" s="44"/>
      <c r="RDJ44" s="44"/>
      <c r="RDK44" s="44"/>
      <c r="RDL44" s="44"/>
      <c r="RDM44" s="44"/>
      <c r="RDN44" s="44"/>
      <c r="RDO44" s="44"/>
      <c r="RDP44" s="44"/>
      <c r="RDQ44" s="44"/>
      <c r="RDR44" s="44"/>
      <c r="RDS44" s="44"/>
      <c r="RDT44" s="44"/>
      <c r="RDU44" s="44"/>
      <c r="RDV44" s="44"/>
      <c r="RDW44" s="44"/>
      <c r="RDX44" s="44"/>
      <c r="RDY44" s="44"/>
      <c r="RDZ44" s="44"/>
      <c r="REA44" s="44"/>
      <c r="REB44" s="44"/>
      <c r="REC44" s="44"/>
      <c r="RED44" s="44"/>
      <c r="REE44" s="44"/>
      <c r="REF44" s="44"/>
      <c r="REG44" s="44"/>
      <c r="REH44" s="44"/>
      <c r="REI44" s="44"/>
      <c r="REJ44" s="44"/>
      <c r="REK44" s="44"/>
      <c r="REL44" s="44"/>
      <c r="REM44" s="44"/>
      <c r="REN44" s="44"/>
      <c r="REO44" s="44"/>
      <c r="REP44" s="44"/>
      <c r="REQ44" s="44"/>
      <c r="RER44" s="44"/>
      <c r="RES44" s="44"/>
      <c r="RET44" s="44"/>
      <c r="REU44" s="44"/>
      <c r="REV44" s="44"/>
      <c r="REW44" s="44"/>
      <c r="REX44" s="44"/>
      <c r="REY44" s="44"/>
      <c r="REZ44" s="44"/>
      <c r="RFA44" s="44"/>
      <c r="RFB44" s="44"/>
      <c r="RFC44" s="44"/>
      <c r="RFD44" s="44"/>
      <c r="RFE44" s="44"/>
      <c r="RFF44" s="44"/>
      <c r="RFG44" s="44"/>
      <c r="RFH44" s="44"/>
      <c r="RFI44" s="44"/>
      <c r="RFJ44" s="44"/>
      <c r="RFK44" s="44"/>
      <c r="RFL44" s="44"/>
      <c r="RFM44" s="44"/>
      <c r="RFN44" s="44"/>
      <c r="RFO44" s="44"/>
      <c r="RFP44" s="44"/>
      <c r="RFQ44" s="44"/>
      <c r="RFR44" s="44"/>
      <c r="RFS44" s="44"/>
      <c r="RFT44" s="44"/>
      <c r="RFU44" s="44"/>
      <c r="RFV44" s="44"/>
      <c r="RFW44" s="44"/>
      <c r="RFX44" s="44"/>
      <c r="RFY44" s="44"/>
      <c r="RFZ44" s="44"/>
      <c r="RGA44" s="44"/>
      <c r="RGB44" s="44"/>
      <c r="RGC44" s="44"/>
      <c r="RGD44" s="44"/>
      <c r="RGE44" s="44"/>
      <c r="RGF44" s="44"/>
      <c r="RGG44" s="44"/>
      <c r="RGH44" s="44"/>
      <c r="RGI44" s="44"/>
      <c r="RGJ44" s="44"/>
      <c r="RGK44" s="44"/>
      <c r="RGL44" s="44"/>
      <c r="RGM44" s="44"/>
      <c r="RGN44" s="44"/>
      <c r="RGO44" s="44"/>
      <c r="RGP44" s="44"/>
      <c r="RGQ44" s="44"/>
      <c r="RGR44" s="44"/>
      <c r="RGS44" s="44"/>
      <c r="RGT44" s="44"/>
      <c r="RGU44" s="44"/>
      <c r="RGV44" s="44"/>
      <c r="RGW44" s="44"/>
      <c r="RGX44" s="44"/>
      <c r="RGY44" s="44"/>
      <c r="RGZ44" s="44"/>
      <c r="RHA44" s="44"/>
      <c r="RHB44" s="44"/>
      <c r="RHC44" s="44"/>
      <c r="RHD44" s="44"/>
      <c r="RHE44" s="44"/>
      <c r="RHF44" s="44"/>
      <c r="RHG44" s="44"/>
      <c r="RHH44" s="44"/>
      <c r="RHI44" s="44"/>
      <c r="RHJ44" s="44"/>
      <c r="RHK44" s="44"/>
      <c r="RHL44" s="44"/>
      <c r="RHM44" s="44"/>
      <c r="RHN44" s="44"/>
      <c r="RHO44" s="44"/>
      <c r="RHP44" s="44"/>
      <c r="RHQ44" s="44"/>
      <c r="RHR44" s="44"/>
      <c r="RHS44" s="44"/>
      <c r="RHT44" s="44"/>
      <c r="RHU44" s="44"/>
      <c r="RHV44" s="44"/>
      <c r="RHW44" s="44"/>
      <c r="RHX44" s="44"/>
      <c r="RHY44" s="44"/>
      <c r="RHZ44" s="44"/>
      <c r="RIA44" s="44"/>
      <c r="RIB44" s="44"/>
      <c r="RIC44" s="44"/>
      <c r="RID44" s="44"/>
      <c r="RIE44" s="44"/>
      <c r="RIF44" s="44"/>
      <c r="RIG44" s="44"/>
      <c r="RIH44" s="44"/>
      <c r="RII44" s="44"/>
      <c r="RIJ44" s="44"/>
      <c r="RIK44" s="44"/>
      <c r="RIL44" s="44"/>
      <c r="RIM44" s="44"/>
      <c r="RIN44" s="44"/>
      <c r="RIO44" s="44"/>
      <c r="RIP44" s="44"/>
      <c r="RIQ44" s="44"/>
      <c r="RIR44" s="44"/>
      <c r="RIS44" s="44"/>
      <c r="RIT44" s="44"/>
      <c r="RIU44" s="44"/>
      <c r="RIV44" s="44"/>
      <c r="RIW44" s="44"/>
      <c r="RIX44" s="44"/>
      <c r="RIY44" s="44"/>
      <c r="RIZ44" s="44"/>
      <c r="RJA44" s="44"/>
      <c r="RJB44" s="44"/>
      <c r="RJC44" s="44"/>
      <c r="RJD44" s="44"/>
      <c r="RJE44" s="44"/>
      <c r="RJF44" s="44"/>
      <c r="RJG44" s="44"/>
      <c r="RJH44" s="44"/>
      <c r="RJI44" s="44"/>
      <c r="RJJ44" s="44"/>
      <c r="RJK44" s="44"/>
      <c r="RJL44" s="44"/>
      <c r="RJM44" s="44"/>
      <c r="RJN44" s="44"/>
      <c r="RJO44" s="44"/>
      <c r="RJP44" s="44"/>
      <c r="RJQ44" s="44"/>
      <c r="RJR44" s="44"/>
      <c r="RJS44" s="44"/>
      <c r="RJT44" s="44"/>
      <c r="RJU44" s="44"/>
      <c r="RJV44" s="44"/>
      <c r="RJW44" s="44"/>
      <c r="RJX44" s="44"/>
      <c r="RJY44" s="44"/>
      <c r="RJZ44" s="44"/>
      <c r="RKA44" s="44"/>
      <c r="RKB44" s="44"/>
      <c r="RKC44" s="44"/>
      <c r="RKD44" s="44"/>
      <c r="RKE44" s="44"/>
      <c r="RKF44" s="44"/>
      <c r="RKG44" s="44"/>
      <c r="RKH44" s="44"/>
      <c r="RKI44" s="44"/>
      <c r="RKJ44" s="44"/>
      <c r="RKK44" s="44"/>
      <c r="RKL44" s="44"/>
      <c r="RKM44" s="44"/>
      <c r="RKN44" s="44"/>
      <c r="RKO44" s="44"/>
      <c r="RKP44" s="44"/>
      <c r="RKQ44" s="44"/>
      <c r="RKR44" s="44"/>
      <c r="RKS44" s="44"/>
      <c r="RKT44" s="44"/>
      <c r="RKU44" s="44"/>
      <c r="RKV44" s="44"/>
      <c r="RKW44" s="44"/>
      <c r="RKX44" s="44"/>
      <c r="RKY44" s="44"/>
      <c r="RKZ44" s="44"/>
      <c r="RLA44" s="44"/>
      <c r="RLB44" s="44"/>
      <c r="RLC44" s="44"/>
      <c r="RLD44" s="44"/>
      <c r="RLE44" s="44"/>
      <c r="RLF44" s="44"/>
      <c r="RLG44" s="44"/>
      <c r="RLH44" s="44"/>
      <c r="RLI44" s="44"/>
      <c r="RLJ44" s="44"/>
      <c r="RLK44" s="44"/>
      <c r="RLL44" s="44"/>
      <c r="RLM44" s="44"/>
      <c r="RLN44" s="44"/>
      <c r="RLO44" s="44"/>
      <c r="RLP44" s="44"/>
      <c r="RLQ44" s="44"/>
      <c r="RLR44" s="44"/>
      <c r="RLS44" s="44"/>
      <c r="RLT44" s="44"/>
      <c r="RLU44" s="44"/>
      <c r="RLV44" s="44"/>
      <c r="RLW44" s="44"/>
      <c r="RLX44" s="44"/>
      <c r="RLY44" s="44"/>
      <c r="RLZ44" s="44"/>
      <c r="RMA44" s="44"/>
      <c r="RMB44" s="44"/>
      <c r="RMC44" s="44"/>
      <c r="RMD44" s="44"/>
      <c r="RME44" s="44"/>
      <c r="RMF44" s="44"/>
      <c r="RMG44" s="44"/>
      <c r="RMH44" s="44"/>
      <c r="RMI44" s="44"/>
      <c r="RMJ44" s="44"/>
      <c r="RMK44" s="44"/>
      <c r="RML44" s="44"/>
      <c r="RMM44" s="44"/>
      <c r="RMN44" s="44"/>
      <c r="RMO44" s="44"/>
      <c r="RMP44" s="44"/>
      <c r="RMQ44" s="44"/>
      <c r="RMR44" s="44"/>
      <c r="RMS44" s="44"/>
      <c r="RMT44" s="44"/>
      <c r="RMU44" s="44"/>
      <c r="RMV44" s="44"/>
      <c r="RMW44" s="44"/>
      <c r="RMX44" s="44"/>
      <c r="RMY44" s="44"/>
      <c r="RMZ44" s="44"/>
      <c r="RNA44" s="44"/>
      <c r="RNB44" s="44"/>
      <c r="RNC44" s="44"/>
      <c r="RND44" s="44"/>
      <c r="RNE44" s="44"/>
      <c r="RNF44" s="44"/>
      <c r="RNG44" s="44"/>
      <c r="RNH44" s="44"/>
      <c r="RNI44" s="44"/>
      <c r="RNJ44" s="44"/>
      <c r="RNK44" s="44"/>
      <c r="RNL44" s="44"/>
      <c r="RNM44" s="44"/>
      <c r="RNN44" s="44"/>
      <c r="RNO44" s="44"/>
      <c r="RNP44" s="44"/>
      <c r="RNQ44" s="44"/>
      <c r="RNR44" s="44"/>
      <c r="RNS44" s="44"/>
      <c r="RNT44" s="44"/>
      <c r="RNU44" s="44"/>
      <c r="RNV44" s="44"/>
      <c r="RNW44" s="44"/>
      <c r="RNX44" s="44"/>
      <c r="RNY44" s="44"/>
      <c r="RNZ44" s="44"/>
      <c r="ROA44" s="44"/>
      <c r="ROB44" s="44"/>
      <c r="ROC44" s="44"/>
      <c r="ROD44" s="44"/>
      <c r="ROE44" s="44"/>
      <c r="ROF44" s="44"/>
      <c r="ROG44" s="44"/>
      <c r="ROH44" s="44"/>
      <c r="ROI44" s="44"/>
      <c r="ROJ44" s="44"/>
      <c r="ROK44" s="44"/>
      <c r="ROL44" s="44"/>
      <c r="ROM44" s="44"/>
      <c r="RON44" s="44"/>
      <c r="ROO44" s="44"/>
      <c r="ROP44" s="44"/>
      <c r="ROQ44" s="44"/>
      <c r="ROR44" s="44"/>
      <c r="ROS44" s="44"/>
      <c r="ROT44" s="44"/>
      <c r="ROU44" s="44"/>
      <c r="ROV44" s="44"/>
      <c r="ROW44" s="44"/>
      <c r="ROX44" s="44"/>
      <c r="ROY44" s="44"/>
      <c r="ROZ44" s="44"/>
      <c r="RPA44" s="44"/>
      <c r="RPB44" s="44"/>
      <c r="RPC44" s="44"/>
      <c r="RPD44" s="44"/>
      <c r="RPE44" s="44"/>
      <c r="RPF44" s="44"/>
      <c r="RPG44" s="44"/>
      <c r="RPH44" s="44"/>
      <c r="RPI44" s="44"/>
      <c r="RPJ44" s="44"/>
      <c r="RPK44" s="44"/>
      <c r="RPL44" s="44"/>
      <c r="RPM44" s="44"/>
      <c r="RPN44" s="44"/>
      <c r="RPO44" s="44"/>
      <c r="RPP44" s="44"/>
      <c r="RPQ44" s="44"/>
      <c r="RPR44" s="44"/>
      <c r="RPS44" s="44"/>
      <c r="RPT44" s="44"/>
      <c r="RPU44" s="44"/>
      <c r="RPV44" s="44"/>
      <c r="RPW44" s="44"/>
      <c r="RPX44" s="44"/>
      <c r="RPY44" s="44"/>
      <c r="RPZ44" s="44"/>
      <c r="RQA44" s="44"/>
      <c r="RQB44" s="44"/>
      <c r="RQC44" s="44"/>
      <c r="RQD44" s="44"/>
      <c r="RQE44" s="44"/>
      <c r="RQF44" s="44"/>
      <c r="RQG44" s="44"/>
      <c r="RQH44" s="44"/>
      <c r="RQI44" s="44"/>
      <c r="RQJ44" s="44"/>
      <c r="RQK44" s="44"/>
      <c r="RQL44" s="44"/>
      <c r="RQM44" s="44"/>
      <c r="RQN44" s="44"/>
      <c r="RQO44" s="44"/>
      <c r="RQP44" s="44"/>
      <c r="RQQ44" s="44"/>
      <c r="RQR44" s="44"/>
      <c r="RQS44" s="44"/>
      <c r="RQT44" s="44"/>
      <c r="RQU44" s="44"/>
      <c r="RQV44" s="44"/>
      <c r="RQW44" s="44"/>
      <c r="RQX44" s="44"/>
      <c r="RQY44" s="44"/>
      <c r="RQZ44" s="44"/>
      <c r="RRA44" s="44"/>
      <c r="RRB44" s="44"/>
      <c r="RRC44" s="44"/>
      <c r="RRD44" s="44"/>
      <c r="RRE44" s="44"/>
      <c r="RRF44" s="44"/>
      <c r="RRG44" s="44"/>
      <c r="RRH44" s="44"/>
      <c r="RRI44" s="44"/>
      <c r="RRJ44" s="44"/>
      <c r="RRK44" s="44"/>
      <c r="RRL44" s="44"/>
      <c r="RRM44" s="44"/>
      <c r="RRN44" s="44"/>
      <c r="RRO44" s="44"/>
      <c r="RRP44" s="44"/>
      <c r="RRQ44" s="44"/>
      <c r="RRR44" s="44"/>
      <c r="RRS44" s="44"/>
      <c r="RRT44" s="44"/>
      <c r="RRU44" s="44"/>
      <c r="RRV44" s="44"/>
      <c r="RRW44" s="44"/>
      <c r="RRX44" s="44"/>
      <c r="RRY44" s="44"/>
      <c r="RRZ44" s="44"/>
      <c r="RSA44" s="44"/>
      <c r="RSB44" s="44"/>
      <c r="RSC44" s="44"/>
      <c r="RSD44" s="44"/>
      <c r="RSE44" s="44"/>
      <c r="RSF44" s="44"/>
      <c r="RSG44" s="44"/>
      <c r="RSH44" s="44"/>
      <c r="RSI44" s="44"/>
      <c r="RSJ44" s="44"/>
      <c r="RSK44" s="44"/>
      <c r="RSL44" s="44"/>
      <c r="RSM44" s="44"/>
      <c r="RSN44" s="44"/>
      <c r="RSO44" s="44"/>
      <c r="RSP44" s="44"/>
      <c r="RSQ44" s="44"/>
      <c r="RSR44" s="44"/>
      <c r="RSS44" s="44"/>
      <c r="RST44" s="44"/>
      <c r="RSU44" s="44"/>
      <c r="RSV44" s="44"/>
      <c r="RSW44" s="44"/>
      <c r="RSX44" s="44"/>
      <c r="RSY44" s="44"/>
      <c r="RSZ44" s="44"/>
      <c r="RTA44" s="44"/>
      <c r="RTB44" s="44"/>
      <c r="RTC44" s="44"/>
      <c r="RTD44" s="44"/>
      <c r="RTE44" s="44"/>
      <c r="RTF44" s="44"/>
      <c r="RTG44" s="44"/>
      <c r="RTH44" s="44"/>
      <c r="RTI44" s="44"/>
      <c r="RTJ44" s="44"/>
      <c r="RTK44" s="44"/>
      <c r="RTL44" s="44"/>
      <c r="RTM44" s="44"/>
      <c r="RTN44" s="44"/>
      <c r="RTO44" s="44"/>
      <c r="RTP44" s="44"/>
      <c r="RTQ44" s="44"/>
      <c r="RTR44" s="44"/>
      <c r="RTS44" s="44"/>
      <c r="RTT44" s="44"/>
      <c r="RTU44" s="44"/>
      <c r="RTV44" s="44"/>
      <c r="RTW44" s="44"/>
      <c r="RTX44" s="44"/>
      <c r="RTY44" s="44"/>
      <c r="RTZ44" s="44"/>
      <c r="RUA44" s="44"/>
      <c r="RUB44" s="44"/>
      <c r="RUC44" s="44"/>
      <c r="RUD44" s="44"/>
      <c r="RUE44" s="44"/>
      <c r="RUF44" s="44"/>
      <c r="RUG44" s="44"/>
      <c r="RUH44" s="44"/>
      <c r="RUI44" s="44"/>
      <c r="RUJ44" s="44"/>
      <c r="RUK44" s="44"/>
      <c r="RUL44" s="44"/>
      <c r="RUM44" s="44"/>
      <c r="RUN44" s="44"/>
      <c r="RUO44" s="44"/>
      <c r="RUP44" s="44"/>
      <c r="RUQ44" s="44"/>
      <c r="RUR44" s="44"/>
      <c r="RUS44" s="44"/>
      <c r="RUT44" s="44"/>
      <c r="RUU44" s="44"/>
      <c r="RUV44" s="44"/>
      <c r="RUW44" s="44"/>
      <c r="RUX44" s="44"/>
      <c r="RUY44" s="44"/>
      <c r="RUZ44" s="44"/>
      <c r="RVA44" s="44"/>
      <c r="RVB44" s="44"/>
      <c r="RVC44" s="44"/>
      <c r="RVD44" s="44"/>
      <c r="RVE44" s="44"/>
      <c r="RVF44" s="44"/>
      <c r="RVG44" s="44"/>
      <c r="RVH44" s="44"/>
      <c r="RVI44" s="44"/>
      <c r="RVJ44" s="44"/>
      <c r="RVK44" s="44"/>
      <c r="RVL44" s="44"/>
      <c r="RVM44" s="44"/>
      <c r="RVN44" s="44"/>
      <c r="RVO44" s="44"/>
      <c r="RVP44" s="44"/>
      <c r="RVQ44" s="44"/>
      <c r="RVR44" s="44"/>
      <c r="RVS44" s="44"/>
      <c r="RVT44" s="44"/>
      <c r="RVU44" s="44"/>
      <c r="RVV44" s="44"/>
      <c r="RVW44" s="44"/>
      <c r="RVX44" s="44"/>
      <c r="RVY44" s="44"/>
      <c r="RVZ44" s="44"/>
      <c r="RWA44" s="44"/>
      <c r="RWB44" s="44"/>
      <c r="RWC44" s="44"/>
      <c r="RWD44" s="44"/>
      <c r="RWE44" s="44"/>
      <c r="RWF44" s="44"/>
      <c r="RWG44" s="44"/>
      <c r="RWH44" s="44"/>
      <c r="RWI44" s="44"/>
      <c r="RWJ44" s="44"/>
      <c r="RWK44" s="44"/>
      <c r="RWL44" s="44"/>
      <c r="RWM44" s="44"/>
      <c r="RWN44" s="44"/>
      <c r="RWO44" s="44"/>
      <c r="RWP44" s="44"/>
      <c r="RWQ44" s="44"/>
      <c r="RWR44" s="44"/>
      <c r="RWS44" s="44"/>
      <c r="RWT44" s="44"/>
      <c r="RWU44" s="44"/>
      <c r="RWV44" s="44"/>
      <c r="RWW44" s="44"/>
      <c r="RWX44" s="44"/>
      <c r="RWY44" s="44"/>
      <c r="RWZ44" s="44"/>
      <c r="RXA44" s="44"/>
      <c r="RXB44" s="44"/>
      <c r="RXC44" s="44"/>
      <c r="RXD44" s="44"/>
      <c r="RXE44" s="44"/>
      <c r="RXF44" s="44"/>
      <c r="RXG44" s="44"/>
      <c r="RXH44" s="44"/>
      <c r="RXI44" s="44"/>
      <c r="RXJ44" s="44"/>
      <c r="RXK44" s="44"/>
      <c r="RXL44" s="44"/>
      <c r="RXM44" s="44"/>
      <c r="RXN44" s="44"/>
      <c r="RXO44" s="44"/>
      <c r="RXP44" s="44"/>
      <c r="RXQ44" s="44"/>
      <c r="RXR44" s="44"/>
      <c r="RXS44" s="44"/>
      <c r="RXT44" s="44"/>
      <c r="RXU44" s="44"/>
      <c r="RXV44" s="44"/>
      <c r="RXW44" s="44"/>
      <c r="RXX44" s="44"/>
      <c r="RXY44" s="44"/>
      <c r="RXZ44" s="44"/>
      <c r="RYA44" s="44"/>
      <c r="RYB44" s="44"/>
      <c r="RYC44" s="44"/>
      <c r="RYD44" s="44"/>
      <c r="RYE44" s="44"/>
      <c r="RYF44" s="44"/>
      <c r="RYG44" s="44"/>
      <c r="RYH44" s="44"/>
      <c r="RYI44" s="44"/>
      <c r="RYJ44" s="44"/>
      <c r="RYK44" s="44"/>
      <c r="RYL44" s="44"/>
      <c r="RYM44" s="44"/>
      <c r="RYN44" s="44"/>
      <c r="RYO44" s="44"/>
      <c r="RYP44" s="44"/>
      <c r="RYQ44" s="44"/>
      <c r="RYR44" s="44"/>
      <c r="RYS44" s="44"/>
      <c r="RYT44" s="44"/>
      <c r="RYU44" s="44"/>
      <c r="RYV44" s="44"/>
      <c r="RYW44" s="44"/>
      <c r="RYX44" s="44"/>
      <c r="RYY44" s="44"/>
      <c r="RYZ44" s="44"/>
      <c r="RZA44" s="44"/>
      <c r="RZB44" s="44"/>
      <c r="RZC44" s="44"/>
      <c r="RZD44" s="44"/>
      <c r="RZE44" s="44"/>
      <c r="RZF44" s="44"/>
      <c r="RZG44" s="44"/>
      <c r="RZH44" s="44"/>
      <c r="RZI44" s="44"/>
      <c r="RZJ44" s="44"/>
      <c r="RZK44" s="44"/>
      <c r="RZL44" s="44"/>
      <c r="RZM44" s="44"/>
      <c r="RZN44" s="44"/>
      <c r="RZO44" s="44"/>
      <c r="RZP44" s="44"/>
      <c r="RZQ44" s="44"/>
      <c r="RZR44" s="44"/>
      <c r="RZS44" s="44"/>
      <c r="RZT44" s="44"/>
      <c r="RZU44" s="44"/>
      <c r="RZV44" s="44"/>
      <c r="RZW44" s="44"/>
      <c r="RZX44" s="44"/>
      <c r="RZY44" s="44"/>
      <c r="RZZ44" s="44"/>
      <c r="SAA44" s="44"/>
      <c r="SAB44" s="44"/>
      <c r="SAC44" s="44"/>
      <c r="SAD44" s="44"/>
      <c r="SAE44" s="44"/>
      <c r="SAF44" s="44"/>
      <c r="SAG44" s="44"/>
      <c r="SAH44" s="44"/>
      <c r="SAI44" s="44"/>
      <c r="SAJ44" s="44"/>
      <c r="SAK44" s="44"/>
      <c r="SAL44" s="44"/>
      <c r="SAM44" s="44"/>
      <c r="SAN44" s="44"/>
      <c r="SAO44" s="44"/>
      <c r="SAP44" s="44"/>
      <c r="SAQ44" s="44"/>
      <c r="SAR44" s="44"/>
      <c r="SAS44" s="44"/>
      <c r="SAT44" s="44"/>
      <c r="SAU44" s="44"/>
      <c r="SAV44" s="44"/>
      <c r="SAW44" s="44"/>
      <c r="SAX44" s="44"/>
      <c r="SAY44" s="44"/>
      <c r="SAZ44" s="44"/>
      <c r="SBA44" s="44"/>
      <c r="SBB44" s="44"/>
      <c r="SBC44" s="44"/>
      <c r="SBD44" s="44"/>
      <c r="SBE44" s="44"/>
      <c r="SBF44" s="44"/>
      <c r="SBG44" s="44"/>
      <c r="SBH44" s="44"/>
      <c r="SBI44" s="44"/>
      <c r="SBJ44" s="44"/>
      <c r="SBK44" s="44"/>
      <c r="SBL44" s="44"/>
      <c r="SBM44" s="44"/>
      <c r="SBN44" s="44"/>
      <c r="SBO44" s="44"/>
      <c r="SBP44" s="44"/>
      <c r="SBQ44" s="44"/>
      <c r="SBR44" s="44"/>
      <c r="SBS44" s="44"/>
      <c r="SBT44" s="44"/>
      <c r="SBU44" s="44"/>
      <c r="SBV44" s="44"/>
      <c r="SBW44" s="44"/>
      <c r="SBX44" s="44"/>
      <c r="SBY44" s="44"/>
      <c r="SBZ44" s="44"/>
      <c r="SCA44" s="44"/>
      <c r="SCB44" s="44"/>
      <c r="SCC44" s="44"/>
      <c r="SCD44" s="44"/>
      <c r="SCE44" s="44"/>
      <c r="SCF44" s="44"/>
      <c r="SCG44" s="44"/>
      <c r="SCH44" s="44"/>
      <c r="SCI44" s="44"/>
      <c r="SCJ44" s="44"/>
      <c r="SCK44" s="44"/>
      <c r="SCL44" s="44"/>
      <c r="SCM44" s="44"/>
      <c r="SCN44" s="44"/>
      <c r="SCO44" s="44"/>
      <c r="SCP44" s="44"/>
      <c r="SCQ44" s="44"/>
      <c r="SCR44" s="44"/>
      <c r="SCS44" s="44"/>
      <c r="SCT44" s="44"/>
      <c r="SCU44" s="44"/>
      <c r="SCV44" s="44"/>
      <c r="SCW44" s="44"/>
      <c r="SCX44" s="44"/>
      <c r="SCY44" s="44"/>
      <c r="SCZ44" s="44"/>
      <c r="SDA44" s="44"/>
      <c r="SDB44" s="44"/>
      <c r="SDC44" s="44"/>
      <c r="SDD44" s="44"/>
      <c r="SDE44" s="44"/>
      <c r="SDF44" s="44"/>
      <c r="SDG44" s="44"/>
      <c r="SDH44" s="44"/>
      <c r="SDI44" s="44"/>
      <c r="SDJ44" s="44"/>
      <c r="SDK44" s="44"/>
      <c r="SDL44" s="44"/>
      <c r="SDM44" s="44"/>
      <c r="SDN44" s="44"/>
      <c r="SDO44" s="44"/>
      <c r="SDP44" s="44"/>
      <c r="SDQ44" s="44"/>
      <c r="SDR44" s="44"/>
      <c r="SDS44" s="44"/>
      <c r="SDT44" s="44"/>
      <c r="SDU44" s="44"/>
      <c r="SDV44" s="44"/>
      <c r="SDW44" s="44"/>
      <c r="SDX44" s="44"/>
      <c r="SDY44" s="44"/>
      <c r="SDZ44" s="44"/>
      <c r="SEA44" s="44"/>
      <c r="SEB44" s="44"/>
      <c r="SEC44" s="44"/>
      <c r="SED44" s="44"/>
      <c r="SEE44" s="44"/>
      <c r="SEF44" s="44"/>
      <c r="SEG44" s="44"/>
      <c r="SEH44" s="44"/>
      <c r="SEI44" s="44"/>
      <c r="SEJ44" s="44"/>
      <c r="SEK44" s="44"/>
      <c r="SEL44" s="44"/>
      <c r="SEM44" s="44"/>
      <c r="SEN44" s="44"/>
      <c r="SEO44" s="44"/>
      <c r="SEP44" s="44"/>
      <c r="SEQ44" s="44"/>
      <c r="SER44" s="44"/>
      <c r="SES44" s="44"/>
      <c r="SET44" s="44"/>
      <c r="SEU44" s="44"/>
      <c r="SEV44" s="44"/>
      <c r="SEW44" s="44"/>
      <c r="SEX44" s="44"/>
      <c r="SEY44" s="44"/>
      <c r="SEZ44" s="44"/>
      <c r="SFA44" s="44"/>
      <c r="SFB44" s="44"/>
      <c r="SFC44" s="44"/>
      <c r="SFD44" s="44"/>
      <c r="SFE44" s="44"/>
      <c r="SFF44" s="44"/>
      <c r="SFG44" s="44"/>
      <c r="SFH44" s="44"/>
      <c r="SFI44" s="44"/>
      <c r="SFJ44" s="44"/>
      <c r="SFK44" s="44"/>
      <c r="SFL44" s="44"/>
      <c r="SFM44" s="44"/>
      <c r="SFN44" s="44"/>
      <c r="SFO44" s="44"/>
      <c r="SFP44" s="44"/>
      <c r="SFQ44" s="44"/>
      <c r="SFR44" s="44"/>
      <c r="SFS44" s="44"/>
      <c r="SFT44" s="44"/>
      <c r="SFU44" s="44"/>
      <c r="SFV44" s="44"/>
      <c r="SFW44" s="44"/>
      <c r="SFX44" s="44"/>
      <c r="SFY44" s="44"/>
      <c r="SFZ44" s="44"/>
      <c r="SGA44" s="44"/>
      <c r="SGB44" s="44"/>
      <c r="SGC44" s="44"/>
      <c r="SGD44" s="44"/>
      <c r="SGE44" s="44"/>
      <c r="SGF44" s="44"/>
      <c r="SGG44" s="44"/>
      <c r="SGH44" s="44"/>
      <c r="SGI44" s="44"/>
      <c r="SGJ44" s="44"/>
      <c r="SGK44" s="44"/>
      <c r="SGL44" s="44"/>
      <c r="SGM44" s="44"/>
      <c r="SGN44" s="44"/>
      <c r="SGO44" s="44"/>
      <c r="SGP44" s="44"/>
      <c r="SGQ44" s="44"/>
      <c r="SGR44" s="44"/>
      <c r="SGS44" s="44"/>
      <c r="SGT44" s="44"/>
      <c r="SGU44" s="44"/>
      <c r="SGV44" s="44"/>
      <c r="SGW44" s="44"/>
      <c r="SGX44" s="44"/>
      <c r="SGY44" s="44"/>
      <c r="SGZ44" s="44"/>
      <c r="SHA44" s="44"/>
      <c r="SHB44" s="44"/>
      <c r="SHC44" s="44"/>
      <c r="SHD44" s="44"/>
      <c r="SHE44" s="44"/>
      <c r="SHF44" s="44"/>
      <c r="SHG44" s="44"/>
      <c r="SHH44" s="44"/>
      <c r="SHI44" s="44"/>
      <c r="SHJ44" s="44"/>
      <c r="SHK44" s="44"/>
      <c r="SHL44" s="44"/>
      <c r="SHM44" s="44"/>
      <c r="SHN44" s="44"/>
      <c r="SHO44" s="44"/>
      <c r="SHP44" s="44"/>
      <c r="SHQ44" s="44"/>
      <c r="SHR44" s="44"/>
      <c r="SHS44" s="44"/>
      <c r="SHT44" s="44"/>
      <c r="SHU44" s="44"/>
      <c r="SHV44" s="44"/>
      <c r="SHW44" s="44"/>
      <c r="SHX44" s="44"/>
      <c r="SHY44" s="44"/>
      <c r="SHZ44" s="44"/>
      <c r="SIA44" s="44"/>
      <c r="SIB44" s="44"/>
      <c r="SIC44" s="44"/>
      <c r="SID44" s="44"/>
      <c r="SIE44" s="44"/>
      <c r="SIF44" s="44"/>
      <c r="SIG44" s="44"/>
      <c r="SIH44" s="44"/>
      <c r="SII44" s="44"/>
      <c r="SIJ44" s="44"/>
      <c r="SIK44" s="44"/>
      <c r="SIL44" s="44"/>
      <c r="SIM44" s="44"/>
      <c r="SIN44" s="44"/>
      <c r="SIO44" s="44"/>
      <c r="SIP44" s="44"/>
      <c r="SIQ44" s="44"/>
      <c r="SIR44" s="44"/>
      <c r="SIS44" s="44"/>
      <c r="SIT44" s="44"/>
      <c r="SIU44" s="44"/>
      <c r="SIV44" s="44"/>
      <c r="SIW44" s="44"/>
      <c r="SIX44" s="44"/>
      <c r="SIY44" s="44"/>
      <c r="SIZ44" s="44"/>
      <c r="SJA44" s="44"/>
      <c r="SJB44" s="44"/>
      <c r="SJC44" s="44"/>
      <c r="SJD44" s="44"/>
      <c r="SJE44" s="44"/>
      <c r="SJF44" s="44"/>
      <c r="SJG44" s="44"/>
      <c r="SJH44" s="44"/>
      <c r="SJI44" s="44"/>
      <c r="SJJ44" s="44"/>
      <c r="SJK44" s="44"/>
      <c r="SJL44" s="44"/>
      <c r="SJM44" s="44"/>
      <c r="SJN44" s="44"/>
      <c r="SJO44" s="44"/>
      <c r="SJP44" s="44"/>
      <c r="SJQ44" s="44"/>
      <c r="SJR44" s="44"/>
      <c r="SJS44" s="44"/>
      <c r="SJT44" s="44"/>
      <c r="SJU44" s="44"/>
      <c r="SJV44" s="44"/>
      <c r="SJW44" s="44"/>
      <c r="SJX44" s="44"/>
      <c r="SJY44" s="44"/>
      <c r="SJZ44" s="44"/>
      <c r="SKA44" s="44"/>
      <c r="SKB44" s="44"/>
      <c r="SKC44" s="44"/>
      <c r="SKD44" s="44"/>
      <c r="SKE44" s="44"/>
      <c r="SKF44" s="44"/>
      <c r="SKG44" s="44"/>
      <c r="SKH44" s="44"/>
      <c r="SKI44" s="44"/>
      <c r="SKJ44" s="44"/>
      <c r="SKK44" s="44"/>
      <c r="SKL44" s="44"/>
      <c r="SKM44" s="44"/>
      <c r="SKN44" s="44"/>
      <c r="SKO44" s="44"/>
      <c r="SKP44" s="44"/>
      <c r="SKQ44" s="44"/>
      <c r="SKR44" s="44"/>
      <c r="SKS44" s="44"/>
      <c r="SKT44" s="44"/>
      <c r="SKU44" s="44"/>
      <c r="SKV44" s="44"/>
      <c r="SKW44" s="44"/>
      <c r="SKX44" s="44"/>
      <c r="SKY44" s="44"/>
      <c r="SKZ44" s="44"/>
      <c r="SLA44" s="44"/>
      <c r="SLB44" s="44"/>
      <c r="SLC44" s="44"/>
      <c r="SLD44" s="44"/>
      <c r="SLE44" s="44"/>
      <c r="SLF44" s="44"/>
      <c r="SLG44" s="44"/>
      <c r="SLH44" s="44"/>
      <c r="SLI44" s="44"/>
      <c r="SLJ44" s="44"/>
      <c r="SLK44" s="44"/>
      <c r="SLL44" s="44"/>
      <c r="SLM44" s="44"/>
      <c r="SLN44" s="44"/>
      <c r="SLO44" s="44"/>
      <c r="SLP44" s="44"/>
      <c r="SLQ44" s="44"/>
      <c r="SLR44" s="44"/>
      <c r="SLS44" s="44"/>
      <c r="SLT44" s="44"/>
      <c r="SLU44" s="44"/>
      <c r="SLV44" s="44"/>
      <c r="SLW44" s="44"/>
      <c r="SLX44" s="44"/>
      <c r="SLY44" s="44"/>
      <c r="SLZ44" s="44"/>
      <c r="SMA44" s="44"/>
      <c r="SMB44" s="44"/>
      <c r="SMC44" s="44"/>
      <c r="SMD44" s="44"/>
      <c r="SME44" s="44"/>
      <c r="SMF44" s="44"/>
      <c r="SMG44" s="44"/>
      <c r="SMH44" s="44"/>
      <c r="SMI44" s="44"/>
      <c r="SMJ44" s="44"/>
      <c r="SMK44" s="44"/>
      <c r="SML44" s="44"/>
      <c r="SMM44" s="44"/>
      <c r="SMN44" s="44"/>
      <c r="SMO44" s="44"/>
      <c r="SMP44" s="44"/>
      <c r="SMQ44" s="44"/>
      <c r="SMR44" s="44"/>
      <c r="SMS44" s="44"/>
      <c r="SMT44" s="44"/>
      <c r="SMU44" s="44"/>
      <c r="SMV44" s="44"/>
      <c r="SMW44" s="44"/>
      <c r="SMX44" s="44"/>
      <c r="SMY44" s="44"/>
      <c r="SMZ44" s="44"/>
      <c r="SNA44" s="44"/>
      <c r="SNB44" s="44"/>
      <c r="SNC44" s="44"/>
      <c r="SND44" s="44"/>
      <c r="SNE44" s="44"/>
      <c r="SNF44" s="44"/>
      <c r="SNG44" s="44"/>
      <c r="SNH44" s="44"/>
      <c r="SNI44" s="44"/>
      <c r="SNJ44" s="44"/>
      <c r="SNK44" s="44"/>
      <c r="SNL44" s="44"/>
      <c r="SNM44" s="44"/>
      <c r="SNN44" s="44"/>
      <c r="SNO44" s="44"/>
      <c r="SNP44" s="44"/>
      <c r="SNQ44" s="44"/>
      <c r="SNR44" s="44"/>
      <c r="SNS44" s="44"/>
      <c r="SNT44" s="44"/>
      <c r="SNU44" s="44"/>
      <c r="SNV44" s="44"/>
      <c r="SNW44" s="44"/>
      <c r="SNX44" s="44"/>
      <c r="SNY44" s="44"/>
      <c r="SNZ44" s="44"/>
      <c r="SOA44" s="44"/>
      <c r="SOB44" s="44"/>
      <c r="SOC44" s="44"/>
      <c r="SOD44" s="44"/>
      <c r="SOE44" s="44"/>
      <c r="SOF44" s="44"/>
      <c r="SOG44" s="44"/>
      <c r="SOH44" s="44"/>
      <c r="SOI44" s="44"/>
      <c r="SOJ44" s="44"/>
      <c r="SOK44" s="44"/>
      <c r="SOL44" s="44"/>
      <c r="SOM44" s="44"/>
      <c r="SON44" s="44"/>
      <c r="SOO44" s="44"/>
      <c r="SOP44" s="44"/>
      <c r="SOQ44" s="44"/>
      <c r="SOR44" s="44"/>
      <c r="SOS44" s="44"/>
      <c r="SOT44" s="44"/>
      <c r="SOU44" s="44"/>
      <c r="SOV44" s="44"/>
      <c r="SOW44" s="44"/>
      <c r="SOX44" s="44"/>
      <c r="SOY44" s="44"/>
      <c r="SOZ44" s="44"/>
      <c r="SPA44" s="44"/>
      <c r="SPB44" s="44"/>
      <c r="SPC44" s="44"/>
      <c r="SPD44" s="44"/>
      <c r="SPE44" s="44"/>
      <c r="SPF44" s="44"/>
      <c r="SPG44" s="44"/>
      <c r="SPH44" s="44"/>
      <c r="SPI44" s="44"/>
      <c r="SPJ44" s="44"/>
      <c r="SPK44" s="44"/>
      <c r="SPL44" s="44"/>
      <c r="SPM44" s="44"/>
      <c r="SPN44" s="44"/>
      <c r="SPO44" s="44"/>
      <c r="SPP44" s="44"/>
      <c r="SPQ44" s="44"/>
      <c r="SPR44" s="44"/>
      <c r="SPS44" s="44"/>
      <c r="SPT44" s="44"/>
      <c r="SPU44" s="44"/>
      <c r="SPV44" s="44"/>
      <c r="SPW44" s="44"/>
      <c r="SPX44" s="44"/>
      <c r="SPY44" s="44"/>
      <c r="SPZ44" s="44"/>
      <c r="SQA44" s="44"/>
      <c r="SQB44" s="44"/>
      <c r="SQC44" s="44"/>
      <c r="SQD44" s="44"/>
      <c r="SQE44" s="44"/>
      <c r="SQF44" s="44"/>
      <c r="SQG44" s="44"/>
      <c r="SQH44" s="44"/>
      <c r="SQI44" s="44"/>
      <c r="SQJ44" s="44"/>
      <c r="SQK44" s="44"/>
      <c r="SQL44" s="44"/>
      <c r="SQM44" s="44"/>
      <c r="SQN44" s="44"/>
      <c r="SQO44" s="44"/>
      <c r="SQP44" s="44"/>
      <c r="SQQ44" s="44"/>
      <c r="SQR44" s="44"/>
      <c r="SQS44" s="44"/>
      <c r="SQT44" s="44"/>
      <c r="SQU44" s="44"/>
      <c r="SQV44" s="44"/>
      <c r="SQW44" s="44"/>
      <c r="SQX44" s="44"/>
      <c r="SQY44" s="44"/>
      <c r="SQZ44" s="44"/>
      <c r="SRA44" s="44"/>
      <c r="SRB44" s="44"/>
      <c r="SRC44" s="44"/>
      <c r="SRD44" s="44"/>
      <c r="SRE44" s="44"/>
      <c r="SRF44" s="44"/>
      <c r="SRG44" s="44"/>
      <c r="SRH44" s="44"/>
      <c r="SRI44" s="44"/>
      <c r="SRJ44" s="44"/>
      <c r="SRK44" s="44"/>
      <c r="SRL44" s="44"/>
      <c r="SRM44" s="44"/>
      <c r="SRN44" s="44"/>
      <c r="SRO44" s="44"/>
      <c r="SRP44" s="44"/>
      <c r="SRQ44" s="44"/>
      <c r="SRR44" s="44"/>
      <c r="SRS44" s="44"/>
      <c r="SRT44" s="44"/>
      <c r="SRU44" s="44"/>
      <c r="SRV44" s="44"/>
      <c r="SRW44" s="44"/>
      <c r="SRX44" s="44"/>
      <c r="SRY44" s="44"/>
      <c r="SRZ44" s="44"/>
      <c r="SSA44" s="44"/>
      <c r="SSB44" s="44"/>
      <c r="SSC44" s="44"/>
      <c r="SSD44" s="44"/>
      <c r="SSE44" s="44"/>
      <c r="SSF44" s="44"/>
      <c r="SSG44" s="44"/>
      <c r="SSH44" s="44"/>
      <c r="SSI44" s="44"/>
      <c r="SSJ44" s="44"/>
      <c r="SSK44" s="44"/>
      <c r="SSL44" s="44"/>
      <c r="SSM44" s="44"/>
      <c r="SSN44" s="44"/>
      <c r="SSO44" s="44"/>
      <c r="SSP44" s="44"/>
      <c r="SSQ44" s="44"/>
      <c r="SSR44" s="44"/>
      <c r="SSS44" s="44"/>
      <c r="SST44" s="44"/>
      <c r="SSU44" s="44"/>
      <c r="SSV44" s="44"/>
      <c r="SSW44" s="44"/>
      <c r="SSX44" s="44"/>
      <c r="SSY44" s="44"/>
      <c r="SSZ44" s="44"/>
      <c r="STA44" s="44"/>
      <c r="STB44" s="44"/>
      <c r="STC44" s="44"/>
      <c r="STD44" s="44"/>
      <c r="STE44" s="44"/>
      <c r="STF44" s="44"/>
      <c r="STG44" s="44"/>
      <c r="STH44" s="44"/>
      <c r="STI44" s="44"/>
      <c r="STJ44" s="44"/>
      <c r="STK44" s="44"/>
      <c r="STL44" s="44"/>
      <c r="STM44" s="44"/>
      <c r="STN44" s="44"/>
      <c r="STO44" s="44"/>
      <c r="STP44" s="44"/>
      <c r="STQ44" s="44"/>
      <c r="STR44" s="44"/>
      <c r="STS44" s="44"/>
      <c r="STT44" s="44"/>
      <c r="STU44" s="44"/>
      <c r="STV44" s="44"/>
      <c r="STW44" s="44"/>
      <c r="STX44" s="44"/>
      <c r="STY44" s="44"/>
      <c r="STZ44" s="44"/>
      <c r="SUA44" s="44"/>
      <c r="SUB44" s="44"/>
      <c r="SUC44" s="44"/>
      <c r="SUD44" s="44"/>
      <c r="SUE44" s="44"/>
      <c r="SUF44" s="44"/>
      <c r="SUG44" s="44"/>
      <c r="SUH44" s="44"/>
      <c r="SUI44" s="44"/>
      <c r="SUJ44" s="44"/>
      <c r="SUK44" s="44"/>
      <c r="SUL44" s="44"/>
      <c r="SUM44" s="44"/>
      <c r="SUN44" s="44"/>
      <c r="SUO44" s="44"/>
      <c r="SUP44" s="44"/>
      <c r="SUQ44" s="44"/>
      <c r="SUR44" s="44"/>
      <c r="SUS44" s="44"/>
      <c r="SUT44" s="44"/>
      <c r="SUU44" s="44"/>
      <c r="SUV44" s="44"/>
      <c r="SUW44" s="44"/>
      <c r="SUX44" s="44"/>
      <c r="SUY44" s="44"/>
      <c r="SUZ44" s="44"/>
      <c r="SVA44" s="44"/>
      <c r="SVB44" s="44"/>
      <c r="SVC44" s="44"/>
      <c r="SVD44" s="44"/>
      <c r="SVE44" s="44"/>
      <c r="SVF44" s="44"/>
      <c r="SVG44" s="44"/>
      <c r="SVH44" s="44"/>
      <c r="SVI44" s="44"/>
      <c r="SVJ44" s="44"/>
      <c r="SVK44" s="44"/>
      <c r="SVL44" s="44"/>
      <c r="SVM44" s="44"/>
      <c r="SVN44" s="44"/>
      <c r="SVO44" s="44"/>
      <c r="SVP44" s="44"/>
      <c r="SVQ44" s="44"/>
      <c r="SVR44" s="44"/>
      <c r="SVS44" s="44"/>
      <c r="SVT44" s="44"/>
      <c r="SVU44" s="44"/>
      <c r="SVV44" s="44"/>
      <c r="SVW44" s="44"/>
      <c r="SVX44" s="44"/>
      <c r="SVY44" s="44"/>
      <c r="SVZ44" s="44"/>
      <c r="SWA44" s="44"/>
      <c r="SWB44" s="44"/>
      <c r="SWC44" s="44"/>
      <c r="SWD44" s="44"/>
      <c r="SWE44" s="44"/>
      <c r="SWF44" s="44"/>
      <c r="SWG44" s="44"/>
      <c r="SWH44" s="44"/>
      <c r="SWI44" s="44"/>
      <c r="SWJ44" s="44"/>
      <c r="SWK44" s="44"/>
      <c r="SWL44" s="44"/>
      <c r="SWM44" s="44"/>
      <c r="SWN44" s="44"/>
      <c r="SWO44" s="44"/>
      <c r="SWP44" s="44"/>
      <c r="SWQ44" s="44"/>
      <c r="SWR44" s="44"/>
      <c r="SWS44" s="44"/>
      <c r="SWT44" s="44"/>
      <c r="SWU44" s="44"/>
      <c r="SWV44" s="44"/>
      <c r="SWW44" s="44"/>
      <c r="SWX44" s="44"/>
      <c r="SWY44" s="44"/>
      <c r="SWZ44" s="44"/>
      <c r="SXA44" s="44"/>
      <c r="SXB44" s="44"/>
      <c r="SXC44" s="44"/>
      <c r="SXD44" s="44"/>
      <c r="SXE44" s="44"/>
      <c r="SXF44" s="44"/>
      <c r="SXG44" s="44"/>
      <c r="SXH44" s="44"/>
      <c r="SXI44" s="44"/>
      <c r="SXJ44" s="44"/>
      <c r="SXK44" s="44"/>
      <c r="SXL44" s="44"/>
      <c r="SXM44" s="44"/>
      <c r="SXN44" s="44"/>
      <c r="SXO44" s="44"/>
      <c r="SXP44" s="44"/>
      <c r="SXQ44" s="44"/>
      <c r="SXR44" s="44"/>
      <c r="SXS44" s="44"/>
      <c r="SXT44" s="44"/>
      <c r="SXU44" s="44"/>
      <c r="SXV44" s="44"/>
      <c r="SXW44" s="44"/>
      <c r="SXX44" s="44"/>
      <c r="SXY44" s="44"/>
      <c r="SXZ44" s="44"/>
      <c r="SYA44" s="44"/>
      <c r="SYB44" s="44"/>
      <c r="SYC44" s="44"/>
      <c r="SYD44" s="44"/>
      <c r="SYE44" s="44"/>
      <c r="SYF44" s="44"/>
      <c r="SYG44" s="44"/>
      <c r="SYH44" s="44"/>
      <c r="SYI44" s="44"/>
      <c r="SYJ44" s="44"/>
      <c r="SYK44" s="44"/>
      <c r="SYL44" s="44"/>
      <c r="SYM44" s="44"/>
      <c r="SYN44" s="44"/>
      <c r="SYO44" s="44"/>
      <c r="SYP44" s="44"/>
      <c r="SYQ44" s="44"/>
      <c r="SYR44" s="44"/>
      <c r="SYS44" s="44"/>
      <c r="SYT44" s="44"/>
      <c r="SYU44" s="44"/>
      <c r="SYV44" s="44"/>
      <c r="SYW44" s="44"/>
      <c r="SYX44" s="44"/>
      <c r="SYY44" s="44"/>
      <c r="SYZ44" s="44"/>
      <c r="SZA44" s="44"/>
      <c r="SZB44" s="44"/>
      <c r="SZC44" s="44"/>
      <c r="SZD44" s="44"/>
      <c r="SZE44" s="44"/>
      <c r="SZF44" s="44"/>
      <c r="SZG44" s="44"/>
      <c r="SZH44" s="44"/>
      <c r="SZI44" s="44"/>
      <c r="SZJ44" s="44"/>
      <c r="SZK44" s="44"/>
      <c r="SZL44" s="44"/>
      <c r="SZM44" s="44"/>
      <c r="SZN44" s="44"/>
      <c r="SZO44" s="44"/>
      <c r="SZP44" s="44"/>
      <c r="SZQ44" s="44"/>
      <c r="SZR44" s="44"/>
      <c r="SZS44" s="44"/>
      <c r="SZT44" s="44"/>
      <c r="SZU44" s="44"/>
      <c r="SZV44" s="44"/>
      <c r="SZW44" s="44"/>
      <c r="SZX44" s="44"/>
      <c r="SZY44" s="44"/>
      <c r="SZZ44" s="44"/>
      <c r="TAA44" s="44"/>
      <c r="TAB44" s="44"/>
      <c r="TAC44" s="44"/>
      <c r="TAD44" s="44"/>
      <c r="TAE44" s="44"/>
      <c r="TAF44" s="44"/>
      <c r="TAG44" s="44"/>
      <c r="TAH44" s="44"/>
      <c r="TAI44" s="44"/>
      <c r="TAJ44" s="44"/>
      <c r="TAK44" s="44"/>
      <c r="TAL44" s="44"/>
      <c r="TAM44" s="44"/>
      <c r="TAN44" s="44"/>
      <c r="TAO44" s="44"/>
      <c r="TAP44" s="44"/>
      <c r="TAQ44" s="44"/>
      <c r="TAR44" s="44"/>
      <c r="TAS44" s="44"/>
      <c r="TAT44" s="44"/>
      <c r="TAU44" s="44"/>
      <c r="TAV44" s="44"/>
      <c r="TAW44" s="44"/>
      <c r="TAX44" s="44"/>
      <c r="TAY44" s="44"/>
      <c r="TAZ44" s="44"/>
      <c r="TBA44" s="44"/>
      <c r="TBB44" s="44"/>
      <c r="TBC44" s="44"/>
      <c r="TBD44" s="44"/>
      <c r="TBE44" s="44"/>
      <c r="TBF44" s="44"/>
      <c r="TBG44" s="44"/>
      <c r="TBH44" s="44"/>
      <c r="TBI44" s="44"/>
      <c r="TBJ44" s="44"/>
      <c r="TBK44" s="44"/>
      <c r="TBL44" s="44"/>
      <c r="TBM44" s="44"/>
      <c r="TBN44" s="44"/>
      <c r="TBO44" s="44"/>
      <c r="TBP44" s="44"/>
      <c r="TBQ44" s="44"/>
      <c r="TBR44" s="44"/>
      <c r="TBS44" s="44"/>
      <c r="TBT44" s="44"/>
      <c r="TBU44" s="44"/>
      <c r="TBV44" s="44"/>
      <c r="TBW44" s="44"/>
      <c r="TBX44" s="44"/>
      <c r="TBY44" s="44"/>
      <c r="TBZ44" s="44"/>
      <c r="TCA44" s="44"/>
      <c r="TCB44" s="44"/>
      <c r="TCC44" s="44"/>
      <c r="TCD44" s="44"/>
      <c r="TCE44" s="44"/>
      <c r="TCF44" s="44"/>
      <c r="TCG44" s="44"/>
      <c r="TCH44" s="44"/>
      <c r="TCI44" s="44"/>
      <c r="TCJ44" s="44"/>
      <c r="TCK44" s="44"/>
      <c r="TCL44" s="44"/>
      <c r="TCM44" s="44"/>
      <c r="TCN44" s="44"/>
      <c r="TCO44" s="44"/>
      <c r="TCP44" s="44"/>
      <c r="TCQ44" s="44"/>
      <c r="TCR44" s="44"/>
      <c r="TCS44" s="44"/>
      <c r="TCT44" s="44"/>
      <c r="TCU44" s="44"/>
      <c r="TCV44" s="44"/>
      <c r="TCW44" s="44"/>
      <c r="TCX44" s="44"/>
      <c r="TCY44" s="44"/>
      <c r="TCZ44" s="44"/>
      <c r="TDA44" s="44"/>
      <c r="TDB44" s="44"/>
      <c r="TDC44" s="44"/>
      <c r="TDD44" s="44"/>
      <c r="TDE44" s="44"/>
      <c r="TDF44" s="44"/>
      <c r="TDG44" s="44"/>
      <c r="TDH44" s="44"/>
      <c r="TDI44" s="44"/>
      <c r="TDJ44" s="44"/>
      <c r="TDK44" s="44"/>
      <c r="TDL44" s="44"/>
      <c r="TDM44" s="44"/>
      <c r="TDN44" s="44"/>
      <c r="TDO44" s="44"/>
      <c r="TDP44" s="44"/>
      <c r="TDQ44" s="44"/>
      <c r="TDR44" s="44"/>
      <c r="TDS44" s="44"/>
      <c r="TDT44" s="44"/>
      <c r="TDU44" s="44"/>
      <c r="TDV44" s="44"/>
      <c r="TDW44" s="44"/>
      <c r="TDX44" s="44"/>
      <c r="TDY44" s="44"/>
      <c r="TDZ44" s="44"/>
      <c r="TEA44" s="44"/>
      <c r="TEB44" s="44"/>
      <c r="TEC44" s="44"/>
      <c r="TED44" s="44"/>
      <c r="TEE44" s="44"/>
      <c r="TEF44" s="44"/>
      <c r="TEG44" s="44"/>
      <c r="TEH44" s="44"/>
      <c r="TEI44" s="44"/>
      <c r="TEJ44" s="44"/>
      <c r="TEK44" s="44"/>
      <c r="TEL44" s="44"/>
      <c r="TEM44" s="44"/>
      <c r="TEN44" s="44"/>
      <c r="TEO44" s="44"/>
      <c r="TEP44" s="44"/>
      <c r="TEQ44" s="44"/>
      <c r="TER44" s="44"/>
      <c r="TES44" s="44"/>
      <c r="TET44" s="44"/>
      <c r="TEU44" s="44"/>
      <c r="TEV44" s="44"/>
      <c r="TEW44" s="44"/>
      <c r="TEX44" s="44"/>
      <c r="TEY44" s="44"/>
      <c r="TEZ44" s="44"/>
      <c r="TFA44" s="44"/>
      <c r="TFB44" s="44"/>
      <c r="TFC44" s="44"/>
      <c r="TFD44" s="44"/>
      <c r="TFE44" s="44"/>
      <c r="TFF44" s="44"/>
      <c r="TFG44" s="44"/>
      <c r="TFH44" s="44"/>
      <c r="TFI44" s="44"/>
      <c r="TFJ44" s="44"/>
      <c r="TFK44" s="44"/>
      <c r="TFL44" s="44"/>
      <c r="TFM44" s="44"/>
      <c r="TFN44" s="44"/>
      <c r="TFO44" s="44"/>
      <c r="TFP44" s="44"/>
      <c r="TFQ44" s="44"/>
      <c r="TFR44" s="44"/>
      <c r="TFS44" s="44"/>
      <c r="TFT44" s="44"/>
      <c r="TFU44" s="44"/>
      <c r="TFV44" s="44"/>
      <c r="TFW44" s="44"/>
      <c r="TFX44" s="44"/>
      <c r="TFY44" s="44"/>
      <c r="TFZ44" s="44"/>
      <c r="TGA44" s="44"/>
      <c r="TGB44" s="44"/>
      <c r="TGC44" s="44"/>
      <c r="TGD44" s="44"/>
      <c r="TGE44" s="44"/>
      <c r="TGF44" s="44"/>
      <c r="TGG44" s="44"/>
      <c r="TGH44" s="44"/>
      <c r="TGI44" s="44"/>
      <c r="TGJ44" s="44"/>
      <c r="TGK44" s="44"/>
      <c r="TGL44" s="44"/>
      <c r="TGM44" s="44"/>
      <c r="TGN44" s="44"/>
      <c r="TGO44" s="44"/>
      <c r="TGP44" s="44"/>
      <c r="TGQ44" s="44"/>
      <c r="TGR44" s="44"/>
      <c r="TGS44" s="44"/>
      <c r="TGT44" s="44"/>
      <c r="TGU44" s="44"/>
      <c r="TGV44" s="44"/>
      <c r="TGW44" s="44"/>
      <c r="TGX44" s="44"/>
      <c r="TGY44" s="44"/>
      <c r="TGZ44" s="44"/>
      <c r="THA44" s="44"/>
      <c r="THB44" s="44"/>
      <c r="THC44" s="44"/>
      <c r="THD44" s="44"/>
      <c r="THE44" s="44"/>
      <c r="THF44" s="44"/>
      <c r="THG44" s="44"/>
      <c r="THH44" s="44"/>
      <c r="THI44" s="44"/>
      <c r="THJ44" s="44"/>
      <c r="THK44" s="44"/>
      <c r="THL44" s="44"/>
      <c r="THM44" s="44"/>
      <c r="THN44" s="44"/>
      <c r="THO44" s="44"/>
      <c r="THP44" s="44"/>
      <c r="THQ44" s="44"/>
      <c r="THR44" s="44"/>
      <c r="THS44" s="44"/>
      <c r="THT44" s="44"/>
      <c r="THU44" s="44"/>
      <c r="THV44" s="44"/>
      <c r="THW44" s="44"/>
      <c r="THX44" s="44"/>
      <c r="THY44" s="44"/>
      <c r="THZ44" s="44"/>
      <c r="TIA44" s="44"/>
      <c r="TIB44" s="44"/>
      <c r="TIC44" s="44"/>
      <c r="TID44" s="44"/>
      <c r="TIE44" s="44"/>
      <c r="TIF44" s="44"/>
      <c r="TIG44" s="44"/>
      <c r="TIH44" s="44"/>
      <c r="TII44" s="44"/>
      <c r="TIJ44" s="44"/>
      <c r="TIK44" s="44"/>
      <c r="TIL44" s="44"/>
      <c r="TIM44" s="44"/>
      <c r="TIN44" s="44"/>
      <c r="TIO44" s="44"/>
      <c r="TIP44" s="44"/>
      <c r="TIQ44" s="44"/>
      <c r="TIR44" s="44"/>
      <c r="TIS44" s="44"/>
      <c r="TIT44" s="44"/>
      <c r="TIU44" s="44"/>
      <c r="TIV44" s="44"/>
      <c r="TIW44" s="44"/>
      <c r="TIX44" s="44"/>
      <c r="TIY44" s="44"/>
      <c r="TIZ44" s="44"/>
      <c r="TJA44" s="44"/>
      <c r="TJB44" s="44"/>
      <c r="TJC44" s="44"/>
      <c r="TJD44" s="44"/>
      <c r="TJE44" s="44"/>
      <c r="TJF44" s="44"/>
      <c r="TJG44" s="44"/>
      <c r="TJH44" s="44"/>
      <c r="TJI44" s="44"/>
      <c r="TJJ44" s="44"/>
      <c r="TJK44" s="44"/>
      <c r="TJL44" s="44"/>
      <c r="TJM44" s="44"/>
      <c r="TJN44" s="44"/>
      <c r="TJO44" s="44"/>
      <c r="TJP44" s="44"/>
      <c r="TJQ44" s="44"/>
      <c r="TJR44" s="44"/>
      <c r="TJS44" s="44"/>
      <c r="TJT44" s="44"/>
      <c r="TJU44" s="44"/>
      <c r="TJV44" s="44"/>
      <c r="TJW44" s="44"/>
      <c r="TJX44" s="44"/>
      <c r="TJY44" s="44"/>
      <c r="TJZ44" s="44"/>
      <c r="TKA44" s="44"/>
      <c r="TKB44" s="44"/>
      <c r="TKC44" s="44"/>
      <c r="TKD44" s="44"/>
      <c r="TKE44" s="44"/>
      <c r="TKF44" s="44"/>
      <c r="TKG44" s="44"/>
      <c r="TKH44" s="44"/>
      <c r="TKI44" s="44"/>
      <c r="TKJ44" s="44"/>
      <c r="TKK44" s="44"/>
      <c r="TKL44" s="44"/>
      <c r="TKM44" s="44"/>
      <c r="TKN44" s="44"/>
      <c r="TKO44" s="44"/>
      <c r="TKP44" s="44"/>
      <c r="TKQ44" s="44"/>
      <c r="TKR44" s="44"/>
      <c r="TKS44" s="44"/>
      <c r="TKT44" s="44"/>
      <c r="TKU44" s="44"/>
      <c r="TKV44" s="44"/>
      <c r="TKW44" s="44"/>
      <c r="TKX44" s="44"/>
      <c r="TKY44" s="44"/>
      <c r="TKZ44" s="44"/>
      <c r="TLA44" s="44"/>
      <c r="TLB44" s="44"/>
      <c r="TLC44" s="44"/>
      <c r="TLD44" s="44"/>
      <c r="TLE44" s="44"/>
      <c r="TLF44" s="44"/>
      <c r="TLG44" s="44"/>
      <c r="TLH44" s="44"/>
      <c r="TLI44" s="44"/>
      <c r="TLJ44" s="44"/>
      <c r="TLK44" s="44"/>
      <c r="TLL44" s="44"/>
      <c r="TLM44" s="44"/>
      <c r="TLN44" s="44"/>
      <c r="TLO44" s="44"/>
      <c r="TLP44" s="44"/>
      <c r="TLQ44" s="44"/>
      <c r="TLR44" s="44"/>
      <c r="TLS44" s="44"/>
      <c r="TLT44" s="44"/>
      <c r="TLU44" s="44"/>
      <c r="TLV44" s="44"/>
      <c r="TLW44" s="44"/>
      <c r="TLX44" s="44"/>
      <c r="TLY44" s="44"/>
      <c r="TLZ44" s="44"/>
      <c r="TMA44" s="44"/>
      <c r="TMB44" s="44"/>
      <c r="TMC44" s="44"/>
      <c r="TMD44" s="44"/>
      <c r="TME44" s="44"/>
      <c r="TMF44" s="44"/>
      <c r="TMG44" s="44"/>
      <c r="TMH44" s="44"/>
      <c r="TMI44" s="44"/>
      <c r="TMJ44" s="44"/>
      <c r="TMK44" s="44"/>
      <c r="TML44" s="44"/>
      <c r="TMM44" s="44"/>
      <c r="TMN44" s="44"/>
      <c r="TMO44" s="44"/>
      <c r="TMP44" s="44"/>
      <c r="TMQ44" s="44"/>
      <c r="TMR44" s="44"/>
      <c r="TMS44" s="44"/>
      <c r="TMT44" s="44"/>
      <c r="TMU44" s="44"/>
      <c r="TMV44" s="44"/>
      <c r="TMW44" s="44"/>
      <c r="TMX44" s="44"/>
      <c r="TMY44" s="44"/>
      <c r="TMZ44" s="44"/>
      <c r="TNA44" s="44"/>
      <c r="TNB44" s="44"/>
      <c r="TNC44" s="44"/>
      <c r="TND44" s="44"/>
      <c r="TNE44" s="44"/>
      <c r="TNF44" s="44"/>
      <c r="TNG44" s="44"/>
      <c r="TNH44" s="44"/>
      <c r="TNI44" s="44"/>
      <c r="TNJ44" s="44"/>
      <c r="TNK44" s="44"/>
      <c r="TNL44" s="44"/>
      <c r="TNM44" s="44"/>
      <c r="TNN44" s="44"/>
      <c r="TNO44" s="44"/>
      <c r="TNP44" s="44"/>
      <c r="TNQ44" s="44"/>
      <c r="TNR44" s="44"/>
      <c r="TNS44" s="44"/>
      <c r="TNT44" s="44"/>
      <c r="TNU44" s="44"/>
      <c r="TNV44" s="44"/>
      <c r="TNW44" s="44"/>
      <c r="TNX44" s="44"/>
      <c r="TNY44" s="44"/>
      <c r="TNZ44" s="44"/>
      <c r="TOA44" s="44"/>
      <c r="TOB44" s="44"/>
      <c r="TOC44" s="44"/>
      <c r="TOD44" s="44"/>
      <c r="TOE44" s="44"/>
      <c r="TOF44" s="44"/>
      <c r="TOG44" s="44"/>
      <c r="TOH44" s="44"/>
      <c r="TOI44" s="44"/>
      <c r="TOJ44" s="44"/>
      <c r="TOK44" s="44"/>
      <c r="TOL44" s="44"/>
      <c r="TOM44" s="44"/>
      <c r="TON44" s="44"/>
      <c r="TOO44" s="44"/>
      <c r="TOP44" s="44"/>
      <c r="TOQ44" s="44"/>
      <c r="TOR44" s="44"/>
      <c r="TOS44" s="44"/>
      <c r="TOT44" s="44"/>
      <c r="TOU44" s="44"/>
      <c r="TOV44" s="44"/>
      <c r="TOW44" s="44"/>
      <c r="TOX44" s="44"/>
      <c r="TOY44" s="44"/>
      <c r="TOZ44" s="44"/>
      <c r="TPA44" s="44"/>
      <c r="TPB44" s="44"/>
      <c r="TPC44" s="44"/>
      <c r="TPD44" s="44"/>
      <c r="TPE44" s="44"/>
      <c r="TPF44" s="44"/>
      <c r="TPG44" s="44"/>
      <c r="TPH44" s="44"/>
      <c r="TPI44" s="44"/>
      <c r="TPJ44" s="44"/>
      <c r="TPK44" s="44"/>
      <c r="TPL44" s="44"/>
      <c r="TPM44" s="44"/>
      <c r="TPN44" s="44"/>
      <c r="TPO44" s="44"/>
      <c r="TPP44" s="44"/>
      <c r="TPQ44" s="44"/>
      <c r="TPR44" s="44"/>
      <c r="TPS44" s="44"/>
      <c r="TPT44" s="44"/>
      <c r="TPU44" s="44"/>
      <c r="TPV44" s="44"/>
      <c r="TPW44" s="44"/>
      <c r="TPX44" s="44"/>
      <c r="TPY44" s="44"/>
      <c r="TPZ44" s="44"/>
      <c r="TQA44" s="44"/>
      <c r="TQB44" s="44"/>
      <c r="TQC44" s="44"/>
      <c r="TQD44" s="44"/>
      <c r="TQE44" s="44"/>
      <c r="TQF44" s="44"/>
      <c r="TQG44" s="44"/>
      <c r="TQH44" s="44"/>
      <c r="TQI44" s="44"/>
      <c r="TQJ44" s="44"/>
      <c r="TQK44" s="44"/>
      <c r="TQL44" s="44"/>
      <c r="TQM44" s="44"/>
      <c r="TQN44" s="44"/>
      <c r="TQO44" s="44"/>
      <c r="TQP44" s="44"/>
      <c r="TQQ44" s="44"/>
      <c r="TQR44" s="44"/>
      <c r="TQS44" s="44"/>
      <c r="TQT44" s="44"/>
      <c r="TQU44" s="44"/>
      <c r="TQV44" s="44"/>
      <c r="TQW44" s="44"/>
      <c r="TQX44" s="44"/>
      <c r="TQY44" s="44"/>
      <c r="TQZ44" s="44"/>
      <c r="TRA44" s="44"/>
      <c r="TRB44" s="44"/>
      <c r="TRC44" s="44"/>
      <c r="TRD44" s="44"/>
      <c r="TRE44" s="44"/>
      <c r="TRF44" s="44"/>
      <c r="TRG44" s="44"/>
      <c r="TRH44" s="44"/>
      <c r="TRI44" s="44"/>
      <c r="TRJ44" s="44"/>
      <c r="TRK44" s="44"/>
      <c r="TRL44" s="44"/>
      <c r="TRM44" s="44"/>
      <c r="TRN44" s="44"/>
      <c r="TRO44" s="44"/>
      <c r="TRP44" s="44"/>
      <c r="TRQ44" s="44"/>
      <c r="TRR44" s="44"/>
      <c r="TRS44" s="44"/>
      <c r="TRT44" s="44"/>
      <c r="TRU44" s="44"/>
      <c r="TRV44" s="44"/>
      <c r="TRW44" s="44"/>
      <c r="TRX44" s="44"/>
      <c r="TRY44" s="44"/>
      <c r="TRZ44" s="44"/>
      <c r="TSA44" s="44"/>
      <c r="TSB44" s="44"/>
      <c r="TSC44" s="44"/>
      <c r="TSD44" s="44"/>
      <c r="TSE44" s="44"/>
      <c r="TSF44" s="44"/>
      <c r="TSG44" s="44"/>
      <c r="TSH44" s="44"/>
      <c r="TSI44" s="44"/>
      <c r="TSJ44" s="44"/>
      <c r="TSK44" s="44"/>
      <c r="TSL44" s="44"/>
      <c r="TSM44" s="44"/>
      <c r="TSN44" s="44"/>
      <c r="TSO44" s="44"/>
      <c r="TSP44" s="44"/>
      <c r="TSQ44" s="44"/>
      <c r="TSR44" s="44"/>
      <c r="TSS44" s="44"/>
      <c r="TST44" s="44"/>
      <c r="TSU44" s="44"/>
      <c r="TSV44" s="44"/>
      <c r="TSW44" s="44"/>
      <c r="TSX44" s="44"/>
      <c r="TSY44" s="44"/>
      <c r="TSZ44" s="44"/>
      <c r="TTA44" s="44"/>
      <c r="TTB44" s="44"/>
      <c r="TTC44" s="44"/>
      <c r="TTD44" s="44"/>
      <c r="TTE44" s="44"/>
      <c r="TTF44" s="44"/>
      <c r="TTG44" s="44"/>
      <c r="TTH44" s="44"/>
      <c r="TTI44" s="44"/>
      <c r="TTJ44" s="44"/>
      <c r="TTK44" s="44"/>
      <c r="TTL44" s="44"/>
      <c r="TTM44" s="44"/>
      <c r="TTN44" s="44"/>
      <c r="TTO44" s="44"/>
      <c r="TTP44" s="44"/>
      <c r="TTQ44" s="44"/>
      <c r="TTR44" s="44"/>
      <c r="TTS44" s="44"/>
      <c r="TTT44" s="44"/>
      <c r="TTU44" s="44"/>
      <c r="TTV44" s="44"/>
      <c r="TTW44" s="44"/>
      <c r="TTX44" s="44"/>
      <c r="TTY44" s="44"/>
      <c r="TTZ44" s="44"/>
      <c r="TUA44" s="44"/>
      <c r="TUB44" s="44"/>
      <c r="TUC44" s="44"/>
      <c r="TUD44" s="44"/>
      <c r="TUE44" s="44"/>
      <c r="TUF44" s="44"/>
      <c r="TUG44" s="44"/>
      <c r="TUH44" s="44"/>
      <c r="TUI44" s="44"/>
      <c r="TUJ44" s="44"/>
      <c r="TUK44" s="44"/>
      <c r="TUL44" s="44"/>
      <c r="TUM44" s="44"/>
      <c r="TUN44" s="44"/>
      <c r="TUO44" s="44"/>
      <c r="TUP44" s="44"/>
      <c r="TUQ44" s="44"/>
      <c r="TUR44" s="44"/>
      <c r="TUS44" s="44"/>
      <c r="TUT44" s="44"/>
      <c r="TUU44" s="44"/>
      <c r="TUV44" s="44"/>
      <c r="TUW44" s="44"/>
      <c r="TUX44" s="44"/>
      <c r="TUY44" s="44"/>
      <c r="TUZ44" s="44"/>
      <c r="TVA44" s="44"/>
      <c r="TVB44" s="44"/>
      <c r="TVC44" s="44"/>
      <c r="TVD44" s="44"/>
      <c r="TVE44" s="44"/>
      <c r="TVF44" s="44"/>
      <c r="TVG44" s="44"/>
      <c r="TVH44" s="44"/>
      <c r="TVI44" s="44"/>
      <c r="TVJ44" s="44"/>
      <c r="TVK44" s="44"/>
      <c r="TVL44" s="44"/>
      <c r="TVM44" s="44"/>
      <c r="TVN44" s="44"/>
      <c r="TVO44" s="44"/>
      <c r="TVP44" s="44"/>
      <c r="TVQ44" s="44"/>
      <c r="TVR44" s="44"/>
      <c r="TVS44" s="44"/>
      <c r="TVT44" s="44"/>
      <c r="TVU44" s="44"/>
      <c r="TVV44" s="44"/>
      <c r="TVW44" s="44"/>
      <c r="TVX44" s="44"/>
      <c r="TVY44" s="44"/>
      <c r="TVZ44" s="44"/>
      <c r="TWA44" s="44"/>
      <c r="TWB44" s="44"/>
      <c r="TWC44" s="44"/>
      <c r="TWD44" s="44"/>
      <c r="TWE44" s="44"/>
      <c r="TWF44" s="44"/>
      <c r="TWG44" s="44"/>
      <c r="TWH44" s="44"/>
      <c r="TWI44" s="44"/>
      <c r="TWJ44" s="44"/>
      <c r="TWK44" s="44"/>
      <c r="TWL44" s="44"/>
      <c r="TWM44" s="44"/>
      <c r="TWN44" s="44"/>
      <c r="TWO44" s="44"/>
      <c r="TWP44" s="44"/>
      <c r="TWQ44" s="44"/>
      <c r="TWR44" s="44"/>
      <c r="TWS44" s="44"/>
      <c r="TWT44" s="44"/>
      <c r="TWU44" s="44"/>
      <c r="TWV44" s="44"/>
      <c r="TWW44" s="44"/>
      <c r="TWX44" s="44"/>
      <c r="TWY44" s="44"/>
      <c r="TWZ44" s="44"/>
      <c r="TXA44" s="44"/>
      <c r="TXB44" s="44"/>
      <c r="TXC44" s="44"/>
      <c r="TXD44" s="44"/>
      <c r="TXE44" s="44"/>
      <c r="TXF44" s="44"/>
      <c r="TXG44" s="44"/>
      <c r="TXH44" s="44"/>
      <c r="TXI44" s="44"/>
      <c r="TXJ44" s="44"/>
      <c r="TXK44" s="44"/>
      <c r="TXL44" s="44"/>
      <c r="TXM44" s="44"/>
      <c r="TXN44" s="44"/>
      <c r="TXO44" s="44"/>
      <c r="TXP44" s="44"/>
      <c r="TXQ44" s="44"/>
      <c r="TXR44" s="44"/>
      <c r="TXS44" s="44"/>
      <c r="TXT44" s="44"/>
      <c r="TXU44" s="44"/>
      <c r="TXV44" s="44"/>
      <c r="TXW44" s="44"/>
      <c r="TXX44" s="44"/>
      <c r="TXY44" s="44"/>
      <c r="TXZ44" s="44"/>
      <c r="TYA44" s="44"/>
      <c r="TYB44" s="44"/>
      <c r="TYC44" s="44"/>
      <c r="TYD44" s="44"/>
      <c r="TYE44" s="44"/>
      <c r="TYF44" s="44"/>
      <c r="TYG44" s="44"/>
      <c r="TYH44" s="44"/>
      <c r="TYI44" s="44"/>
      <c r="TYJ44" s="44"/>
      <c r="TYK44" s="44"/>
      <c r="TYL44" s="44"/>
      <c r="TYM44" s="44"/>
      <c r="TYN44" s="44"/>
      <c r="TYO44" s="44"/>
      <c r="TYP44" s="44"/>
      <c r="TYQ44" s="44"/>
      <c r="TYR44" s="44"/>
      <c r="TYS44" s="44"/>
      <c r="TYT44" s="44"/>
      <c r="TYU44" s="44"/>
      <c r="TYV44" s="44"/>
      <c r="TYW44" s="44"/>
      <c r="TYX44" s="44"/>
      <c r="TYY44" s="44"/>
      <c r="TYZ44" s="44"/>
      <c r="TZA44" s="44"/>
      <c r="TZB44" s="44"/>
      <c r="TZC44" s="44"/>
      <c r="TZD44" s="44"/>
      <c r="TZE44" s="44"/>
      <c r="TZF44" s="44"/>
      <c r="TZG44" s="44"/>
      <c r="TZH44" s="44"/>
      <c r="TZI44" s="44"/>
      <c r="TZJ44" s="44"/>
      <c r="TZK44" s="44"/>
      <c r="TZL44" s="44"/>
      <c r="TZM44" s="44"/>
      <c r="TZN44" s="44"/>
      <c r="TZO44" s="44"/>
      <c r="TZP44" s="44"/>
      <c r="TZQ44" s="44"/>
      <c r="TZR44" s="44"/>
      <c r="TZS44" s="44"/>
      <c r="TZT44" s="44"/>
      <c r="TZU44" s="44"/>
      <c r="TZV44" s="44"/>
      <c r="TZW44" s="44"/>
      <c r="TZX44" s="44"/>
      <c r="TZY44" s="44"/>
      <c r="TZZ44" s="44"/>
      <c r="UAA44" s="44"/>
      <c r="UAB44" s="44"/>
      <c r="UAC44" s="44"/>
      <c r="UAD44" s="44"/>
      <c r="UAE44" s="44"/>
      <c r="UAF44" s="44"/>
      <c r="UAG44" s="44"/>
      <c r="UAH44" s="44"/>
      <c r="UAI44" s="44"/>
      <c r="UAJ44" s="44"/>
      <c r="UAK44" s="44"/>
      <c r="UAL44" s="44"/>
      <c r="UAM44" s="44"/>
      <c r="UAN44" s="44"/>
      <c r="UAO44" s="44"/>
      <c r="UAP44" s="44"/>
      <c r="UAQ44" s="44"/>
      <c r="UAR44" s="44"/>
      <c r="UAS44" s="44"/>
      <c r="UAT44" s="44"/>
      <c r="UAU44" s="44"/>
      <c r="UAV44" s="44"/>
      <c r="UAW44" s="44"/>
      <c r="UAX44" s="44"/>
      <c r="UAY44" s="44"/>
      <c r="UAZ44" s="44"/>
      <c r="UBA44" s="44"/>
      <c r="UBB44" s="44"/>
      <c r="UBC44" s="44"/>
      <c r="UBD44" s="44"/>
      <c r="UBE44" s="44"/>
      <c r="UBF44" s="44"/>
      <c r="UBG44" s="44"/>
      <c r="UBH44" s="44"/>
      <c r="UBI44" s="44"/>
      <c r="UBJ44" s="44"/>
      <c r="UBK44" s="44"/>
      <c r="UBL44" s="44"/>
      <c r="UBM44" s="44"/>
      <c r="UBN44" s="44"/>
      <c r="UBO44" s="44"/>
      <c r="UBP44" s="44"/>
      <c r="UBQ44" s="44"/>
      <c r="UBR44" s="44"/>
      <c r="UBS44" s="44"/>
      <c r="UBT44" s="44"/>
      <c r="UBU44" s="44"/>
      <c r="UBV44" s="44"/>
      <c r="UBW44" s="44"/>
      <c r="UBX44" s="44"/>
      <c r="UBY44" s="44"/>
      <c r="UBZ44" s="44"/>
      <c r="UCA44" s="44"/>
      <c r="UCB44" s="44"/>
      <c r="UCC44" s="44"/>
      <c r="UCD44" s="44"/>
      <c r="UCE44" s="44"/>
      <c r="UCF44" s="44"/>
      <c r="UCG44" s="44"/>
      <c r="UCH44" s="44"/>
      <c r="UCI44" s="44"/>
      <c r="UCJ44" s="44"/>
      <c r="UCK44" s="44"/>
      <c r="UCL44" s="44"/>
      <c r="UCM44" s="44"/>
      <c r="UCN44" s="44"/>
      <c r="UCO44" s="44"/>
      <c r="UCP44" s="44"/>
      <c r="UCQ44" s="44"/>
      <c r="UCR44" s="44"/>
      <c r="UCS44" s="44"/>
      <c r="UCT44" s="44"/>
      <c r="UCU44" s="44"/>
      <c r="UCV44" s="44"/>
      <c r="UCW44" s="44"/>
      <c r="UCX44" s="44"/>
      <c r="UCY44" s="44"/>
      <c r="UCZ44" s="44"/>
      <c r="UDA44" s="44"/>
      <c r="UDB44" s="44"/>
      <c r="UDC44" s="44"/>
      <c r="UDD44" s="44"/>
      <c r="UDE44" s="44"/>
      <c r="UDF44" s="44"/>
      <c r="UDG44" s="44"/>
      <c r="UDH44" s="44"/>
      <c r="UDI44" s="44"/>
      <c r="UDJ44" s="44"/>
      <c r="UDK44" s="44"/>
      <c r="UDL44" s="44"/>
      <c r="UDM44" s="44"/>
      <c r="UDN44" s="44"/>
      <c r="UDO44" s="44"/>
      <c r="UDP44" s="44"/>
      <c r="UDQ44" s="44"/>
      <c r="UDR44" s="44"/>
      <c r="UDS44" s="44"/>
      <c r="UDT44" s="44"/>
      <c r="UDU44" s="44"/>
      <c r="UDV44" s="44"/>
      <c r="UDW44" s="44"/>
      <c r="UDX44" s="44"/>
      <c r="UDY44" s="44"/>
      <c r="UDZ44" s="44"/>
      <c r="UEA44" s="44"/>
      <c r="UEB44" s="44"/>
      <c r="UEC44" s="44"/>
      <c r="UED44" s="44"/>
      <c r="UEE44" s="44"/>
      <c r="UEF44" s="44"/>
      <c r="UEG44" s="44"/>
      <c r="UEH44" s="44"/>
      <c r="UEI44" s="44"/>
      <c r="UEJ44" s="44"/>
      <c r="UEK44" s="44"/>
      <c r="UEL44" s="44"/>
      <c r="UEM44" s="44"/>
      <c r="UEN44" s="44"/>
      <c r="UEO44" s="44"/>
      <c r="UEP44" s="44"/>
      <c r="UEQ44" s="44"/>
      <c r="UER44" s="44"/>
      <c r="UES44" s="44"/>
      <c r="UET44" s="44"/>
      <c r="UEU44" s="44"/>
      <c r="UEV44" s="44"/>
      <c r="UEW44" s="44"/>
      <c r="UEX44" s="44"/>
      <c r="UEY44" s="44"/>
      <c r="UEZ44" s="44"/>
      <c r="UFA44" s="44"/>
      <c r="UFB44" s="44"/>
      <c r="UFC44" s="44"/>
      <c r="UFD44" s="44"/>
      <c r="UFE44" s="44"/>
      <c r="UFF44" s="44"/>
      <c r="UFG44" s="44"/>
      <c r="UFH44" s="44"/>
      <c r="UFI44" s="44"/>
      <c r="UFJ44" s="44"/>
      <c r="UFK44" s="44"/>
      <c r="UFL44" s="44"/>
      <c r="UFM44" s="44"/>
      <c r="UFN44" s="44"/>
      <c r="UFO44" s="44"/>
      <c r="UFP44" s="44"/>
      <c r="UFQ44" s="44"/>
      <c r="UFR44" s="44"/>
      <c r="UFS44" s="44"/>
      <c r="UFT44" s="44"/>
      <c r="UFU44" s="44"/>
      <c r="UFV44" s="44"/>
      <c r="UFW44" s="44"/>
      <c r="UFX44" s="44"/>
      <c r="UFY44" s="44"/>
      <c r="UFZ44" s="44"/>
      <c r="UGA44" s="44"/>
      <c r="UGB44" s="44"/>
      <c r="UGC44" s="44"/>
      <c r="UGD44" s="44"/>
      <c r="UGE44" s="44"/>
      <c r="UGF44" s="44"/>
      <c r="UGG44" s="44"/>
      <c r="UGH44" s="44"/>
      <c r="UGI44" s="44"/>
      <c r="UGJ44" s="44"/>
      <c r="UGK44" s="44"/>
      <c r="UGL44" s="44"/>
      <c r="UGM44" s="44"/>
      <c r="UGN44" s="44"/>
      <c r="UGO44" s="44"/>
      <c r="UGP44" s="44"/>
      <c r="UGQ44" s="44"/>
      <c r="UGR44" s="44"/>
      <c r="UGS44" s="44"/>
      <c r="UGT44" s="44"/>
      <c r="UGU44" s="44"/>
      <c r="UGV44" s="44"/>
      <c r="UGW44" s="44"/>
      <c r="UGX44" s="44"/>
      <c r="UGY44" s="44"/>
      <c r="UGZ44" s="44"/>
      <c r="UHA44" s="44"/>
      <c r="UHB44" s="44"/>
      <c r="UHC44" s="44"/>
      <c r="UHD44" s="44"/>
      <c r="UHE44" s="44"/>
      <c r="UHF44" s="44"/>
      <c r="UHG44" s="44"/>
      <c r="UHH44" s="44"/>
      <c r="UHI44" s="44"/>
      <c r="UHJ44" s="44"/>
      <c r="UHK44" s="44"/>
      <c r="UHL44" s="44"/>
      <c r="UHM44" s="44"/>
      <c r="UHN44" s="44"/>
      <c r="UHO44" s="44"/>
      <c r="UHP44" s="44"/>
      <c r="UHQ44" s="44"/>
      <c r="UHR44" s="44"/>
      <c r="UHS44" s="44"/>
      <c r="UHT44" s="44"/>
      <c r="UHU44" s="44"/>
      <c r="UHV44" s="44"/>
      <c r="UHW44" s="44"/>
      <c r="UHX44" s="44"/>
      <c r="UHY44" s="44"/>
      <c r="UHZ44" s="44"/>
      <c r="UIA44" s="44"/>
      <c r="UIB44" s="44"/>
      <c r="UIC44" s="44"/>
      <c r="UID44" s="44"/>
      <c r="UIE44" s="44"/>
      <c r="UIF44" s="44"/>
      <c r="UIG44" s="44"/>
      <c r="UIH44" s="44"/>
      <c r="UII44" s="44"/>
      <c r="UIJ44" s="44"/>
      <c r="UIK44" s="44"/>
      <c r="UIL44" s="44"/>
      <c r="UIM44" s="44"/>
      <c r="UIN44" s="44"/>
      <c r="UIO44" s="44"/>
      <c r="UIP44" s="44"/>
      <c r="UIQ44" s="44"/>
      <c r="UIR44" s="44"/>
      <c r="UIS44" s="44"/>
      <c r="UIT44" s="44"/>
      <c r="UIU44" s="44"/>
      <c r="UIV44" s="44"/>
      <c r="UIW44" s="44"/>
      <c r="UIX44" s="44"/>
      <c r="UIY44" s="44"/>
      <c r="UIZ44" s="44"/>
      <c r="UJA44" s="44"/>
      <c r="UJB44" s="44"/>
      <c r="UJC44" s="44"/>
      <c r="UJD44" s="44"/>
      <c r="UJE44" s="44"/>
      <c r="UJF44" s="44"/>
      <c r="UJG44" s="44"/>
      <c r="UJH44" s="44"/>
      <c r="UJI44" s="44"/>
      <c r="UJJ44" s="44"/>
      <c r="UJK44" s="44"/>
      <c r="UJL44" s="44"/>
      <c r="UJM44" s="44"/>
      <c r="UJN44" s="44"/>
      <c r="UJO44" s="44"/>
      <c r="UJP44" s="44"/>
      <c r="UJQ44" s="44"/>
      <c r="UJR44" s="44"/>
      <c r="UJS44" s="44"/>
      <c r="UJT44" s="44"/>
      <c r="UJU44" s="44"/>
      <c r="UJV44" s="44"/>
      <c r="UJW44" s="44"/>
      <c r="UJX44" s="44"/>
      <c r="UJY44" s="44"/>
      <c r="UJZ44" s="44"/>
      <c r="UKA44" s="44"/>
      <c r="UKB44" s="44"/>
      <c r="UKC44" s="44"/>
      <c r="UKD44" s="44"/>
      <c r="UKE44" s="44"/>
      <c r="UKF44" s="44"/>
      <c r="UKG44" s="44"/>
      <c r="UKH44" s="44"/>
      <c r="UKI44" s="44"/>
      <c r="UKJ44" s="44"/>
      <c r="UKK44" s="44"/>
      <c r="UKL44" s="44"/>
      <c r="UKM44" s="44"/>
      <c r="UKN44" s="44"/>
      <c r="UKO44" s="44"/>
      <c r="UKP44" s="44"/>
      <c r="UKQ44" s="44"/>
      <c r="UKR44" s="44"/>
      <c r="UKS44" s="44"/>
      <c r="UKT44" s="44"/>
      <c r="UKU44" s="44"/>
      <c r="UKV44" s="44"/>
      <c r="UKW44" s="44"/>
      <c r="UKX44" s="44"/>
      <c r="UKY44" s="44"/>
      <c r="UKZ44" s="44"/>
      <c r="ULA44" s="44"/>
      <c r="ULB44" s="44"/>
      <c r="ULC44" s="44"/>
      <c r="ULD44" s="44"/>
      <c r="ULE44" s="44"/>
      <c r="ULF44" s="44"/>
      <c r="ULG44" s="44"/>
      <c r="ULH44" s="44"/>
      <c r="ULI44" s="44"/>
      <c r="ULJ44" s="44"/>
      <c r="ULK44" s="44"/>
      <c r="ULL44" s="44"/>
      <c r="ULM44" s="44"/>
      <c r="ULN44" s="44"/>
      <c r="ULO44" s="44"/>
      <c r="ULP44" s="44"/>
      <c r="ULQ44" s="44"/>
      <c r="ULR44" s="44"/>
      <c r="ULS44" s="44"/>
      <c r="ULT44" s="44"/>
      <c r="ULU44" s="44"/>
      <c r="ULV44" s="44"/>
      <c r="ULW44" s="44"/>
      <c r="ULX44" s="44"/>
      <c r="ULY44" s="44"/>
      <c r="ULZ44" s="44"/>
      <c r="UMA44" s="44"/>
      <c r="UMB44" s="44"/>
      <c r="UMC44" s="44"/>
      <c r="UMD44" s="44"/>
      <c r="UME44" s="44"/>
      <c r="UMF44" s="44"/>
      <c r="UMG44" s="44"/>
      <c r="UMH44" s="44"/>
      <c r="UMI44" s="44"/>
      <c r="UMJ44" s="44"/>
      <c r="UMK44" s="44"/>
      <c r="UML44" s="44"/>
      <c r="UMM44" s="44"/>
      <c r="UMN44" s="44"/>
      <c r="UMO44" s="44"/>
      <c r="UMP44" s="44"/>
      <c r="UMQ44" s="44"/>
      <c r="UMR44" s="44"/>
      <c r="UMS44" s="44"/>
      <c r="UMT44" s="44"/>
      <c r="UMU44" s="44"/>
      <c r="UMV44" s="44"/>
      <c r="UMW44" s="44"/>
      <c r="UMX44" s="44"/>
      <c r="UMY44" s="44"/>
      <c r="UMZ44" s="44"/>
      <c r="UNA44" s="44"/>
      <c r="UNB44" s="44"/>
      <c r="UNC44" s="44"/>
      <c r="UND44" s="44"/>
      <c r="UNE44" s="44"/>
      <c r="UNF44" s="44"/>
      <c r="UNG44" s="44"/>
      <c r="UNH44" s="44"/>
      <c r="UNI44" s="44"/>
      <c r="UNJ44" s="44"/>
      <c r="UNK44" s="44"/>
      <c r="UNL44" s="44"/>
      <c r="UNM44" s="44"/>
      <c r="UNN44" s="44"/>
      <c r="UNO44" s="44"/>
      <c r="UNP44" s="44"/>
      <c r="UNQ44" s="44"/>
      <c r="UNR44" s="44"/>
      <c r="UNS44" s="44"/>
      <c r="UNT44" s="44"/>
      <c r="UNU44" s="44"/>
      <c r="UNV44" s="44"/>
      <c r="UNW44" s="44"/>
      <c r="UNX44" s="44"/>
      <c r="UNY44" s="44"/>
      <c r="UNZ44" s="44"/>
      <c r="UOA44" s="44"/>
      <c r="UOB44" s="44"/>
      <c r="UOC44" s="44"/>
      <c r="UOD44" s="44"/>
      <c r="UOE44" s="44"/>
      <c r="UOF44" s="44"/>
      <c r="UOG44" s="44"/>
      <c r="UOH44" s="44"/>
      <c r="UOI44" s="44"/>
      <c r="UOJ44" s="44"/>
      <c r="UOK44" s="44"/>
      <c r="UOL44" s="44"/>
      <c r="UOM44" s="44"/>
      <c r="UON44" s="44"/>
      <c r="UOO44" s="44"/>
      <c r="UOP44" s="44"/>
      <c r="UOQ44" s="44"/>
      <c r="UOR44" s="44"/>
      <c r="UOS44" s="44"/>
      <c r="UOT44" s="44"/>
      <c r="UOU44" s="44"/>
      <c r="UOV44" s="44"/>
      <c r="UOW44" s="44"/>
      <c r="UOX44" s="44"/>
      <c r="UOY44" s="44"/>
      <c r="UOZ44" s="44"/>
      <c r="UPA44" s="44"/>
      <c r="UPB44" s="44"/>
      <c r="UPC44" s="44"/>
      <c r="UPD44" s="44"/>
      <c r="UPE44" s="44"/>
      <c r="UPF44" s="44"/>
      <c r="UPG44" s="44"/>
      <c r="UPH44" s="44"/>
      <c r="UPI44" s="44"/>
      <c r="UPJ44" s="44"/>
      <c r="UPK44" s="44"/>
      <c r="UPL44" s="44"/>
      <c r="UPM44" s="44"/>
      <c r="UPN44" s="44"/>
      <c r="UPO44" s="44"/>
      <c r="UPP44" s="44"/>
      <c r="UPQ44" s="44"/>
      <c r="UPR44" s="44"/>
      <c r="UPS44" s="44"/>
      <c r="UPT44" s="44"/>
      <c r="UPU44" s="44"/>
      <c r="UPV44" s="44"/>
      <c r="UPW44" s="44"/>
      <c r="UPX44" s="44"/>
      <c r="UPY44" s="44"/>
      <c r="UPZ44" s="44"/>
      <c r="UQA44" s="44"/>
      <c r="UQB44" s="44"/>
      <c r="UQC44" s="44"/>
      <c r="UQD44" s="44"/>
      <c r="UQE44" s="44"/>
      <c r="UQF44" s="44"/>
      <c r="UQG44" s="44"/>
      <c r="UQH44" s="44"/>
      <c r="UQI44" s="44"/>
      <c r="UQJ44" s="44"/>
      <c r="UQK44" s="44"/>
      <c r="UQL44" s="44"/>
      <c r="UQM44" s="44"/>
      <c r="UQN44" s="44"/>
      <c r="UQO44" s="44"/>
      <c r="UQP44" s="44"/>
      <c r="UQQ44" s="44"/>
      <c r="UQR44" s="44"/>
      <c r="UQS44" s="44"/>
      <c r="UQT44" s="44"/>
      <c r="UQU44" s="44"/>
      <c r="UQV44" s="44"/>
      <c r="UQW44" s="44"/>
      <c r="UQX44" s="44"/>
      <c r="UQY44" s="44"/>
      <c r="UQZ44" s="44"/>
      <c r="URA44" s="44"/>
      <c r="URB44" s="44"/>
      <c r="URC44" s="44"/>
      <c r="URD44" s="44"/>
      <c r="URE44" s="44"/>
      <c r="URF44" s="44"/>
      <c r="URG44" s="44"/>
      <c r="URH44" s="44"/>
      <c r="URI44" s="44"/>
      <c r="URJ44" s="44"/>
      <c r="URK44" s="44"/>
      <c r="URL44" s="44"/>
      <c r="URM44" s="44"/>
      <c r="URN44" s="44"/>
      <c r="URO44" s="44"/>
      <c r="URP44" s="44"/>
      <c r="URQ44" s="44"/>
      <c r="URR44" s="44"/>
      <c r="URS44" s="44"/>
      <c r="URT44" s="44"/>
      <c r="URU44" s="44"/>
      <c r="URV44" s="44"/>
      <c r="URW44" s="44"/>
      <c r="URX44" s="44"/>
      <c r="URY44" s="44"/>
      <c r="URZ44" s="44"/>
      <c r="USA44" s="44"/>
      <c r="USB44" s="44"/>
      <c r="USC44" s="44"/>
      <c r="USD44" s="44"/>
      <c r="USE44" s="44"/>
      <c r="USF44" s="44"/>
      <c r="USG44" s="44"/>
      <c r="USH44" s="44"/>
      <c r="USI44" s="44"/>
      <c r="USJ44" s="44"/>
      <c r="USK44" s="44"/>
      <c r="USL44" s="44"/>
      <c r="USM44" s="44"/>
      <c r="USN44" s="44"/>
      <c r="USO44" s="44"/>
      <c r="USP44" s="44"/>
      <c r="USQ44" s="44"/>
      <c r="USR44" s="44"/>
      <c r="USS44" s="44"/>
      <c r="UST44" s="44"/>
      <c r="USU44" s="44"/>
      <c r="USV44" s="44"/>
      <c r="USW44" s="44"/>
      <c r="USX44" s="44"/>
      <c r="USY44" s="44"/>
      <c r="USZ44" s="44"/>
      <c r="UTA44" s="44"/>
      <c r="UTB44" s="44"/>
      <c r="UTC44" s="44"/>
      <c r="UTD44" s="44"/>
      <c r="UTE44" s="44"/>
      <c r="UTF44" s="44"/>
      <c r="UTG44" s="44"/>
      <c r="UTH44" s="44"/>
      <c r="UTI44" s="44"/>
      <c r="UTJ44" s="44"/>
      <c r="UTK44" s="44"/>
      <c r="UTL44" s="44"/>
      <c r="UTM44" s="44"/>
      <c r="UTN44" s="44"/>
      <c r="UTO44" s="44"/>
      <c r="UTP44" s="44"/>
      <c r="UTQ44" s="44"/>
      <c r="UTR44" s="44"/>
      <c r="UTS44" s="44"/>
      <c r="UTT44" s="44"/>
      <c r="UTU44" s="44"/>
      <c r="UTV44" s="44"/>
      <c r="UTW44" s="44"/>
      <c r="UTX44" s="44"/>
      <c r="UTY44" s="44"/>
      <c r="UTZ44" s="44"/>
      <c r="UUA44" s="44"/>
      <c r="UUB44" s="44"/>
      <c r="UUC44" s="44"/>
      <c r="UUD44" s="44"/>
      <c r="UUE44" s="44"/>
      <c r="UUF44" s="44"/>
      <c r="UUG44" s="44"/>
      <c r="UUH44" s="44"/>
      <c r="UUI44" s="44"/>
      <c r="UUJ44" s="44"/>
      <c r="UUK44" s="44"/>
      <c r="UUL44" s="44"/>
      <c r="UUM44" s="44"/>
      <c r="UUN44" s="44"/>
      <c r="UUO44" s="44"/>
      <c r="UUP44" s="44"/>
      <c r="UUQ44" s="44"/>
      <c r="UUR44" s="44"/>
      <c r="UUS44" s="44"/>
      <c r="UUT44" s="44"/>
      <c r="UUU44" s="44"/>
      <c r="UUV44" s="44"/>
      <c r="UUW44" s="44"/>
      <c r="UUX44" s="44"/>
      <c r="UUY44" s="44"/>
      <c r="UUZ44" s="44"/>
      <c r="UVA44" s="44"/>
      <c r="UVB44" s="44"/>
      <c r="UVC44" s="44"/>
      <c r="UVD44" s="44"/>
      <c r="UVE44" s="44"/>
      <c r="UVF44" s="44"/>
      <c r="UVG44" s="44"/>
      <c r="UVH44" s="44"/>
      <c r="UVI44" s="44"/>
      <c r="UVJ44" s="44"/>
      <c r="UVK44" s="44"/>
      <c r="UVL44" s="44"/>
      <c r="UVM44" s="44"/>
      <c r="UVN44" s="44"/>
      <c r="UVO44" s="44"/>
      <c r="UVP44" s="44"/>
      <c r="UVQ44" s="44"/>
      <c r="UVR44" s="44"/>
      <c r="UVS44" s="44"/>
      <c r="UVT44" s="44"/>
      <c r="UVU44" s="44"/>
      <c r="UVV44" s="44"/>
      <c r="UVW44" s="44"/>
      <c r="UVX44" s="44"/>
      <c r="UVY44" s="44"/>
      <c r="UVZ44" s="44"/>
      <c r="UWA44" s="44"/>
      <c r="UWB44" s="44"/>
      <c r="UWC44" s="44"/>
      <c r="UWD44" s="44"/>
      <c r="UWE44" s="44"/>
      <c r="UWF44" s="44"/>
      <c r="UWG44" s="44"/>
      <c r="UWH44" s="44"/>
      <c r="UWI44" s="44"/>
      <c r="UWJ44" s="44"/>
      <c r="UWK44" s="44"/>
      <c r="UWL44" s="44"/>
      <c r="UWM44" s="44"/>
      <c r="UWN44" s="44"/>
      <c r="UWO44" s="44"/>
      <c r="UWP44" s="44"/>
      <c r="UWQ44" s="44"/>
      <c r="UWR44" s="44"/>
      <c r="UWS44" s="44"/>
      <c r="UWT44" s="44"/>
      <c r="UWU44" s="44"/>
      <c r="UWV44" s="44"/>
      <c r="UWW44" s="44"/>
      <c r="UWX44" s="44"/>
      <c r="UWY44" s="44"/>
      <c r="UWZ44" s="44"/>
      <c r="UXA44" s="44"/>
      <c r="UXB44" s="44"/>
      <c r="UXC44" s="44"/>
      <c r="UXD44" s="44"/>
      <c r="UXE44" s="44"/>
      <c r="UXF44" s="44"/>
      <c r="UXG44" s="44"/>
      <c r="UXH44" s="44"/>
      <c r="UXI44" s="44"/>
      <c r="UXJ44" s="44"/>
      <c r="UXK44" s="44"/>
      <c r="UXL44" s="44"/>
      <c r="UXM44" s="44"/>
      <c r="UXN44" s="44"/>
      <c r="UXO44" s="44"/>
      <c r="UXP44" s="44"/>
      <c r="UXQ44" s="44"/>
      <c r="UXR44" s="44"/>
      <c r="UXS44" s="44"/>
      <c r="UXT44" s="44"/>
      <c r="UXU44" s="44"/>
      <c r="UXV44" s="44"/>
      <c r="UXW44" s="44"/>
      <c r="UXX44" s="44"/>
      <c r="UXY44" s="44"/>
      <c r="UXZ44" s="44"/>
      <c r="UYA44" s="44"/>
      <c r="UYB44" s="44"/>
      <c r="UYC44" s="44"/>
      <c r="UYD44" s="44"/>
      <c r="UYE44" s="44"/>
      <c r="UYF44" s="44"/>
      <c r="UYG44" s="44"/>
      <c r="UYH44" s="44"/>
      <c r="UYI44" s="44"/>
      <c r="UYJ44" s="44"/>
      <c r="UYK44" s="44"/>
      <c r="UYL44" s="44"/>
      <c r="UYM44" s="44"/>
      <c r="UYN44" s="44"/>
      <c r="UYO44" s="44"/>
      <c r="UYP44" s="44"/>
      <c r="UYQ44" s="44"/>
      <c r="UYR44" s="44"/>
      <c r="UYS44" s="44"/>
      <c r="UYT44" s="44"/>
      <c r="UYU44" s="44"/>
      <c r="UYV44" s="44"/>
      <c r="UYW44" s="44"/>
      <c r="UYX44" s="44"/>
      <c r="UYY44" s="44"/>
      <c r="UYZ44" s="44"/>
      <c r="UZA44" s="44"/>
      <c r="UZB44" s="44"/>
      <c r="UZC44" s="44"/>
      <c r="UZD44" s="44"/>
      <c r="UZE44" s="44"/>
      <c r="UZF44" s="44"/>
      <c r="UZG44" s="44"/>
      <c r="UZH44" s="44"/>
      <c r="UZI44" s="44"/>
      <c r="UZJ44" s="44"/>
      <c r="UZK44" s="44"/>
      <c r="UZL44" s="44"/>
      <c r="UZM44" s="44"/>
      <c r="UZN44" s="44"/>
      <c r="UZO44" s="44"/>
      <c r="UZP44" s="44"/>
      <c r="UZQ44" s="44"/>
      <c r="UZR44" s="44"/>
      <c r="UZS44" s="44"/>
      <c r="UZT44" s="44"/>
      <c r="UZU44" s="44"/>
      <c r="UZV44" s="44"/>
      <c r="UZW44" s="44"/>
      <c r="UZX44" s="44"/>
      <c r="UZY44" s="44"/>
      <c r="UZZ44" s="44"/>
      <c r="VAA44" s="44"/>
      <c r="VAB44" s="44"/>
      <c r="VAC44" s="44"/>
      <c r="VAD44" s="44"/>
      <c r="VAE44" s="44"/>
      <c r="VAF44" s="44"/>
      <c r="VAG44" s="44"/>
      <c r="VAH44" s="44"/>
      <c r="VAI44" s="44"/>
      <c r="VAJ44" s="44"/>
      <c r="VAK44" s="44"/>
      <c r="VAL44" s="44"/>
      <c r="VAM44" s="44"/>
      <c r="VAN44" s="44"/>
      <c r="VAO44" s="44"/>
      <c r="VAP44" s="44"/>
      <c r="VAQ44" s="44"/>
      <c r="VAR44" s="44"/>
      <c r="VAS44" s="44"/>
      <c r="VAT44" s="44"/>
      <c r="VAU44" s="44"/>
      <c r="VAV44" s="44"/>
      <c r="VAW44" s="44"/>
      <c r="VAX44" s="44"/>
      <c r="VAY44" s="44"/>
      <c r="VAZ44" s="44"/>
      <c r="VBA44" s="44"/>
      <c r="VBB44" s="44"/>
      <c r="VBC44" s="44"/>
      <c r="VBD44" s="44"/>
      <c r="VBE44" s="44"/>
      <c r="VBF44" s="44"/>
      <c r="VBG44" s="44"/>
      <c r="VBH44" s="44"/>
      <c r="VBI44" s="44"/>
      <c r="VBJ44" s="44"/>
      <c r="VBK44" s="44"/>
      <c r="VBL44" s="44"/>
      <c r="VBM44" s="44"/>
      <c r="VBN44" s="44"/>
      <c r="VBO44" s="44"/>
      <c r="VBP44" s="44"/>
      <c r="VBQ44" s="44"/>
      <c r="VBR44" s="44"/>
      <c r="VBS44" s="44"/>
      <c r="VBT44" s="44"/>
      <c r="VBU44" s="44"/>
      <c r="VBV44" s="44"/>
      <c r="VBW44" s="44"/>
      <c r="VBX44" s="44"/>
      <c r="VBY44" s="44"/>
      <c r="VBZ44" s="44"/>
      <c r="VCA44" s="44"/>
      <c r="VCB44" s="44"/>
      <c r="VCC44" s="44"/>
      <c r="VCD44" s="44"/>
      <c r="VCE44" s="44"/>
      <c r="VCF44" s="44"/>
      <c r="VCG44" s="44"/>
      <c r="VCH44" s="44"/>
      <c r="VCI44" s="44"/>
      <c r="VCJ44" s="44"/>
      <c r="VCK44" s="44"/>
      <c r="VCL44" s="44"/>
      <c r="VCM44" s="44"/>
      <c r="VCN44" s="44"/>
      <c r="VCO44" s="44"/>
      <c r="VCP44" s="44"/>
      <c r="VCQ44" s="44"/>
      <c r="VCR44" s="44"/>
      <c r="VCS44" s="44"/>
      <c r="VCT44" s="44"/>
      <c r="VCU44" s="44"/>
      <c r="VCV44" s="44"/>
      <c r="VCW44" s="44"/>
      <c r="VCX44" s="44"/>
      <c r="VCY44" s="44"/>
      <c r="VCZ44" s="44"/>
      <c r="VDA44" s="44"/>
      <c r="VDB44" s="44"/>
      <c r="VDC44" s="44"/>
      <c r="VDD44" s="44"/>
      <c r="VDE44" s="44"/>
      <c r="VDF44" s="44"/>
      <c r="VDG44" s="44"/>
      <c r="VDH44" s="44"/>
      <c r="VDI44" s="44"/>
      <c r="VDJ44" s="44"/>
      <c r="VDK44" s="44"/>
      <c r="VDL44" s="44"/>
      <c r="VDM44" s="44"/>
      <c r="VDN44" s="44"/>
      <c r="VDO44" s="44"/>
      <c r="VDP44" s="44"/>
      <c r="VDQ44" s="44"/>
      <c r="VDR44" s="44"/>
      <c r="VDS44" s="44"/>
      <c r="VDT44" s="44"/>
      <c r="VDU44" s="44"/>
      <c r="VDV44" s="44"/>
      <c r="VDW44" s="44"/>
      <c r="VDX44" s="44"/>
      <c r="VDY44" s="44"/>
      <c r="VDZ44" s="44"/>
      <c r="VEA44" s="44"/>
      <c r="VEB44" s="44"/>
      <c r="VEC44" s="44"/>
      <c r="VED44" s="44"/>
      <c r="VEE44" s="44"/>
      <c r="VEF44" s="44"/>
      <c r="VEG44" s="44"/>
      <c r="VEH44" s="44"/>
      <c r="VEI44" s="44"/>
      <c r="VEJ44" s="44"/>
      <c r="VEK44" s="44"/>
      <c r="VEL44" s="44"/>
      <c r="VEM44" s="44"/>
      <c r="VEN44" s="44"/>
      <c r="VEO44" s="44"/>
      <c r="VEP44" s="44"/>
      <c r="VEQ44" s="44"/>
      <c r="VER44" s="44"/>
      <c r="VES44" s="44"/>
      <c r="VET44" s="44"/>
      <c r="VEU44" s="44"/>
      <c r="VEV44" s="44"/>
      <c r="VEW44" s="44"/>
      <c r="VEX44" s="44"/>
      <c r="VEY44" s="44"/>
      <c r="VEZ44" s="44"/>
      <c r="VFA44" s="44"/>
      <c r="VFB44" s="44"/>
      <c r="VFC44" s="44"/>
      <c r="VFD44" s="44"/>
      <c r="VFE44" s="44"/>
      <c r="VFF44" s="44"/>
      <c r="VFG44" s="44"/>
      <c r="VFH44" s="44"/>
      <c r="VFI44" s="44"/>
      <c r="VFJ44" s="44"/>
      <c r="VFK44" s="44"/>
      <c r="VFL44" s="44"/>
      <c r="VFM44" s="44"/>
      <c r="VFN44" s="44"/>
      <c r="VFO44" s="44"/>
      <c r="VFP44" s="44"/>
      <c r="VFQ44" s="44"/>
      <c r="VFR44" s="44"/>
      <c r="VFS44" s="44"/>
      <c r="VFT44" s="44"/>
      <c r="VFU44" s="44"/>
      <c r="VFV44" s="44"/>
      <c r="VFW44" s="44"/>
      <c r="VFX44" s="44"/>
      <c r="VFY44" s="44"/>
      <c r="VFZ44" s="44"/>
      <c r="VGA44" s="44"/>
      <c r="VGB44" s="44"/>
      <c r="VGC44" s="44"/>
      <c r="VGD44" s="44"/>
      <c r="VGE44" s="44"/>
      <c r="VGF44" s="44"/>
      <c r="VGG44" s="44"/>
      <c r="VGH44" s="44"/>
      <c r="VGI44" s="44"/>
      <c r="VGJ44" s="44"/>
      <c r="VGK44" s="44"/>
      <c r="VGL44" s="44"/>
      <c r="VGM44" s="44"/>
      <c r="VGN44" s="44"/>
      <c r="VGO44" s="44"/>
      <c r="VGP44" s="44"/>
      <c r="VGQ44" s="44"/>
      <c r="VGR44" s="44"/>
      <c r="VGS44" s="44"/>
      <c r="VGT44" s="44"/>
      <c r="VGU44" s="44"/>
      <c r="VGV44" s="44"/>
      <c r="VGW44" s="44"/>
      <c r="VGX44" s="44"/>
      <c r="VGY44" s="44"/>
      <c r="VGZ44" s="44"/>
      <c r="VHA44" s="44"/>
      <c r="VHB44" s="44"/>
      <c r="VHC44" s="44"/>
      <c r="VHD44" s="44"/>
      <c r="VHE44" s="44"/>
      <c r="VHF44" s="44"/>
      <c r="VHG44" s="44"/>
      <c r="VHH44" s="44"/>
      <c r="VHI44" s="44"/>
      <c r="VHJ44" s="44"/>
      <c r="VHK44" s="44"/>
      <c r="VHL44" s="44"/>
      <c r="VHM44" s="44"/>
      <c r="VHN44" s="44"/>
      <c r="VHO44" s="44"/>
      <c r="VHP44" s="44"/>
      <c r="VHQ44" s="44"/>
      <c r="VHR44" s="44"/>
      <c r="VHS44" s="44"/>
      <c r="VHT44" s="44"/>
      <c r="VHU44" s="44"/>
      <c r="VHV44" s="44"/>
      <c r="VHW44" s="44"/>
      <c r="VHX44" s="44"/>
      <c r="VHY44" s="44"/>
      <c r="VHZ44" s="44"/>
      <c r="VIA44" s="44"/>
      <c r="VIB44" s="44"/>
      <c r="VIC44" s="44"/>
      <c r="VID44" s="44"/>
      <c r="VIE44" s="44"/>
      <c r="VIF44" s="44"/>
      <c r="VIG44" s="44"/>
      <c r="VIH44" s="44"/>
      <c r="VII44" s="44"/>
      <c r="VIJ44" s="44"/>
      <c r="VIK44" s="44"/>
      <c r="VIL44" s="44"/>
      <c r="VIM44" s="44"/>
      <c r="VIN44" s="44"/>
      <c r="VIO44" s="44"/>
      <c r="VIP44" s="44"/>
      <c r="VIQ44" s="44"/>
      <c r="VIR44" s="44"/>
      <c r="VIS44" s="44"/>
      <c r="VIT44" s="44"/>
      <c r="VIU44" s="44"/>
      <c r="VIV44" s="44"/>
      <c r="VIW44" s="44"/>
      <c r="VIX44" s="44"/>
      <c r="VIY44" s="44"/>
      <c r="VIZ44" s="44"/>
      <c r="VJA44" s="44"/>
      <c r="VJB44" s="44"/>
      <c r="VJC44" s="44"/>
      <c r="VJD44" s="44"/>
      <c r="VJE44" s="44"/>
      <c r="VJF44" s="44"/>
      <c r="VJG44" s="44"/>
      <c r="VJH44" s="44"/>
      <c r="VJI44" s="44"/>
      <c r="VJJ44" s="44"/>
      <c r="VJK44" s="44"/>
      <c r="VJL44" s="44"/>
      <c r="VJM44" s="44"/>
      <c r="VJN44" s="44"/>
      <c r="VJO44" s="44"/>
      <c r="VJP44" s="44"/>
      <c r="VJQ44" s="44"/>
      <c r="VJR44" s="44"/>
      <c r="VJS44" s="44"/>
      <c r="VJT44" s="44"/>
      <c r="VJU44" s="44"/>
      <c r="VJV44" s="44"/>
      <c r="VJW44" s="44"/>
      <c r="VJX44" s="44"/>
      <c r="VJY44" s="44"/>
      <c r="VJZ44" s="44"/>
      <c r="VKA44" s="44"/>
      <c r="VKB44" s="44"/>
      <c r="VKC44" s="44"/>
      <c r="VKD44" s="44"/>
      <c r="VKE44" s="44"/>
      <c r="VKF44" s="44"/>
      <c r="VKG44" s="44"/>
      <c r="VKH44" s="44"/>
      <c r="VKI44" s="44"/>
      <c r="VKJ44" s="44"/>
      <c r="VKK44" s="44"/>
      <c r="VKL44" s="44"/>
      <c r="VKM44" s="44"/>
      <c r="VKN44" s="44"/>
      <c r="VKO44" s="44"/>
      <c r="VKP44" s="44"/>
      <c r="VKQ44" s="44"/>
      <c r="VKR44" s="44"/>
      <c r="VKS44" s="44"/>
      <c r="VKT44" s="44"/>
      <c r="VKU44" s="44"/>
      <c r="VKV44" s="44"/>
      <c r="VKW44" s="44"/>
      <c r="VKX44" s="44"/>
      <c r="VKY44" s="44"/>
      <c r="VKZ44" s="44"/>
      <c r="VLA44" s="44"/>
      <c r="VLB44" s="44"/>
      <c r="VLC44" s="44"/>
      <c r="VLD44" s="44"/>
      <c r="VLE44" s="44"/>
      <c r="VLF44" s="44"/>
      <c r="VLG44" s="44"/>
      <c r="VLH44" s="44"/>
      <c r="VLI44" s="44"/>
      <c r="VLJ44" s="44"/>
      <c r="VLK44" s="44"/>
      <c r="VLL44" s="44"/>
      <c r="VLM44" s="44"/>
      <c r="VLN44" s="44"/>
      <c r="VLO44" s="44"/>
      <c r="VLP44" s="44"/>
      <c r="VLQ44" s="44"/>
      <c r="VLR44" s="44"/>
      <c r="VLS44" s="44"/>
      <c r="VLT44" s="44"/>
      <c r="VLU44" s="44"/>
      <c r="VLV44" s="44"/>
      <c r="VLW44" s="44"/>
      <c r="VLX44" s="44"/>
      <c r="VLY44" s="44"/>
      <c r="VLZ44" s="44"/>
      <c r="VMA44" s="44"/>
      <c r="VMB44" s="44"/>
      <c r="VMC44" s="44"/>
      <c r="VMD44" s="44"/>
      <c r="VME44" s="44"/>
      <c r="VMF44" s="44"/>
      <c r="VMG44" s="44"/>
      <c r="VMH44" s="44"/>
      <c r="VMI44" s="44"/>
      <c r="VMJ44" s="44"/>
      <c r="VMK44" s="44"/>
      <c r="VML44" s="44"/>
      <c r="VMM44" s="44"/>
      <c r="VMN44" s="44"/>
      <c r="VMO44" s="44"/>
      <c r="VMP44" s="44"/>
      <c r="VMQ44" s="44"/>
      <c r="VMR44" s="44"/>
      <c r="VMS44" s="44"/>
      <c r="VMT44" s="44"/>
      <c r="VMU44" s="44"/>
      <c r="VMV44" s="44"/>
      <c r="VMW44" s="44"/>
      <c r="VMX44" s="44"/>
      <c r="VMY44" s="44"/>
      <c r="VMZ44" s="44"/>
      <c r="VNA44" s="44"/>
      <c r="VNB44" s="44"/>
      <c r="VNC44" s="44"/>
      <c r="VND44" s="44"/>
      <c r="VNE44" s="44"/>
      <c r="VNF44" s="44"/>
      <c r="VNG44" s="44"/>
      <c r="VNH44" s="44"/>
      <c r="VNI44" s="44"/>
      <c r="VNJ44" s="44"/>
      <c r="VNK44" s="44"/>
      <c r="VNL44" s="44"/>
      <c r="VNM44" s="44"/>
      <c r="VNN44" s="44"/>
      <c r="VNO44" s="44"/>
      <c r="VNP44" s="44"/>
      <c r="VNQ44" s="44"/>
      <c r="VNR44" s="44"/>
      <c r="VNS44" s="44"/>
      <c r="VNT44" s="44"/>
      <c r="VNU44" s="44"/>
      <c r="VNV44" s="44"/>
      <c r="VNW44" s="44"/>
      <c r="VNX44" s="44"/>
      <c r="VNY44" s="44"/>
      <c r="VNZ44" s="44"/>
      <c r="VOA44" s="44"/>
      <c r="VOB44" s="44"/>
      <c r="VOC44" s="44"/>
      <c r="VOD44" s="44"/>
      <c r="VOE44" s="44"/>
      <c r="VOF44" s="44"/>
      <c r="VOG44" s="44"/>
      <c r="VOH44" s="44"/>
      <c r="VOI44" s="44"/>
      <c r="VOJ44" s="44"/>
      <c r="VOK44" s="44"/>
      <c r="VOL44" s="44"/>
      <c r="VOM44" s="44"/>
      <c r="VON44" s="44"/>
      <c r="VOO44" s="44"/>
      <c r="VOP44" s="44"/>
      <c r="VOQ44" s="44"/>
      <c r="VOR44" s="44"/>
      <c r="VOS44" s="44"/>
      <c r="VOT44" s="44"/>
      <c r="VOU44" s="44"/>
      <c r="VOV44" s="44"/>
      <c r="VOW44" s="44"/>
      <c r="VOX44" s="44"/>
      <c r="VOY44" s="44"/>
      <c r="VOZ44" s="44"/>
      <c r="VPA44" s="44"/>
      <c r="VPB44" s="44"/>
      <c r="VPC44" s="44"/>
      <c r="VPD44" s="44"/>
      <c r="VPE44" s="44"/>
      <c r="VPF44" s="44"/>
      <c r="VPG44" s="44"/>
      <c r="VPH44" s="44"/>
      <c r="VPI44" s="44"/>
      <c r="VPJ44" s="44"/>
      <c r="VPK44" s="44"/>
      <c r="VPL44" s="44"/>
      <c r="VPM44" s="44"/>
      <c r="VPN44" s="44"/>
      <c r="VPO44" s="44"/>
      <c r="VPP44" s="44"/>
      <c r="VPQ44" s="44"/>
      <c r="VPR44" s="44"/>
      <c r="VPS44" s="44"/>
      <c r="VPT44" s="44"/>
      <c r="VPU44" s="44"/>
      <c r="VPV44" s="44"/>
      <c r="VPW44" s="44"/>
      <c r="VPX44" s="44"/>
      <c r="VPY44" s="44"/>
      <c r="VPZ44" s="44"/>
      <c r="VQA44" s="44"/>
      <c r="VQB44" s="44"/>
      <c r="VQC44" s="44"/>
      <c r="VQD44" s="44"/>
      <c r="VQE44" s="44"/>
      <c r="VQF44" s="44"/>
      <c r="VQG44" s="44"/>
      <c r="VQH44" s="44"/>
      <c r="VQI44" s="44"/>
      <c r="VQJ44" s="44"/>
      <c r="VQK44" s="44"/>
      <c r="VQL44" s="44"/>
      <c r="VQM44" s="44"/>
      <c r="VQN44" s="44"/>
      <c r="VQO44" s="44"/>
      <c r="VQP44" s="44"/>
      <c r="VQQ44" s="44"/>
      <c r="VQR44" s="44"/>
      <c r="VQS44" s="44"/>
      <c r="VQT44" s="44"/>
      <c r="VQU44" s="44"/>
      <c r="VQV44" s="44"/>
      <c r="VQW44" s="44"/>
      <c r="VQX44" s="44"/>
      <c r="VQY44" s="44"/>
      <c r="VQZ44" s="44"/>
      <c r="VRA44" s="44"/>
      <c r="VRB44" s="44"/>
      <c r="VRC44" s="44"/>
      <c r="VRD44" s="44"/>
      <c r="VRE44" s="44"/>
      <c r="VRF44" s="44"/>
      <c r="VRG44" s="44"/>
      <c r="VRH44" s="44"/>
      <c r="VRI44" s="44"/>
      <c r="VRJ44" s="44"/>
      <c r="VRK44" s="44"/>
      <c r="VRL44" s="44"/>
      <c r="VRM44" s="44"/>
      <c r="VRN44" s="44"/>
      <c r="VRO44" s="44"/>
      <c r="VRP44" s="44"/>
      <c r="VRQ44" s="44"/>
      <c r="VRR44" s="44"/>
      <c r="VRS44" s="44"/>
      <c r="VRT44" s="44"/>
      <c r="VRU44" s="44"/>
      <c r="VRV44" s="44"/>
      <c r="VRW44" s="44"/>
      <c r="VRX44" s="44"/>
      <c r="VRY44" s="44"/>
      <c r="VRZ44" s="44"/>
      <c r="VSA44" s="44"/>
      <c r="VSB44" s="44"/>
      <c r="VSC44" s="44"/>
      <c r="VSD44" s="44"/>
      <c r="VSE44" s="44"/>
      <c r="VSF44" s="44"/>
      <c r="VSG44" s="44"/>
      <c r="VSH44" s="44"/>
      <c r="VSI44" s="44"/>
      <c r="VSJ44" s="44"/>
      <c r="VSK44" s="44"/>
      <c r="VSL44" s="44"/>
      <c r="VSM44" s="44"/>
      <c r="VSN44" s="44"/>
      <c r="VSO44" s="44"/>
      <c r="VSP44" s="44"/>
      <c r="VSQ44" s="44"/>
      <c r="VSR44" s="44"/>
      <c r="VSS44" s="44"/>
      <c r="VST44" s="44"/>
      <c r="VSU44" s="44"/>
      <c r="VSV44" s="44"/>
      <c r="VSW44" s="44"/>
      <c r="VSX44" s="44"/>
      <c r="VSY44" s="44"/>
      <c r="VSZ44" s="44"/>
      <c r="VTA44" s="44"/>
      <c r="VTB44" s="44"/>
      <c r="VTC44" s="44"/>
      <c r="VTD44" s="44"/>
      <c r="VTE44" s="44"/>
      <c r="VTF44" s="44"/>
      <c r="VTG44" s="44"/>
      <c r="VTH44" s="44"/>
      <c r="VTI44" s="44"/>
      <c r="VTJ44" s="44"/>
      <c r="VTK44" s="44"/>
      <c r="VTL44" s="44"/>
      <c r="VTM44" s="44"/>
      <c r="VTN44" s="44"/>
      <c r="VTO44" s="44"/>
      <c r="VTP44" s="44"/>
      <c r="VTQ44" s="44"/>
      <c r="VTR44" s="44"/>
      <c r="VTS44" s="44"/>
      <c r="VTT44" s="44"/>
      <c r="VTU44" s="44"/>
      <c r="VTV44" s="44"/>
      <c r="VTW44" s="44"/>
      <c r="VTX44" s="44"/>
      <c r="VTY44" s="44"/>
      <c r="VTZ44" s="44"/>
      <c r="VUA44" s="44"/>
      <c r="VUB44" s="44"/>
      <c r="VUC44" s="44"/>
      <c r="VUD44" s="44"/>
      <c r="VUE44" s="44"/>
      <c r="VUF44" s="44"/>
      <c r="VUG44" s="44"/>
      <c r="VUH44" s="44"/>
      <c r="VUI44" s="44"/>
      <c r="VUJ44" s="44"/>
      <c r="VUK44" s="44"/>
      <c r="VUL44" s="44"/>
      <c r="VUM44" s="44"/>
      <c r="VUN44" s="44"/>
      <c r="VUO44" s="44"/>
      <c r="VUP44" s="44"/>
      <c r="VUQ44" s="44"/>
      <c r="VUR44" s="44"/>
      <c r="VUS44" s="44"/>
      <c r="VUT44" s="44"/>
      <c r="VUU44" s="44"/>
      <c r="VUV44" s="44"/>
      <c r="VUW44" s="44"/>
      <c r="VUX44" s="44"/>
      <c r="VUY44" s="44"/>
      <c r="VUZ44" s="44"/>
      <c r="VVA44" s="44"/>
      <c r="VVB44" s="44"/>
      <c r="VVC44" s="44"/>
      <c r="VVD44" s="44"/>
      <c r="VVE44" s="44"/>
      <c r="VVF44" s="44"/>
      <c r="VVG44" s="44"/>
      <c r="VVH44" s="44"/>
      <c r="VVI44" s="44"/>
      <c r="VVJ44" s="44"/>
      <c r="VVK44" s="44"/>
      <c r="VVL44" s="44"/>
      <c r="VVM44" s="44"/>
      <c r="VVN44" s="44"/>
      <c r="VVO44" s="44"/>
      <c r="VVP44" s="44"/>
      <c r="VVQ44" s="44"/>
      <c r="VVR44" s="44"/>
      <c r="VVS44" s="44"/>
      <c r="VVT44" s="44"/>
      <c r="VVU44" s="44"/>
      <c r="VVV44" s="44"/>
      <c r="VVW44" s="44"/>
      <c r="VVX44" s="44"/>
      <c r="VVY44" s="44"/>
      <c r="VVZ44" s="44"/>
      <c r="VWA44" s="44"/>
      <c r="VWB44" s="44"/>
      <c r="VWC44" s="44"/>
      <c r="VWD44" s="44"/>
      <c r="VWE44" s="44"/>
      <c r="VWF44" s="44"/>
      <c r="VWG44" s="44"/>
      <c r="VWH44" s="44"/>
      <c r="VWI44" s="44"/>
      <c r="VWJ44" s="44"/>
      <c r="VWK44" s="44"/>
      <c r="VWL44" s="44"/>
      <c r="VWM44" s="44"/>
      <c r="VWN44" s="44"/>
      <c r="VWO44" s="44"/>
      <c r="VWP44" s="44"/>
      <c r="VWQ44" s="44"/>
      <c r="VWR44" s="44"/>
      <c r="VWS44" s="44"/>
      <c r="VWT44" s="44"/>
      <c r="VWU44" s="44"/>
      <c r="VWV44" s="44"/>
      <c r="VWW44" s="44"/>
      <c r="VWX44" s="44"/>
      <c r="VWY44" s="44"/>
      <c r="VWZ44" s="44"/>
      <c r="VXA44" s="44"/>
      <c r="VXB44" s="44"/>
      <c r="VXC44" s="44"/>
      <c r="VXD44" s="44"/>
      <c r="VXE44" s="44"/>
      <c r="VXF44" s="44"/>
      <c r="VXG44" s="44"/>
      <c r="VXH44" s="44"/>
      <c r="VXI44" s="44"/>
      <c r="VXJ44" s="44"/>
      <c r="VXK44" s="44"/>
      <c r="VXL44" s="44"/>
      <c r="VXM44" s="44"/>
      <c r="VXN44" s="44"/>
      <c r="VXO44" s="44"/>
      <c r="VXP44" s="44"/>
      <c r="VXQ44" s="44"/>
      <c r="VXR44" s="44"/>
      <c r="VXS44" s="44"/>
      <c r="VXT44" s="44"/>
      <c r="VXU44" s="44"/>
      <c r="VXV44" s="44"/>
      <c r="VXW44" s="44"/>
      <c r="VXX44" s="44"/>
      <c r="VXY44" s="44"/>
      <c r="VXZ44" s="44"/>
      <c r="VYA44" s="44"/>
      <c r="VYB44" s="44"/>
      <c r="VYC44" s="44"/>
      <c r="VYD44" s="44"/>
      <c r="VYE44" s="44"/>
      <c r="VYF44" s="44"/>
      <c r="VYG44" s="44"/>
      <c r="VYH44" s="44"/>
      <c r="VYI44" s="44"/>
      <c r="VYJ44" s="44"/>
      <c r="VYK44" s="44"/>
      <c r="VYL44" s="44"/>
      <c r="VYM44" s="44"/>
      <c r="VYN44" s="44"/>
      <c r="VYO44" s="44"/>
      <c r="VYP44" s="44"/>
      <c r="VYQ44" s="44"/>
      <c r="VYR44" s="44"/>
      <c r="VYS44" s="44"/>
      <c r="VYT44" s="44"/>
      <c r="VYU44" s="44"/>
      <c r="VYV44" s="44"/>
      <c r="VYW44" s="44"/>
      <c r="VYX44" s="44"/>
      <c r="VYY44" s="44"/>
      <c r="VYZ44" s="44"/>
      <c r="VZA44" s="44"/>
      <c r="VZB44" s="44"/>
      <c r="VZC44" s="44"/>
      <c r="VZD44" s="44"/>
      <c r="VZE44" s="44"/>
      <c r="VZF44" s="44"/>
      <c r="VZG44" s="44"/>
      <c r="VZH44" s="44"/>
      <c r="VZI44" s="44"/>
      <c r="VZJ44" s="44"/>
      <c r="VZK44" s="44"/>
      <c r="VZL44" s="44"/>
      <c r="VZM44" s="44"/>
      <c r="VZN44" s="44"/>
      <c r="VZO44" s="44"/>
      <c r="VZP44" s="44"/>
      <c r="VZQ44" s="44"/>
      <c r="VZR44" s="44"/>
      <c r="VZS44" s="44"/>
      <c r="VZT44" s="44"/>
      <c r="VZU44" s="44"/>
      <c r="VZV44" s="44"/>
      <c r="VZW44" s="44"/>
      <c r="VZX44" s="44"/>
      <c r="VZY44" s="44"/>
      <c r="VZZ44" s="44"/>
      <c r="WAA44" s="44"/>
      <c r="WAB44" s="44"/>
      <c r="WAC44" s="44"/>
      <c r="WAD44" s="44"/>
      <c r="WAE44" s="44"/>
      <c r="WAF44" s="44"/>
      <c r="WAG44" s="44"/>
      <c r="WAH44" s="44"/>
      <c r="WAI44" s="44"/>
      <c r="WAJ44" s="44"/>
      <c r="WAK44" s="44"/>
      <c r="WAL44" s="44"/>
      <c r="WAM44" s="44"/>
      <c r="WAN44" s="44"/>
      <c r="WAO44" s="44"/>
      <c r="WAP44" s="44"/>
      <c r="WAQ44" s="44"/>
      <c r="WAR44" s="44"/>
      <c r="WAS44" s="44"/>
      <c r="WAT44" s="44"/>
      <c r="WAU44" s="44"/>
      <c r="WAV44" s="44"/>
      <c r="WAW44" s="44"/>
      <c r="WAX44" s="44"/>
      <c r="WAY44" s="44"/>
      <c r="WAZ44" s="44"/>
      <c r="WBA44" s="44"/>
      <c r="WBB44" s="44"/>
      <c r="WBC44" s="44"/>
      <c r="WBD44" s="44"/>
      <c r="WBE44" s="44"/>
      <c r="WBF44" s="44"/>
      <c r="WBG44" s="44"/>
      <c r="WBH44" s="44"/>
      <c r="WBI44" s="44"/>
      <c r="WBJ44" s="44"/>
      <c r="WBK44" s="44"/>
      <c r="WBL44" s="44"/>
      <c r="WBM44" s="44"/>
      <c r="WBN44" s="44"/>
      <c r="WBO44" s="44"/>
      <c r="WBP44" s="44"/>
      <c r="WBQ44" s="44"/>
      <c r="WBR44" s="44"/>
      <c r="WBS44" s="44"/>
      <c r="WBT44" s="44"/>
      <c r="WBU44" s="44"/>
      <c r="WBV44" s="44"/>
      <c r="WBW44" s="44"/>
      <c r="WBX44" s="44"/>
      <c r="WBY44" s="44"/>
      <c r="WBZ44" s="44"/>
      <c r="WCA44" s="44"/>
      <c r="WCB44" s="44"/>
      <c r="WCC44" s="44"/>
      <c r="WCD44" s="44"/>
      <c r="WCE44" s="44"/>
      <c r="WCF44" s="44"/>
      <c r="WCG44" s="44"/>
      <c r="WCH44" s="44"/>
      <c r="WCI44" s="44"/>
      <c r="WCJ44" s="44"/>
      <c r="WCK44" s="44"/>
      <c r="WCL44" s="44"/>
      <c r="WCM44" s="44"/>
      <c r="WCN44" s="44"/>
      <c r="WCO44" s="44"/>
      <c r="WCP44" s="44"/>
      <c r="WCQ44" s="44"/>
      <c r="WCR44" s="44"/>
      <c r="WCS44" s="44"/>
      <c r="WCT44" s="44"/>
      <c r="WCU44" s="44"/>
      <c r="WCV44" s="44"/>
      <c r="WCW44" s="44"/>
      <c r="WCX44" s="44"/>
      <c r="WCY44" s="44"/>
      <c r="WCZ44" s="44"/>
      <c r="WDA44" s="44"/>
      <c r="WDB44" s="44"/>
      <c r="WDC44" s="44"/>
      <c r="WDD44" s="44"/>
      <c r="WDE44" s="44"/>
      <c r="WDF44" s="44"/>
      <c r="WDG44" s="44"/>
      <c r="WDH44" s="44"/>
      <c r="WDI44" s="44"/>
      <c r="WDJ44" s="44"/>
      <c r="WDK44" s="44"/>
      <c r="WDL44" s="44"/>
      <c r="WDM44" s="44"/>
      <c r="WDN44" s="44"/>
      <c r="WDO44" s="44"/>
      <c r="WDP44" s="44"/>
      <c r="WDQ44" s="44"/>
      <c r="WDR44" s="44"/>
      <c r="WDS44" s="44"/>
      <c r="WDT44" s="44"/>
      <c r="WDU44" s="44"/>
      <c r="WDV44" s="44"/>
      <c r="WDW44" s="44"/>
      <c r="WDX44" s="44"/>
      <c r="WDY44" s="44"/>
      <c r="WDZ44" s="44"/>
      <c r="WEA44" s="44"/>
      <c r="WEB44" s="44"/>
      <c r="WEC44" s="44"/>
      <c r="WED44" s="44"/>
      <c r="WEE44" s="44"/>
      <c r="WEF44" s="44"/>
      <c r="WEG44" s="44"/>
      <c r="WEH44" s="44"/>
      <c r="WEI44" s="44"/>
      <c r="WEJ44" s="44"/>
      <c r="WEK44" s="44"/>
      <c r="WEL44" s="44"/>
      <c r="WEM44" s="44"/>
      <c r="WEN44" s="44"/>
      <c r="WEO44" s="44"/>
      <c r="WEP44" s="44"/>
      <c r="WEQ44" s="44"/>
      <c r="WER44" s="44"/>
      <c r="WES44" s="44"/>
      <c r="WET44" s="44"/>
      <c r="WEU44" s="44"/>
      <c r="WEV44" s="44"/>
      <c r="WEW44" s="44"/>
      <c r="WEX44" s="44"/>
      <c r="WEY44" s="44"/>
      <c r="WEZ44" s="44"/>
      <c r="WFA44" s="44"/>
      <c r="WFB44" s="44"/>
      <c r="WFC44" s="44"/>
      <c r="WFD44" s="44"/>
      <c r="WFE44" s="44"/>
      <c r="WFF44" s="44"/>
      <c r="WFG44" s="44"/>
      <c r="WFH44" s="44"/>
      <c r="WFI44" s="44"/>
      <c r="WFJ44" s="44"/>
      <c r="WFK44" s="44"/>
      <c r="WFL44" s="44"/>
      <c r="WFM44" s="44"/>
      <c r="WFN44" s="44"/>
      <c r="WFO44" s="44"/>
      <c r="WFP44" s="44"/>
      <c r="WFQ44" s="44"/>
      <c r="WFR44" s="44"/>
      <c r="WFS44" s="44"/>
      <c r="WFT44" s="44"/>
      <c r="WFU44" s="44"/>
      <c r="WFV44" s="44"/>
      <c r="WFW44" s="44"/>
      <c r="WFX44" s="44"/>
      <c r="WFY44" s="44"/>
      <c r="WFZ44" s="44"/>
      <c r="WGA44" s="44"/>
      <c r="WGB44" s="44"/>
      <c r="WGC44" s="44"/>
      <c r="WGD44" s="44"/>
      <c r="WGE44" s="44"/>
      <c r="WGF44" s="44"/>
      <c r="WGG44" s="44"/>
      <c r="WGH44" s="44"/>
      <c r="WGI44" s="44"/>
      <c r="WGJ44" s="44"/>
      <c r="WGK44" s="44"/>
      <c r="WGL44" s="44"/>
      <c r="WGM44" s="44"/>
      <c r="WGN44" s="44"/>
      <c r="WGO44" s="44"/>
      <c r="WGP44" s="44"/>
      <c r="WGQ44" s="44"/>
      <c r="WGR44" s="44"/>
      <c r="WGS44" s="44"/>
      <c r="WGT44" s="44"/>
      <c r="WGU44" s="44"/>
      <c r="WGV44" s="44"/>
      <c r="WGW44" s="44"/>
      <c r="WGX44" s="44"/>
      <c r="WGY44" s="44"/>
      <c r="WGZ44" s="44"/>
      <c r="WHA44" s="44"/>
      <c r="WHB44" s="44"/>
      <c r="WHC44" s="44"/>
      <c r="WHD44" s="44"/>
      <c r="WHE44" s="44"/>
      <c r="WHF44" s="44"/>
      <c r="WHG44" s="44"/>
      <c r="WHH44" s="44"/>
      <c r="WHI44" s="44"/>
      <c r="WHJ44" s="44"/>
      <c r="WHK44" s="44"/>
      <c r="WHL44" s="44"/>
      <c r="WHM44" s="44"/>
      <c r="WHN44" s="44"/>
      <c r="WHO44" s="44"/>
      <c r="WHP44" s="44"/>
      <c r="WHQ44" s="44"/>
      <c r="WHR44" s="44"/>
      <c r="WHS44" s="44"/>
      <c r="WHT44" s="44"/>
      <c r="WHU44" s="44"/>
      <c r="WHV44" s="44"/>
      <c r="WHW44" s="44"/>
      <c r="WHX44" s="44"/>
      <c r="WHY44" s="44"/>
      <c r="WHZ44" s="44"/>
      <c r="WIA44" s="44"/>
      <c r="WIB44" s="44"/>
      <c r="WIC44" s="44"/>
      <c r="WID44" s="44"/>
      <c r="WIE44" s="44"/>
      <c r="WIF44" s="44"/>
      <c r="WIG44" s="44"/>
      <c r="WIH44" s="44"/>
      <c r="WII44" s="44"/>
      <c r="WIJ44" s="44"/>
      <c r="WIK44" s="44"/>
      <c r="WIL44" s="44"/>
      <c r="WIM44" s="44"/>
      <c r="WIN44" s="44"/>
      <c r="WIO44" s="44"/>
      <c r="WIP44" s="44"/>
      <c r="WIQ44" s="44"/>
      <c r="WIR44" s="44"/>
      <c r="WIS44" s="44"/>
      <c r="WIT44" s="44"/>
      <c r="WIU44" s="44"/>
      <c r="WIV44" s="44"/>
      <c r="WIW44" s="44"/>
      <c r="WIX44" s="44"/>
      <c r="WIY44" s="44"/>
      <c r="WIZ44" s="44"/>
      <c r="WJA44" s="44"/>
      <c r="WJB44" s="44"/>
      <c r="WJC44" s="44"/>
      <c r="WJD44" s="44"/>
      <c r="WJE44" s="44"/>
      <c r="WJF44" s="44"/>
      <c r="WJG44" s="44"/>
      <c r="WJH44" s="44"/>
      <c r="WJI44" s="44"/>
      <c r="WJJ44" s="44"/>
      <c r="WJK44" s="44"/>
      <c r="WJL44" s="44"/>
      <c r="WJM44" s="44"/>
      <c r="WJN44" s="44"/>
      <c r="WJO44" s="44"/>
      <c r="WJP44" s="44"/>
      <c r="WJQ44" s="44"/>
      <c r="WJR44" s="44"/>
      <c r="WJS44" s="44"/>
      <c r="WJT44" s="44"/>
      <c r="WJU44" s="44"/>
      <c r="WJV44" s="44"/>
      <c r="WJW44" s="44"/>
      <c r="WJX44" s="44"/>
      <c r="WJY44" s="44"/>
      <c r="WJZ44" s="44"/>
      <c r="WKA44" s="44"/>
      <c r="WKB44" s="44"/>
      <c r="WKC44" s="44"/>
      <c r="WKD44" s="44"/>
      <c r="WKE44" s="44"/>
      <c r="WKF44" s="44"/>
      <c r="WKG44" s="44"/>
      <c r="WKH44" s="44"/>
      <c r="WKI44" s="44"/>
      <c r="WKJ44" s="44"/>
      <c r="WKK44" s="44"/>
      <c r="WKL44" s="44"/>
      <c r="WKM44" s="44"/>
      <c r="WKN44" s="44"/>
      <c r="WKO44" s="44"/>
      <c r="WKP44" s="44"/>
      <c r="WKQ44" s="44"/>
      <c r="WKR44" s="44"/>
      <c r="WKS44" s="44"/>
      <c r="WKT44" s="44"/>
      <c r="WKU44" s="44"/>
      <c r="WKV44" s="44"/>
      <c r="WKW44" s="44"/>
      <c r="WKX44" s="44"/>
      <c r="WKY44" s="44"/>
      <c r="WKZ44" s="44"/>
      <c r="WLA44" s="44"/>
      <c r="WLB44" s="44"/>
      <c r="WLC44" s="44"/>
      <c r="WLD44" s="44"/>
      <c r="WLE44" s="44"/>
      <c r="WLF44" s="44"/>
      <c r="WLG44" s="44"/>
      <c r="WLH44" s="44"/>
      <c r="WLI44" s="44"/>
      <c r="WLJ44" s="44"/>
      <c r="WLK44" s="44"/>
      <c r="WLL44" s="44"/>
      <c r="WLM44" s="44"/>
      <c r="WLN44" s="44"/>
      <c r="WLO44" s="44"/>
      <c r="WLP44" s="44"/>
      <c r="WLQ44" s="44"/>
      <c r="WLR44" s="44"/>
      <c r="WLS44" s="44"/>
      <c r="WLT44" s="44"/>
      <c r="WLU44" s="44"/>
      <c r="WLV44" s="44"/>
      <c r="WLW44" s="44"/>
      <c r="WLX44" s="44"/>
      <c r="WLY44" s="44"/>
      <c r="WLZ44" s="44"/>
      <c r="WMA44" s="44"/>
      <c r="WMB44" s="44"/>
      <c r="WMC44" s="44"/>
      <c r="WMD44" s="44"/>
      <c r="WME44" s="44"/>
      <c r="WMF44" s="44"/>
      <c r="WMG44" s="44"/>
      <c r="WMH44" s="44"/>
      <c r="WMI44" s="44"/>
      <c r="WMJ44" s="44"/>
      <c r="WMK44" s="44"/>
      <c r="WML44" s="44"/>
      <c r="WMM44" s="44"/>
      <c r="WMN44" s="44"/>
      <c r="WMO44" s="44"/>
      <c r="WMP44" s="44"/>
      <c r="WMQ44" s="44"/>
      <c r="WMR44" s="44"/>
      <c r="WMS44" s="44"/>
      <c r="WMT44" s="44"/>
      <c r="WMU44" s="44"/>
      <c r="WMV44" s="44"/>
      <c r="WMW44" s="44"/>
      <c r="WMX44" s="44"/>
      <c r="WMY44" s="44"/>
      <c r="WMZ44" s="44"/>
      <c r="WNA44" s="44"/>
      <c r="WNB44" s="44"/>
      <c r="WNC44" s="44"/>
      <c r="WND44" s="44"/>
      <c r="WNE44" s="44"/>
      <c r="WNF44" s="44"/>
      <c r="WNG44" s="44"/>
      <c r="WNH44" s="44"/>
      <c r="WNI44" s="44"/>
      <c r="WNJ44" s="44"/>
      <c r="WNK44" s="44"/>
      <c r="WNL44" s="44"/>
      <c r="WNM44" s="44"/>
      <c r="WNN44" s="44"/>
      <c r="WNO44" s="44"/>
      <c r="WNP44" s="44"/>
      <c r="WNQ44" s="44"/>
      <c r="WNR44" s="44"/>
      <c r="WNS44" s="44"/>
      <c r="WNT44" s="44"/>
      <c r="WNU44" s="44"/>
      <c r="WNV44" s="44"/>
      <c r="WNW44" s="44"/>
      <c r="WNX44" s="44"/>
      <c r="WNY44" s="44"/>
      <c r="WNZ44" s="44"/>
      <c r="WOA44" s="44"/>
      <c r="WOB44" s="44"/>
      <c r="WOC44" s="44"/>
      <c r="WOD44" s="44"/>
      <c r="WOE44" s="44"/>
      <c r="WOF44" s="44"/>
      <c r="WOG44" s="44"/>
      <c r="WOH44" s="44"/>
      <c r="WOI44" s="44"/>
      <c r="WOJ44" s="44"/>
      <c r="WOK44" s="44"/>
      <c r="WOL44" s="44"/>
      <c r="WOM44" s="44"/>
      <c r="WON44" s="44"/>
      <c r="WOO44" s="44"/>
      <c r="WOP44" s="44"/>
      <c r="WOQ44" s="44"/>
      <c r="WOR44" s="44"/>
      <c r="WOS44" s="44"/>
      <c r="WOT44" s="44"/>
      <c r="WOU44" s="44"/>
      <c r="WOV44" s="44"/>
      <c r="WOW44" s="44"/>
      <c r="WOX44" s="44"/>
      <c r="WOY44" s="44"/>
      <c r="WOZ44" s="44"/>
      <c r="WPA44" s="44"/>
      <c r="WPB44" s="44"/>
      <c r="WPC44" s="44"/>
      <c r="WPD44" s="44"/>
      <c r="WPE44" s="44"/>
      <c r="WPF44" s="44"/>
      <c r="WPG44" s="44"/>
      <c r="WPH44" s="44"/>
      <c r="WPI44" s="44"/>
      <c r="WPJ44" s="44"/>
      <c r="WPK44" s="44"/>
      <c r="WPL44" s="44"/>
      <c r="WPM44" s="44"/>
      <c r="WPN44" s="44"/>
      <c r="WPO44" s="44"/>
      <c r="WPP44" s="44"/>
      <c r="WPQ44" s="44"/>
      <c r="WPR44" s="44"/>
      <c r="WPS44" s="44"/>
      <c r="WPT44" s="44"/>
      <c r="WPU44" s="44"/>
      <c r="WPV44" s="44"/>
      <c r="WPW44" s="44"/>
      <c r="WPX44" s="44"/>
      <c r="WPY44" s="44"/>
      <c r="WPZ44" s="44"/>
      <c r="WQA44" s="44"/>
      <c r="WQB44" s="44"/>
      <c r="WQC44" s="44"/>
      <c r="WQD44" s="44"/>
      <c r="WQE44" s="44"/>
      <c r="WQF44" s="44"/>
      <c r="WQG44" s="44"/>
      <c r="WQH44" s="44"/>
      <c r="WQI44" s="44"/>
      <c r="WQJ44" s="44"/>
      <c r="WQK44" s="44"/>
      <c r="WQL44" s="44"/>
      <c r="WQM44" s="44"/>
      <c r="WQN44" s="44"/>
      <c r="WQO44" s="44"/>
      <c r="WQP44" s="44"/>
      <c r="WQQ44" s="44"/>
      <c r="WQR44" s="44"/>
      <c r="WQS44" s="44"/>
      <c r="WQT44" s="44"/>
      <c r="WQU44" s="44"/>
      <c r="WQV44" s="44"/>
      <c r="WQW44" s="44"/>
      <c r="WQX44" s="44"/>
      <c r="WQY44" s="44"/>
      <c r="WQZ44" s="44"/>
      <c r="WRA44" s="44"/>
      <c r="WRB44" s="44"/>
      <c r="WRC44" s="44"/>
      <c r="WRD44" s="44"/>
      <c r="WRE44" s="44"/>
      <c r="WRF44" s="44"/>
      <c r="WRG44" s="44"/>
      <c r="WRH44" s="44"/>
      <c r="WRI44" s="44"/>
      <c r="WRJ44" s="44"/>
      <c r="WRK44" s="44"/>
      <c r="WRL44" s="44"/>
      <c r="WRM44" s="44"/>
      <c r="WRN44" s="44"/>
      <c r="WRO44" s="44"/>
      <c r="WRP44" s="44"/>
      <c r="WRQ44" s="44"/>
      <c r="WRR44" s="44"/>
      <c r="WRS44" s="44"/>
      <c r="WRT44" s="44"/>
      <c r="WRU44" s="44"/>
      <c r="WRV44" s="44"/>
      <c r="WRW44" s="44"/>
      <c r="WRX44" s="44"/>
      <c r="WRY44" s="44"/>
      <c r="WRZ44" s="44"/>
      <c r="WSA44" s="44"/>
      <c r="WSB44" s="44"/>
      <c r="WSC44" s="44"/>
      <c r="WSD44" s="44"/>
      <c r="WSE44" s="44"/>
      <c r="WSF44" s="44"/>
      <c r="WSG44" s="44"/>
      <c r="WSH44" s="44"/>
      <c r="WSI44" s="44"/>
      <c r="WSJ44" s="44"/>
      <c r="WSK44" s="44"/>
      <c r="WSL44" s="44"/>
      <c r="WSM44" s="44"/>
      <c r="WSN44" s="44"/>
      <c r="WSO44" s="44"/>
      <c r="WSP44" s="44"/>
      <c r="WSQ44" s="44"/>
      <c r="WSR44" s="44"/>
      <c r="WSS44" s="44"/>
      <c r="WST44" s="44"/>
      <c r="WSU44" s="44"/>
      <c r="WSV44" s="44"/>
      <c r="WSW44" s="44"/>
      <c r="WSX44" s="44"/>
      <c r="WSY44" s="44"/>
      <c r="WSZ44" s="44"/>
      <c r="WTA44" s="44"/>
      <c r="WTB44" s="44"/>
      <c r="WTC44" s="44"/>
      <c r="WTD44" s="44"/>
      <c r="WTE44" s="44"/>
      <c r="WTF44" s="44"/>
      <c r="WTG44" s="44"/>
      <c r="WTH44" s="44"/>
      <c r="WTI44" s="44"/>
      <c r="WTJ44" s="44"/>
      <c r="WTK44" s="44"/>
      <c r="WTL44" s="44"/>
      <c r="WTM44" s="44"/>
      <c r="WTN44" s="44"/>
      <c r="WTO44" s="44"/>
      <c r="WTP44" s="44"/>
      <c r="WTQ44" s="44"/>
      <c r="WTR44" s="44"/>
      <c r="WTS44" s="44"/>
      <c r="WTT44" s="44"/>
      <c r="WTU44" s="44"/>
      <c r="WTV44" s="44"/>
      <c r="WTW44" s="44"/>
      <c r="WTX44" s="44"/>
      <c r="WTY44" s="44"/>
      <c r="WTZ44" s="44"/>
      <c r="WUA44" s="44"/>
      <c r="WUB44" s="44"/>
      <c r="WUC44" s="44"/>
      <c r="WUD44" s="44"/>
      <c r="WUE44" s="44"/>
      <c r="WUF44" s="44"/>
      <c r="WUG44" s="44"/>
      <c r="WUH44" s="44"/>
      <c r="WUI44" s="44"/>
      <c r="WUJ44" s="44"/>
      <c r="WUK44" s="44"/>
      <c r="WUL44" s="44"/>
      <c r="WUM44" s="44"/>
      <c r="WUN44" s="44"/>
      <c r="WUO44" s="44"/>
      <c r="WUP44" s="44"/>
      <c r="WUQ44" s="44"/>
      <c r="WUR44" s="44"/>
      <c r="WUS44" s="44"/>
      <c r="WUT44" s="44"/>
      <c r="WUU44" s="44"/>
      <c r="WUV44" s="44"/>
      <c r="WUW44" s="44"/>
      <c r="WUX44" s="44"/>
      <c r="WUY44" s="44"/>
      <c r="WUZ44" s="44"/>
      <c r="WVA44" s="44"/>
      <c r="WVB44" s="44"/>
      <c r="WVC44" s="44"/>
      <c r="WVD44" s="44"/>
      <c r="WVE44" s="44"/>
      <c r="WVF44" s="44"/>
      <c r="WVG44" s="44"/>
      <c r="WVH44" s="44"/>
      <c r="WVI44" s="44"/>
      <c r="WVJ44" s="44"/>
      <c r="WVK44" s="44"/>
      <c r="WVL44" s="44"/>
      <c r="WVM44" s="44"/>
      <c r="WVN44" s="44"/>
      <c r="WVO44" s="44"/>
      <c r="WVP44" s="44"/>
      <c r="WVQ44" s="44"/>
      <c r="WVR44" s="44"/>
      <c r="WVS44" s="44"/>
      <c r="WVT44" s="44"/>
      <c r="WVU44" s="44"/>
      <c r="WVV44" s="44"/>
      <c r="WVW44" s="44"/>
      <c r="WVX44" s="44"/>
      <c r="WVY44" s="44"/>
      <c r="WVZ44" s="44"/>
      <c r="WWA44" s="44"/>
      <c r="WWB44" s="44"/>
      <c r="WWC44" s="44"/>
      <c r="WWD44" s="44"/>
      <c r="WWE44" s="44"/>
      <c r="WWF44" s="44"/>
      <c r="WWG44" s="44"/>
      <c r="WWH44" s="44"/>
      <c r="WWI44" s="44"/>
      <c r="WWJ44" s="44"/>
      <c r="WWK44" s="44"/>
      <c r="WWL44" s="44"/>
      <c r="WWM44" s="44"/>
      <c r="WWN44" s="44"/>
      <c r="WWO44" s="44"/>
      <c r="WWP44" s="44"/>
      <c r="WWQ44" s="44"/>
      <c r="WWR44" s="44"/>
      <c r="WWS44" s="44"/>
      <c r="WWT44" s="44"/>
      <c r="WWU44" s="44"/>
      <c r="WWV44" s="44"/>
      <c r="WWW44" s="44"/>
      <c r="WWX44" s="44"/>
      <c r="WWY44" s="44"/>
      <c r="WWZ44" s="44"/>
      <c r="WXA44" s="44"/>
      <c r="WXB44" s="44"/>
      <c r="WXC44" s="44"/>
      <c r="WXD44" s="44"/>
      <c r="WXE44" s="44"/>
      <c r="WXF44" s="44"/>
      <c r="WXG44" s="44"/>
      <c r="WXH44" s="44"/>
      <c r="WXI44" s="44"/>
      <c r="WXJ44" s="44"/>
      <c r="WXK44" s="44"/>
      <c r="WXL44" s="44"/>
      <c r="WXM44" s="44"/>
      <c r="WXN44" s="44"/>
      <c r="WXO44" s="44"/>
      <c r="WXP44" s="44"/>
      <c r="WXQ44" s="44"/>
      <c r="WXR44" s="44"/>
      <c r="WXS44" s="44"/>
      <c r="WXT44" s="44"/>
      <c r="WXU44" s="44"/>
      <c r="WXV44" s="44"/>
      <c r="WXW44" s="44"/>
      <c r="WXX44" s="44"/>
      <c r="WXY44" s="44"/>
      <c r="WXZ44" s="44"/>
      <c r="WYA44" s="44"/>
      <c r="WYB44" s="44"/>
      <c r="WYC44" s="44"/>
      <c r="WYD44" s="44"/>
      <c r="WYE44" s="44"/>
      <c r="WYF44" s="44"/>
      <c r="WYG44" s="44"/>
      <c r="WYH44" s="44"/>
      <c r="WYI44" s="44"/>
      <c r="WYJ44" s="44"/>
      <c r="WYK44" s="44"/>
      <c r="WYL44" s="44"/>
      <c r="WYM44" s="44"/>
      <c r="WYN44" s="44"/>
      <c r="WYO44" s="44"/>
      <c r="WYP44" s="44"/>
      <c r="WYQ44" s="44"/>
      <c r="WYR44" s="44"/>
      <c r="WYS44" s="44"/>
      <c r="WYT44" s="44"/>
      <c r="WYU44" s="44"/>
      <c r="WYV44" s="44"/>
      <c r="WYW44" s="44"/>
      <c r="WYX44" s="44"/>
      <c r="WYY44" s="44"/>
      <c r="WYZ44" s="44"/>
      <c r="WZA44" s="44"/>
      <c r="WZB44" s="44"/>
      <c r="WZC44" s="44"/>
      <c r="WZD44" s="44"/>
      <c r="WZE44" s="44"/>
      <c r="WZF44" s="44"/>
      <c r="WZG44" s="44"/>
      <c r="WZH44" s="44"/>
      <c r="WZI44" s="44"/>
      <c r="WZJ44" s="44"/>
      <c r="WZK44" s="44"/>
      <c r="WZL44" s="44"/>
      <c r="WZM44" s="44"/>
      <c r="WZN44" s="44"/>
      <c r="WZO44" s="44"/>
      <c r="WZP44" s="44"/>
      <c r="WZQ44" s="44"/>
      <c r="WZR44" s="44"/>
      <c r="WZS44" s="44"/>
      <c r="WZT44" s="44"/>
      <c r="WZU44" s="44"/>
      <c r="WZV44" s="44"/>
      <c r="WZW44" s="44"/>
      <c r="WZX44" s="44"/>
      <c r="WZY44" s="44"/>
      <c r="WZZ44" s="44"/>
      <c r="XAA44" s="44"/>
      <c r="XAB44" s="44"/>
      <c r="XAC44" s="44"/>
      <c r="XAD44" s="44"/>
      <c r="XAE44" s="44"/>
      <c r="XAF44" s="44"/>
      <c r="XAG44" s="44"/>
      <c r="XAH44" s="44"/>
      <c r="XAI44" s="44"/>
      <c r="XAJ44" s="44"/>
      <c r="XAK44" s="44"/>
      <c r="XAL44" s="44"/>
      <c r="XAM44" s="44"/>
      <c r="XAN44" s="44"/>
      <c r="XAO44" s="44"/>
      <c r="XAP44" s="44"/>
      <c r="XAQ44" s="44"/>
      <c r="XAR44" s="44"/>
      <c r="XAS44" s="44"/>
      <c r="XAT44" s="44"/>
      <c r="XAU44" s="44"/>
      <c r="XAV44" s="44"/>
      <c r="XAW44" s="44"/>
      <c r="XAX44" s="44"/>
      <c r="XAY44" s="44"/>
      <c r="XAZ44" s="44"/>
      <c r="XBA44" s="44"/>
      <c r="XBB44" s="44"/>
      <c r="XBC44" s="44"/>
      <c r="XBD44" s="44"/>
      <c r="XBE44" s="44"/>
      <c r="XBF44" s="44"/>
      <c r="XBG44" s="44"/>
      <c r="XBH44" s="44"/>
      <c r="XBI44" s="44"/>
      <c r="XBJ44" s="44"/>
      <c r="XBK44" s="44"/>
      <c r="XBL44" s="44"/>
      <c r="XBM44" s="44"/>
      <c r="XBN44" s="44"/>
      <c r="XBO44" s="44"/>
      <c r="XBP44" s="44"/>
      <c r="XBQ44" s="44"/>
      <c r="XBR44" s="44"/>
      <c r="XBS44" s="44"/>
      <c r="XBT44" s="44"/>
      <c r="XBU44" s="44"/>
      <c r="XBV44" s="44"/>
      <c r="XBW44" s="44"/>
      <c r="XBX44" s="44"/>
      <c r="XBY44" s="44"/>
      <c r="XBZ44" s="44"/>
      <c r="XCA44" s="44"/>
      <c r="XCB44" s="44"/>
      <c r="XCC44" s="44"/>
      <c r="XCD44" s="44"/>
      <c r="XCE44" s="44"/>
      <c r="XCF44" s="44"/>
      <c r="XCG44" s="44"/>
      <c r="XCH44" s="44"/>
      <c r="XCI44" s="44"/>
      <c r="XCJ44" s="44"/>
      <c r="XCK44" s="44"/>
      <c r="XCL44" s="44"/>
      <c r="XCM44" s="44"/>
      <c r="XCN44" s="44"/>
      <c r="XCO44" s="44"/>
      <c r="XCP44" s="44"/>
      <c r="XCQ44" s="44"/>
      <c r="XCR44" s="44"/>
      <c r="XCS44" s="44"/>
      <c r="XCT44" s="44"/>
      <c r="XCU44" s="44"/>
      <c r="XCV44" s="44"/>
      <c r="XCW44" s="44"/>
      <c r="XCX44" s="44"/>
      <c r="XCY44" s="44"/>
      <c r="XCZ44" s="44"/>
      <c r="XDA44" s="44"/>
      <c r="XDB44" s="44"/>
      <c r="XDC44" s="44"/>
      <c r="XDD44" s="44"/>
      <c r="XDE44" s="44"/>
      <c r="XDF44" s="44"/>
      <c r="XDG44" s="44"/>
      <c r="XDH44" s="44"/>
      <c r="XDI44" s="44"/>
      <c r="XDJ44" s="44"/>
      <c r="XDK44" s="44"/>
      <c r="XDL44" s="44"/>
      <c r="XDM44" s="44"/>
      <c r="XDN44" s="44"/>
      <c r="XDO44" s="44"/>
      <c r="XDP44" s="44"/>
      <c r="XDQ44" s="44"/>
      <c r="XDR44" s="44"/>
      <c r="XDS44" s="44"/>
      <c r="XDT44" s="44"/>
      <c r="XDU44" s="44"/>
      <c r="XDV44" s="44"/>
      <c r="XDW44" s="44"/>
      <c r="XDX44" s="44"/>
      <c r="XDY44" s="44"/>
      <c r="XDZ44" s="44"/>
      <c r="XEA44" s="44"/>
      <c r="XEB44" s="44"/>
      <c r="XEC44" s="44"/>
      <c r="XED44" s="44"/>
      <c r="XEE44" s="44"/>
      <c r="XEF44" s="44"/>
      <c r="XEG44" s="44"/>
      <c r="XEH44" s="44"/>
      <c r="XEI44" s="44"/>
      <c r="XEJ44" s="44"/>
      <c r="XEK44" s="44"/>
      <c r="XEL44" s="44"/>
      <c r="XEM44" s="44"/>
      <c r="XEN44" s="44"/>
      <c r="XEO44" s="44"/>
      <c r="XEP44" s="44"/>
      <c r="XEQ44" s="44"/>
      <c r="XER44" s="44"/>
      <c r="XES44" s="44"/>
      <c r="XET44" s="44"/>
      <c r="XEU44" s="44"/>
      <c r="XEV44" s="44"/>
      <c r="XEW44" s="44"/>
      <c r="XEX44" s="44"/>
      <c r="XEY44" s="44"/>
      <c r="XEZ44" s="44"/>
      <c r="XFA44" s="44"/>
      <c r="XFB44" s="44"/>
      <c r="XFC44" s="44"/>
    </row>
    <row r="45" spans="3:16383">
      <c r="C45" s="19" t="s">
        <v>48</v>
      </c>
      <c r="E45" s="43" t="s">
        <v>15</v>
      </c>
      <c r="L45" s="187"/>
      <c r="M45" s="485"/>
      <c r="N45" s="485"/>
      <c r="O45" s="485"/>
      <c r="P45" s="485"/>
      <c r="Q45" s="485"/>
      <c r="R45" s="485"/>
      <c r="S45" s="485"/>
      <c r="T45" s="485"/>
      <c r="U45" s="485"/>
      <c r="V45" s="485"/>
    </row>
    <row r="46" spans="3:16383">
      <c r="C46" s="19" t="s">
        <v>51</v>
      </c>
      <c r="E46" s="43" t="s">
        <v>15</v>
      </c>
      <c r="M46" s="485"/>
      <c r="N46" s="485"/>
      <c r="O46" s="485"/>
      <c r="P46" s="485"/>
      <c r="Q46" s="485"/>
      <c r="R46" s="485"/>
      <c r="S46" s="485"/>
      <c r="T46" s="485"/>
      <c r="U46" s="485"/>
      <c r="V46" s="485"/>
    </row>
    <row r="47" spans="3:16383">
      <c r="C47" s="19" t="s">
        <v>52</v>
      </c>
      <c r="E47" s="43" t="s">
        <v>15</v>
      </c>
      <c r="M47" s="485"/>
      <c r="N47" s="485"/>
      <c r="O47" s="485"/>
      <c r="P47" s="485"/>
      <c r="Q47" s="485"/>
      <c r="R47" s="485"/>
      <c r="S47" s="485"/>
      <c r="T47" s="485"/>
      <c r="U47" s="485"/>
      <c r="V47" s="485"/>
    </row>
    <row r="48" spans="3:16383">
      <c r="C48" s="19" t="s">
        <v>141</v>
      </c>
      <c r="E48" s="43" t="s">
        <v>15</v>
      </c>
      <c r="M48" s="485"/>
      <c r="N48" s="485"/>
      <c r="O48" s="485"/>
      <c r="P48" s="485"/>
      <c r="Q48" s="485"/>
      <c r="R48" s="485"/>
      <c r="S48" s="485"/>
      <c r="T48" s="485"/>
      <c r="U48" s="485"/>
      <c r="V48" s="485"/>
    </row>
    <row r="49" spans="2:22">
      <c r="C49" s="15"/>
    </row>
    <row r="50" spans="2:22">
      <c r="C50" s="40" t="s">
        <v>186</v>
      </c>
      <c r="D50" s="35"/>
      <c r="E50" s="35"/>
      <c r="F50" s="35"/>
      <c r="G50" s="35"/>
      <c r="H50" s="35"/>
      <c r="I50" s="35"/>
      <c r="J50" s="35"/>
      <c r="K50" s="35"/>
      <c r="L50" s="35"/>
      <c r="M50" s="35"/>
      <c r="N50" s="35"/>
      <c r="O50" s="35"/>
      <c r="P50" s="35"/>
      <c r="Q50" s="35"/>
      <c r="R50" s="35"/>
      <c r="S50" s="35"/>
      <c r="T50" s="35"/>
      <c r="U50" s="35"/>
      <c r="V50" s="35"/>
    </row>
    <row r="52" spans="2:22">
      <c r="C52" s="19" t="s">
        <v>62</v>
      </c>
      <c r="E52" s="43" t="s">
        <v>15</v>
      </c>
      <c r="G52" s="183">
        <v>1.8319823139277818</v>
      </c>
      <c r="H52" s="183">
        <f>H143/H105</f>
        <v>4.7075208913649025</v>
      </c>
      <c r="I52" s="183">
        <f>I143/I105</f>
        <v>2.8596491228070176</v>
      </c>
      <c r="J52" s="183">
        <f>J143/J105</f>
        <v>1.7794994040524434</v>
      </c>
      <c r="K52" s="183">
        <f>K143/K105</f>
        <v>3.0188034188034187</v>
      </c>
      <c r="L52" s="184">
        <v>0.1</v>
      </c>
    </row>
    <row r="53" spans="2:22">
      <c r="C53" s="19" t="s">
        <v>63</v>
      </c>
      <c r="E53" s="43" t="s">
        <v>15</v>
      </c>
      <c r="G53" s="183">
        <v>7.1229567819057682E-3</v>
      </c>
      <c r="H53" s="183">
        <f>H144/-H73</f>
        <v>-9.5967999999999998E-2</v>
      </c>
      <c r="I53" s="183">
        <f>I144/-I73</f>
        <v>0.10371028452528465</v>
      </c>
      <c r="J53" s="183">
        <f>J144/-J73</f>
        <v>7.1153904688467037E-2</v>
      </c>
      <c r="K53" s="183">
        <f>K144/-K73</f>
        <v>9.5843992095340863E-2</v>
      </c>
      <c r="L53" s="184">
        <v>0.09</v>
      </c>
      <c r="M53" s="495">
        <v>0.09</v>
      </c>
      <c r="N53" s="495">
        <v>0.09</v>
      </c>
      <c r="O53" s="495">
        <v>0.08</v>
      </c>
      <c r="P53" s="495">
        <v>0.08</v>
      </c>
      <c r="Q53" s="495">
        <v>0.08</v>
      </c>
      <c r="R53" s="495">
        <v>7.0000000000000007E-2</v>
      </c>
      <c r="S53" s="495">
        <v>7.0000000000000007E-2</v>
      </c>
      <c r="T53" s="495">
        <v>7.0000000000000007E-2</v>
      </c>
      <c r="U53" s="495">
        <v>0.06</v>
      </c>
      <c r="V53" s="495">
        <v>0.06</v>
      </c>
    </row>
    <row r="56" spans="2:22">
      <c r="B56" s="1"/>
      <c r="C56" s="1"/>
      <c r="D56" s="1"/>
      <c r="E56" s="1"/>
      <c r="F56" s="1"/>
      <c r="G56" s="2"/>
      <c r="H56" s="2"/>
      <c r="I56" s="3" t="s">
        <v>0</v>
      </c>
      <c r="J56" s="2"/>
      <c r="K56" s="2"/>
      <c r="L56" s="2"/>
      <c r="M56" s="4"/>
      <c r="N56" s="2"/>
      <c r="O56" s="2"/>
      <c r="P56" s="2"/>
      <c r="Q56" s="3" t="s">
        <v>1</v>
      </c>
      <c r="R56" s="2"/>
      <c r="S56" s="2"/>
      <c r="T56" s="2"/>
      <c r="U56" s="2"/>
      <c r="V56" s="2"/>
    </row>
    <row r="57" spans="2:22">
      <c r="B57" s="5" t="str">
        <f>"Income Statement - "&amp;Company_Name</f>
        <v>Income Statement - Avadel Pharmaceuticals, PLC</v>
      </c>
      <c r="C57" s="1"/>
      <c r="D57" s="1"/>
      <c r="E57" s="6" t="s">
        <v>2</v>
      </c>
      <c r="F57" s="7"/>
      <c r="G57" s="8">
        <v>43646</v>
      </c>
      <c r="H57" s="8">
        <f>EOMONTH(G57,12)</f>
        <v>44012</v>
      </c>
      <c r="I57" s="8">
        <f t="shared" ref="I57" si="29">EOMONTH(H57,12)</f>
        <v>44377</v>
      </c>
      <c r="J57" s="8">
        <f t="shared" ref="J57" si="30">EOMONTH(I57,12)</f>
        <v>44742</v>
      </c>
      <c r="K57" s="8">
        <f t="shared" ref="K57" si="31">EOMONTH(J57,12)</f>
        <v>45107</v>
      </c>
      <c r="L57" s="8">
        <f t="shared" ref="L57" si="32">EOMONTH(K57,12)</f>
        <v>45473</v>
      </c>
      <c r="M57" s="9">
        <f t="shared" ref="M57" si="33">EOMONTH(L57,12)</f>
        <v>45838</v>
      </c>
      <c r="N57" s="8">
        <f t="shared" ref="N57" si="34">EOMONTH(M57,12)</f>
        <v>46203</v>
      </c>
      <c r="O57" s="8">
        <f t="shared" ref="O57" si="35">EOMONTH(N57,12)</f>
        <v>46568</v>
      </c>
      <c r="P57" s="8">
        <f t="shared" ref="P57" si="36">EOMONTH(O57,12)</f>
        <v>46934</v>
      </c>
      <c r="Q57" s="8">
        <f t="shared" ref="Q57" si="37">EOMONTH(P57,12)</f>
        <v>47299</v>
      </c>
      <c r="R57" s="8">
        <f t="shared" ref="R57" si="38">EOMONTH(Q57,12)</f>
        <v>47664</v>
      </c>
      <c r="S57" s="8">
        <f t="shared" ref="S57" si="39">EOMONTH(R57,12)</f>
        <v>48029</v>
      </c>
      <c r="T57" s="8">
        <f t="shared" ref="T57" si="40">EOMONTH(S57,12)</f>
        <v>48395</v>
      </c>
      <c r="U57" s="8">
        <f t="shared" ref="U57" si="41">EOMONTH(T57,12)</f>
        <v>48760</v>
      </c>
      <c r="V57" s="8">
        <f t="shared" ref="V57" si="42">EOMONTH(U57,12)</f>
        <v>49125</v>
      </c>
    </row>
    <row r="59" spans="2:22">
      <c r="C59" s="15" t="s">
        <v>212</v>
      </c>
    </row>
    <row r="60" spans="2:22">
      <c r="C60" s="19" t="s">
        <v>24</v>
      </c>
      <c r="E60" s="43" t="s">
        <v>94</v>
      </c>
      <c r="G60" s="17">
        <v>59215</v>
      </c>
      <c r="H60" s="17">
        <v>22334</v>
      </c>
      <c r="I60" s="17">
        <v>0</v>
      </c>
      <c r="J60" s="17">
        <v>0</v>
      </c>
      <c r="K60" s="17">
        <v>27963</v>
      </c>
      <c r="L60" s="537">
        <v>169117</v>
      </c>
      <c r="M60" s="497">
        <f>Drivers!N75</f>
        <v>264448.8</v>
      </c>
      <c r="N60" s="497">
        <f>Drivers!O75</f>
        <v>364321.152</v>
      </c>
      <c r="O60" s="497">
        <f>Drivers!P75</f>
        <v>532478.25232155633</v>
      </c>
      <c r="P60" s="497">
        <f>Drivers!Q75</f>
        <v>916063.01737108361</v>
      </c>
      <c r="Q60" s="497">
        <f>Drivers!R75</f>
        <v>1269902.1834320638</v>
      </c>
      <c r="R60" s="497">
        <f>Drivers!S75</f>
        <v>1488471.3084759009</v>
      </c>
      <c r="S60" s="497">
        <f>Drivers!T75</f>
        <v>1643640.9216779952</v>
      </c>
      <c r="T60" s="497">
        <f>Drivers!U75</f>
        <v>1765844.0150231959</v>
      </c>
      <c r="U60" s="497">
        <f>Drivers!V75</f>
        <v>1843733.2755429847</v>
      </c>
      <c r="V60" s="497">
        <f>Drivers!W75</f>
        <v>1921188.5626694022</v>
      </c>
    </row>
    <row r="61" spans="2:22">
      <c r="C61" s="20" t="s">
        <v>25</v>
      </c>
      <c r="E61" s="43" t="s">
        <v>94</v>
      </c>
      <c r="G61" s="21">
        <v>0</v>
      </c>
      <c r="H61" s="21">
        <v>0</v>
      </c>
      <c r="I61" s="21">
        <v>0</v>
      </c>
      <c r="J61" s="21">
        <v>0</v>
      </c>
      <c r="K61" s="21">
        <v>0</v>
      </c>
      <c r="L61" s="21">
        <v>0</v>
      </c>
      <c r="M61" s="21">
        <v>0</v>
      </c>
      <c r="N61" s="21">
        <v>0</v>
      </c>
      <c r="O61" s="21">
        <v>0</v>
      </c>
      <c r="P61" s="21">
        <v>0</v>
      </c>
      <c r="Q61" s="21">
        <v>0</v>
      </c>
      <c r="R61" s="21">
        <v>0</v>
      </c>
      <c r="S61" s="21">
        <v>0</v>
      </c>
      <c r="T61" s="21">
        <v>0</v>
      </c>
      <c r="U61" s="21">
        <v>0</v>
      </c>
      <c r="V61" s="21">
        <v>0</v>
      </c>
    </row>
    <row r="62" spans="2:22">
      <c r="C62" s="15" t="s">
        <v>329</v>
      </c>
      <c r="E62" s="90" t="s">
        <v>94</v>
      </c>
      <c r="G62" s="23">
        <v>59215</v>
      </c>
      <c r="H62" s="23">
        <f t="shared" ref="H62:K62" si="43">SUM(H60:H61)</f>
        <v>22334</v>
      </c>
      <c r="I62" s="23">
        <f t="shared" si="43"/>
        <v>0</v>
      </c>
      <c r="J62" s="23">
        <f t="shared" si="43"/>
        <v>0</v>
      </c>
      <c r="K62" s="23">
        <f t="shared" si="43"/>
        <v>27963</v>
      </c>
      <c r="L62" s="23">
        <f>SUM(L60:L61)</f>
        <v>169117</v>
      </c>
      <c r="M62" s="23">
        <f t="shared" ref="M62" si="44">SUM(M60:M61)</f>
        <v>264448.8</v>
      </c>
      <c r="N62" s="23">
        <f t="shared" ref="N62" si="45">SUM(N60:N61)</f>
        <v>364321.152</v>
      </c>
      <c r="O62" s="23">
        <f t="shared" ref="O62" si="46">SUM(O60:O61)</f>
        <v>532478.25232155633</v>
      </c>
      <c r="P62" s="23">
        <f t="shared" ref="P62" si="47">SUM(P60:P61)</f>
        <v>916063.01737108361</v>
      </c>
      <c r="Q62" s="23">
        <f t="shared" ref="Q62" si="48">SUM(Q60:Q61)</f>
        <v>1269902.1834320638</v>
      </c>
      <c r="R62" s="23">
        <f t="shared" ref="R62" si="49">SUM(R60:R61)</f>
        <v>1488471.3084759009</v>
      </c>
      <c r="S62" s="23">
        <f t="shared" ref="S62" si="50">SUM(S60:S61)</f>
        <v>1643640.9216779952</v>
      </c>
      <c r="T62" s="23">
        <f t="shared" ref="T62" si="51">SUM(T60:T61)</f>
        <v>1765844.0150231959</v>
      </c>
      <c r="U62" s="23">
        <f t="shared" ref="U62" si="52">SUM(U60:U61)</f>
        <v>1843733.2755429847</v>
      </c>
      <c r="V62" s="23">
        <f t="shared" ref="V62" si="53">SUM(V60:V61)</f>
        <v>1921188.5626694022</v>
      </c>
    </row>
    <row r="63" spans="2:22">
      <c r="C63" s="92" t="s">
        <v>318</v>
      </c>
      <c r="E63" s="357" t="s">
        <v>15</v>
      </c>
      <c r="G63" s="460">
        <v>-0.42659462181293517</v>
      </c>
      <c r="H63" s="460">
        <f t="shared" ref="H63:V63" si="54">H62/G62-1</f>
        <v>-0.62283205268935238</v>
      </c>
      <c r="I63" s="460"/>
      <c r="J63" s="460"/>
      <c r="K63" s="460"/>
      <c r="L63" s="460">
        <f t="shared" si="54"/>
        <v>5.0478847047884701</v>
      </c>
      <c r="M63" s="460">
        <f t="shared" si="54"/>
        <v>0.56370323503846453</v>
      </c>
      <c r="N63" s="460">
        <f t="shared" si="54"/>
        <v>0.37766233766233781</v>
      </c>
      <c r="O63" s="460">
        <f t="shared" si="54"/>
        <v>0.46156282554123096</v>
      </c>
      <c r="P63" s="460">
        <f t="shared" si="54"/>
        <v>0.72037639730286251</v>
      </c>
      <c r="Q63" s="460">
        <f t="shared" si="54"/>
        <v>0.3862607259011801</v>
      </c>
      <c r="R63" s="460">
        <f t="shared" si="54"/>
        <v>0.17211492971303333</v>
      </c>
      <c r="S63" s="460">
        <f t="shared" si="54"/>
        <v>0.10424763468298104</v>
      </c>
      <c r="T63" s="460">
        <f t="shared" si="54"/>
        <v>7.4349020965262413E-2</v>
      </c>
      <c r="U63" s="460">
        <f t="shared" si="54"/>
        <v>4.4108800016951388E-2</v>
      </c>
      <c r="V63" s="460">
        <f t="shared" si="54"/>
        <v>4.2010028323433479E-2</v>
      </c>
    </row>
    <row r="64" spans="2:22">
      <c r="C64" s="92"/>
      <c r="E64" s="357"/>
      <c r="G64" s="460"/>
      <c r="H64" s="460"/>
      <c r="I64" s="460"/>
      <c r="J64" s="460"/>
      <c r="K64" s="460"/>
      <c r="L64" s="460"/>
      <c r="M64" s="460"/>
      <c r="N64" s="460"/>
      <c r="O64" s="460"/>
      <c r="P64" s="460"/>
      <c r="Q64" s="460"/>
      <c r="R64" s="460"/>
      <c r="S64" s="460"/>
      <c r="T64" s="460"/>
      <c r="U64" s="460"/>
      <c r="V64" s="460"/>
    </row>
    <row r="65" spans="3:40">
      <c r="C65" s="19" t="s">
        <v>500</v>
      </c>
      <c r="G65" s="17"/>
      <c r="H65" s="17"/>
      <c r="I65" s="17"/>
      <c r="J65" s="17"/>
      <c r="K65" s="17"/>
      <c r="M65" s="89">
        <f>SUM(NPV!N79,NPV!N98,NPV!N121,NPV!N143)</f>
        <v>-13222.439999999997</v>
      </c>
      <c r="N65" s="89">
        <f>SUM(NPV!O79,NPV!O98,NPV!O121,NPV!O143)</f>
        <v>-17982.518400000001</v>
      </c>
      <c r="O65" s="89">
        <f>SUM(NPV!P79,NPV!P98,NPV!P121,NPV!P143)</f>
        <v>-24037.549333876967</v>
      </c>
      <c r="P65" s="89">
        <f>SUM(NPV!Q79,NPV!Q98,NPV!Q121,NPV!Q143)</f>
        <v>-32103.192856659931</v>
      </c>
      <c r="Q65" s="89">
        <f>SUM(NPV!R79,NPV!R98,NPV!R121,NPV!R143)</f>
        <v>-36958.203642222943</v>
      </c>
      <c r="R65" s="89">
        <f>SUM(NPV!S79,NPV!S98,NPV!S121,NPV!S143)</f>
        <v>-39383.795640279284</v>
      </c>
      <c r="S65" s="89">
        <f>SUM(NPV!T79,NPV!T98,NPV!T121,NPV!T143)</f>
        <v>-41117.752699183649</v>
      </c>
      <c r="T65" s="89">
        <f>SUM(NPV!U79,NPV!U98,NPV!U121,NPV!U143)</f>
        <v>-42990.346721734764</v>
      </c>
      <c r="U65" s="89">
        <f>SUM(NPV!V79,NPV!V98,NPV!V121,NPV!V143)</f>
        <v>-44409.773263893643</v>
      </c>
      <c r="V65" s="89">
        <f>SUM(NPV!W79,NPV!W98,NPV!W121,NPV!W143)</f>
        <v>-45836.944302053547</v>
      </c>
    </row>
    <row r="66" spans="3:40">
      <c r="C66" s="20" t="s">
        <v>26</v>
      </c>
      <c r="E66" s="43" t="s">
        <v>94</v>
      </c>
      <c r="G66" s="21">
        <v>-12125</v>
      </c>
      <c r="H66" s="21">
        <v>-5742</v>
      </c>
      <c r="I66" s="21">
        <v>0</v>
      </c>
      <c r="J66" s="21">
        <v>0</v>
      </c>
      <c r="K66" s="21">
        <v>-846</v>
      </c>
      <c r="L66" s="539">
        <v>-15277</v>
      </c>
      <c r="M66" s="21">
        <f t="shared" ref="M66:V66" si="55">-M20*M62</f>
        <v>-26444.880000000001</v>
      </c>
      <c r="N66" s="21">
        <f t="shared" si="55"/>
        <v>-36432.1152</v>
      </c>
      <c r="O66" s="21">
        <f t="shared" si="55"/>
        <v>-53247.825232155636</v>
      </c>
      <c r="P66" s="21">
        <f t="shared" si="55"/>
        <v>-91606.30173710837</v>
      </c>
      <c r="Q66" s="21">
        <f t="shared" si="55"/>
        <v>-126990.21834320639</v>
      </c>
      <c r="R66" s="21">
        <f t="shared" si="55"/>
        <v>-148847.1308475901</v>
      </c>
      <c r="S66" s="21">
        <f t="shared" si="55"/>
        <v>-164364.09216779954</v>
      </c>
      <c r="T66" s="21">
        <f t="shared" si="55"/>
        <v>-176584.40150231961</v>
      </c>
      <c r="U66" s="21">
        <f t="shared" si="55"/>
        <v>-184373.32755429848</v>
      </c>
      <c r="V66" s="21">
        <f t="shared" si="55"/>
        <v>-192118.85626694025</v>
      </c>
    </row>
    <row r="67" spans="3:40">
      <c r="C67" s="32" t="s">
        <v>319</v>
      </c>
      <c r="E67" s="90" t="s">
        <v>94</v>
      </c>
      <c r="G67" s="22">
        <v>47090</v>
      </c>
      <c r="H67" s="22">
        <f t="shared" ref="H67" si="56">SUM(H62,H66)</f>
        <v>16592</v>
      </c>
      <c r="I67" s="22">
        <f t="shared" ref="I67" si="57">SUM(I62,I66)</f>
        <v>0</v>
      </c>
      <c r="J67" s="22">
        <f t="shared" ref="J67" si="58">SUM(J62,J66)</f>
        <v>0</v>
      </c>
      <c r="K67" s="22">
        <f t="shared" ref="K67" si="59">SUM(K62,K66)</f>
        <v>27117</v>
      </c>
      <c r="L67" s="22">
        <f t="shared" ref="L67" si="60">SUM(L62,L66)</f>
        <v>153840</v>
      </c>
      <c r="M67" s="22">
        <f>SUM(M62,M65:M66)</f>
        <v>224781.47999999998</v>
      </c>
      <c r="N67" s="22">
        <f t="shared" ref="N67:V67" si="61">SUM(N62,N65:N66)</f>
        <v>309906.5184</v>
      </c>
      <c r="O67" s="22">
        <f t="shared" si="61"/>
        <v>455192.87775552372</v>
      </c>
      <c r="P67" s="22">
        <f t="shared" si="61"/>
        <v>792353.52277731535</v>
      </c>
      <c r="Q67" s="22">
        <f t="shared" si="61"/>
        <v>1105953.7614466343</v>
      </c>
      <c r="R67" s="22">
        <f t="shared" si="61"/>
        <v>1300240.3819880316</v>
      </c>
      <c r="S67" s="22">
        <f t="shared" si="61"/>
        <v>1438159.0768110121</v>
      </c>
      <c r="T67" s="22">
        <f t="shared" si="61"/>
        <v>1546269.2667991414</v>
      </c>
      <c r="U67" s="22">
        <f t="shared" si="61"/>
        <v>1614950.1747247926</v>
      </c>
      <c r="V67" s="22">
        <f t="shared" si="61"/>
        <v>1683232.7621004083</v>
      </c>
    </row>
    <row r="68" spans="3:40">
      <c r="C68" s="464" t="s">
        <v>320</v>
      </c>
      <c r="E68" s="357" t="s">
        <v>15</v>
      </c>
      <c r="G68" s="465">
        <v>0.79523769315207293</v>
      </c>
      <c r="H68" s="465">
        <f t="shared" ref="H68:V68" si="62">H67/H62</f>
        <v>0.74290319691949491</v>
      </c>
      <c r="I68" s="465"/>
      <c r="J68" s="465"/>
      <c r="K68" s="465">
        <f t="shared" si="62"/>
        <v>0.96974573543611198</v>
      </c>
      <c r="L68" s="465">
        <f t="shared" si="62"/>
        <v>0.9096660891572107</v>
      </c>
      <c r="M68" s="465">
        <f t="shared" si="62"/>
        <v>0.85</v>
      </c>
      <c r="N68" s="465">
        <f t="shared" si="62"/>
        <v>0.85064102564102562</v>
      </c>
      <c r="O68" s="465">
        <f t="shared" si="62"/>
        <v>0.85485721862052488</v>
      </c>
      <c r="P68" s="465">
        <f t="shared" si="62"/>
        <v>0.86495525717347521</v>
      </c>
      <c r="Q68" s="465">
        <f t="shared" si="62"/>
        <v>0.87089681069581348</v>
      </c>
      <c r="R68" s="465">
        <f t="shared" si="62"/>
        <v>0.87354077608616743</v>
      </c>
      <c r="S68" s="465">
        <f t="shared" si="62"/>
        <v>0.87498373753240066</v>
      </c>
      <c r="T68" s="465">
        <f t="shared" si="62"/>
        <v>0.87565450495287933</v>
      </c>
      <c r="U68" s="465">
        <f t="shared" si="62"/>
        <v>0.87591312482505645</v>
      </c>
      <c r="V68" s="465">
        <f t="shared" si="62"/>
        <v>0.87614136103414786</v>
      </c>
    </row>
    <row r="69" spans="3:40">
      <c r="C69" s="19"/>
      <c r="E69" s="43"/>
      <c r="G69" s="17"/>
      <c r="H69" s="17"/>
      <c r="I69" s="17"/>
      <c r="J69" s="17"/>
      <c r="K69" s="17"/>
      <c r="L69" s="17"/>
      <c r="M69" s="17"/>
      <c r="N69" s="17"/>
      <c r="O69" s="17"/>
      <c r="P69" s="17"/>
      <c r="Q69" s="17"/>
      <c r="R69" s="17"/>
      <c r="S69" s="17"/>
      <c r="T69" s="17"/>
      <c r="U69" s="17"/>
      <c r="V69" s="17"/>
    </row>
    <row r="70" spans="3:40">
      <c r="C70" s="19" t="s">
        <v>27</v>
      </c>
      <c r="E70" s="43" t="s">
        <v>94</v>
      </c>
      <c r="G70" s="17">
        <v>32917</v>
      </c>
      <c r="H70" s="17">
        <v>20442</v>
      </c>
      <c r="I70" s="17">
        <v>17104</v>
      </c>
      <c r="J70" s="17">
        <v>20700</v>
      </c>
      <c r="K70" s="17">
        <v>13261</v>
      </c>
      <c r="L70" s="537">
        <v>15196</v>
      </c>
      <c r="M70" s="36">
        <f t="shared" ref="M70:V70" si="63">M21*M62</f>
        <v>5288.9759999999997</v>
      </c>
      <c r="N70" s="36">
        <f t="shared" si="63"/>
        <v>5464.8172800000002</v>
      </c>
      <c r="O70" s="36">
        <f t="shared" si="63"/>
        <v>5324.7825232155637</v>
      </c>
      <c r="P70" s="36">
        <f t="shared" si="63"/>
        <v>4580.3150868554185</v>
      </c>
      <c r="Q70" s="36">
        <f t="shared" si="63"/>
        <v>3809.7065502961914</v>
      </c>
      <c r="R70" s="36">
        <f t="shared" si="63"/>
        <v>2232.7069627138512</v>
      </c>
      <c r="S70" s="36">
        <f t="shared" si="63"/>
        <v>2465.4613825169931</v>
      </c>
      <c r="T70" s="36">
        <f t="shared" si="63"/>
        <v>2648.766022534794</v>
      </c>
      <c r="U70" s="36">
        <f t="shared" si="63"/>
        <v>2765.5999133144769</v>
      </c>
      <c r="V70" s="36">
        <f t="shared" si="63"/>
        <v>2881.7828440041035</v>
      </c>
      <c r="Y70" s="184"/>
      <c r="Z70" s="184"/>
      <c r="AA70" s="184"/>
      <c r="AB70" s="184"/>
      <c r="AC70" s="184"/>
      <c r="AD70" s="184"/>
      <c r="AE70" s="184"/>
      <c r="AF70" s="184"/>
      <c r="AG70" s="184"/>
      <c r="AH70" s="184"/>
      <c r="AI70" s="184"/>
      <c r="AJ70" s="184"/>
      <c r="AK70" s="184"/>
      <c r="AL70" s="184"/>
      <c r="AM70" s="184"/>
      <c r="AN70" s="184"/>
    </row>
    <row r="71" spans="3:40">
      <c r="C71" s="19" t="s">
        <v>28</v>
      </c>
      <c r="E71" s="43" t="s">
        <v>94</v>
      </c>
      <c r="G71" s="17">
        <v>30183</v>
      </c>
      <c r="H71" s="17">
        <v>32405</v>
      </c>
      <c r="I71" s="17">
        <v>68495</v>
      </c>
      <c r="J71" s="17">
        <v>74516</v>
      </c>
      <c r="K71" s="17">
        <v>151705</v>
      </c>
      <c r="L71" s="537">
        <v>181043</v>
      </c>
      <c r="M71" s="36">
        <f>IF(Legal="Settlement",M24*M62,M62*M23)</f>
        <v>111068.49599999998</v>
      </c>
      <c r="N71" s="36">
        <f t="shared" ref="N71:V71" si="64">N23*N62</f>
        <v>145728.4608</v>
      </c>
      <c r="O71" s="36">
        <f t="shared" si="64"/>
        <v>202341.73588219137</v>
      </c>
      <c r="P71" s="36">
        <f t="shared" si="64"/>
        <v>329782.68625359004</v>
      </c>
      <c r="Q71" s="36">
        <f t="shared" si="64"/>
        <v>431766.7423669016</v>
      </c>
      <c r="R71" s="36">
        <f t="shared" si="64"/>
        <v>476310.81871228811</v>
      </c>
      <c r="S71" s="36">
        <f t="shared" si="64"/>
        <v>493092.27650339837</v>
      </c>
      <c r="T71" s="36">
        <f t="shared" si="64"/>
        <v>494436.32420649461</v>
      </c>
      <c r="U71" s="36">
        <f t="shared" si="64"/>
        <v>479370.65164117573</v>
      </c>
      <c r="V71" s="36">
        <f t="shared" si="64"/>
        <v>461085.25504065625</v>
      </c>
    </row>
    <row r="72" spans="3:40">
      <c r="C72" s="20" t="s">
        <v>140</v>
      </c>
      <c r="E72" s="43" t="s">
        <v>94</v>
      </c>
      <c r="G72" s="21">
        <v>9763</v>
      </c>
      <c r="H72" s="21">
        <v>-84097</v>
      </c>
      <c r="I72" s="21">
        <v>-53</v>
      </c>
      <c r="J72" s="21">
        <v>3345</v>
      </c>
      <c r="K72" s="21">
        <v>0</v>
      </c>
      <c r="L72" s="21">
        <v>0</v>
      </c>
      <c r="M72" s="498">
        <v>0</v>
      </c>
      <c r="N72" s="498">
        <v>0</v>
      </c>
      <c r="O72" s="498">
        <v>0</v>
      </c>
      <c r="P72" s="498">
        <v>0</v>
      </c>
      <c r="Q72" s="498">
        <v>0</v>
      </c>
      <c r="R72" s="498">
        <v>0</v>
      </c>
      <c r="S72" s="498">
        <v>0</v>
      </c>
      <c r="T72" s="498">
        <v>0</v>
      </c>
      <c r="U72" s="498">
        <v>0</v>
      </c>
      <c r="V72" s="498">
        <v>0</v>
      </c>
    </row>
    <row r="73" spans="3:40">
      <c r="C73" s="15" t="s">
        <v>29</v>
      </c>
      <c r="E73" s="90" t="s">
        <v>94</v>
      </c>
      <c r="G73" s="23">
        <v>-72863</v>
      </c>
      <c r="H73" s="23">
        <f t="shared" ref="H73:V73" si="65">-SUM(H70:H72)</f>
        <v>31250</v>
      </c>
      <c r="I73" s="23">
        <f t="shared" si="65"/>
        <v>-85546</v>
      </c>
      <c r="J73" s="23">
        <f t="shared" si="65"/>
        <v>-98561</v>
      </c>
      <c r="K73" s="23">
        <f t="shared" si="65"/>
        <v>-164966</v>
      </c>
      <c r="L73" s="23">
        <f t="shared" si="65"/>
        <v>-196239</v>
      </c>
      <c r="M73" s="23">
        <f t="shared" si="65"/>
        <v>-116357.47199999998</v>
      </c>
      <c r="N73" s="23">
        <f t="shared" si="65"/>
        <v>-151193.27807999999</v>
      </c>
      <c r="O73" s="23">
        <f t="shared" si="65"/>
        <v>-207666.51840540694</v>
      </c>
      <c r="P73" s="23">
        <f t="shared" si="65"/>
        <v>-334363.00134044548</v>
      </c>
      <c r="Q73" s="23">
        <f t="shared" si="65"/>
        <v>-435576.44891719776</v>
      </c>
      <c r="R73" s="23">
        <f t="shared" si="65"/>
        <v>-478543.52567500196</v>
      </c>
      <c r="S73" s="23">
        <f t="shared" si="65"/>
        <v>-495557.73788591538</v>
      </c>
      <c r="T73" s="23">
        <f t="shared" si="65"/>
        <v>-497085.09022902942</v>
      </c>
      <c r="U73" s="23">
        <f t="shared" si="65"/>
        <v>-482136.25155449018</v>
      </c>
      <c r="V73" s="23">
        <f t="shared" si="65"/>
        <v>-463967.03788466036</v>
      </c>
    </row>
    <row r="74" spans="3:40">
      <c r="C74" s="15"/>
      <c r="G74" s="17"/>
      <c r="H74" s="17"/>
      <c r="I74" s="17"/>
      <c r="J74" s="17"/>
      <c r="K74" s="17"/>
    </row>
    <row r="75" spans="3:40">
      <c r="C75" s="15" t="s">
        <v>139</v>
      </c>
      <c r="E75" s="90" t="s">
        <v>94</v>
      </c>
      <c r="G75" s="23">
        <v>-25773</v>
      </c>
      <c r="H75" s="23">
        <f t="shared" ref="H75:V75" si="66">SUM(H67,H73)</f>
        <v>47842</v>
      </c>
      <c r="I75" s="23">
        <f t="shared" si="66"/>
        <v>-85546</v>
      </c>
      <c r="J75" s="23">
        <f t="shared" si="66"/>
        <v>-98561</v>
      </c>
      <c r="K75" s="23">
        <f t="shared" si="66"/>
        <v>-137849</v>
      </c>
      <c r="L75" s="23">
        <f t="shared" si="66"/>
        <v>-42399</v>
      </c>
      <c r="M75" s="23">
        <f t="shared" si="66"/>
        <v>108424.008</v>
      </c>
      <c r="N75" s="23">
        <f t="shared" si="66"/>
        <v>158713.24032000001</v>
      </c>
      <c r="O75" s="23">
        <f t="shared" si="66"/>
        <v>247526.35935011678</v>
      </c>
      <c r="P75" s="23">
        <f t="shared" si="66"/>
        <v>457990.52143686987</v>
      </c>
      <c r="Q75" s="23">
        <f t="shared" si="66"/>
        <v>670377.31252943655</v>
      </c>
      <c r="R75" s="23">
        <f t="shared" si="66"/>
        <v>821696.85631302954</v>
      </c>
      <c r="S75" s="23">
        <f t="shared" si="66"/>
        <v>942601.33892509667</v>
      </c>
      <c r="T75" s="23">
        <f t="shared" si="66"/>
        <v>1049184.1765701119</v>
      </c>
      <c r="U75" s="23">
        <f t="shared" si="66"/>
        <v>1132813.9231703025</v>
      </c>
      <c r="V75" s="23">
        <f t="shared" si="66"/>
        <v>1219265.724215748</v>
      </c>
      <c r="Y75" s="184"/>
      <c r="Z75" s="184"/>
      <c r="AA75" s="184"/>
      <c r="AB75" s="184"/>
      <c r="AC75" s="184"/>
      <c r="AD75" s="184"/>
      <c r="AE75" s="184"/>
      <c r="AF75" s="184"/>
      <c r="AG75" s="184"/>
      <c r="AH75" s="184"/>
      <c r="AI75" s="184"/>
      <c r="AJ75" s="184"/>
      <c r="AK75" s="184"/>
    </row>
    <row r="76" spans="3:40">
      <c r="C76" s="15"/>
      <c r="G76" s="17"/>
      <c r="H76" s="17"/>
      <c r="I76" s="17"/>
      <c r="J76" s="17"/>
      <c r="K76" s="17"/>
    </row>
    <row r="77" spans="3:40">
      <c r="C77" s="16" t="s">
        <v>498</v>
      </c>
      <c r="E77" s="43" t="s">
        <v>94</v>
      </c>
      <c r="G77" s="17"/>
      <c r="H77" s="17"/>
      <c r="I77" s="17"/>
      <c r="J77" s="17"/>
      <c r="K77" s="17"/>
      <c r="M77" s="497">
        <f>IF(Legal="Settlement",700000,0)</f>
        <v>0</v>
      </c>
      <c r="N77" s="497">
        <v>0</v>
      </c>
      <c r="O77" s="497">
        <v>0</v>
      </c>
      <c r="P77" s="497">
        <v>0</v>
      </c>
      <c r="Q77" s="497">
        <v>0</v>
      </c>
      <c r="R77" s="497">
        <v>0</v>
      </c>
      <c r="S77" s="497">
        <v>0</v>
      </c>
      <c r="T77" s="497">
        <v>0</v>
      </c>
      <c r="U77" s="497">
        <v>0</v>
      </c>
      <c r="V77" s="497">
        <v>0</v>
      </c>
    </row>
    <row r="78" spans="3:40">
      <c r="C78" s="30" t="s">
        <v>30</v>
      </c>
      <c r="E78" s="43" t="s">
        <v>94</v>
      </c>
      <c r="G78" s="17">
        <v>1069</v>
      </c>
      <c r="H78" s="17">
        <v>-832</v>
      </c>
      <c r="I78" s="17">
        <v>2343</v>
      </c>
      <c r="J78" s="17">
        <v>-536</v>
      </c>
      <c r="K78" s="17">
        <v>87</v>
      </c>
      <c r="L78" s="537">
        <v>4150</v>
      </c>
      <c r="M78" s="497">
        <v>0</v>
      </c>
      <c r="N78" s="497">
        <v>0</v>
      </c>
      <c r="O78" s="497">
        <v>0</v>
      </c>
      <c r="P78" s="497">
        <v>0</v>
      </c>
      <c r="Q78" s="497">
        <v>0</v>
      </c>
      <c r="R78" s="497">
        <v>0</v>
      </c>
      <c r="S78" s="497">
        <v>0</v>
      </c>
      <c r="T78" s="497">
        <v>0</v>
      </c>
      <c r="U78" s="497">
        <v>0</v>
      </c>
      <c r="V78" s="497">
        <v>0</v>
      </c>
    </row>
    <row r="79" spans="3:40">
      <c r="C79" s="34" t="s">
        <v>182</v>
      </c>
      <c r="E79" s="43" t="s">
        <v>94</v>
      </c>
      <c r="G79" s="21">
        <v>-15539</v>
      </c>
      <c r="H79" s="21">
        <v>-10065</v>
      </c>
      <c r="I79" s="21">
        <v>-9942</v>
      </c>
      <c r="J79" s="21">
        <v>-12342</v>
      </c>
      <c r="K79" s="21">
        <v>-23015</v>
      </c>
      <c r="L79" s="539">
        <v>-10830</v>
      </c>
      <c r="M79" s="498">
        <v>0</v>
      </c>
      <c r="N79" s="498">
        <v>0</v>
      </c>
      <c r="O79" s="498">
        <v>0</v>
      </c>
      <c r="P79" s="498">
        <v>0</v>
      </c>
      <c r="Q79" s="498">
        <v>0</v>
      </c>
      <c r="R79" s="498">
        <v>0</v>
      </c>
      <c r="S79" s="498">
        <v>0</v>
      </c>
      <c r="T79" s="498">
        <v>0</v>
      </c>
      <c r="U79" s="498">
        <v>0</v>
      </c>
      <c r="V79" s="498">
        <v>0</v>
      </c>
    </row>
    <row r="80" spans="3:40">
      <c r="C80" s="15" t="s">
        <v>72</v>
      </c>
      <c r="E80" s="90" t="s">
        <v>94</v>
      </c>
      <c r="G80" s="23">
        <v>-14470</v>
      </c>
      <c r="H80" s="23">
        <f t="shared" ref="H80:L80" si="67">SUM(H78:H79)</f>
        <v>-10897</v>
      </c>
      <c r="I80" s="23">
        <f t="shared" si="67"/>
        <v>-7599</v>
      </c>
      <c r="J80" s="23">
        <f t="shared" si="67"/>
        <v>-12878</v>
      </c>
      <c r="K80" s="23">
        <f t="shared" si="67"/>
        <v>-22928</v>
      </c>
      <c r="L80" s="23">
        <f t="shared" si="67"/>
        <v>-6680</v>
      </c>
      <c r="M80" s="23">
        <f>SUM(M77:M79)</f>
        <v>0</v>
      </c>
      <c r="N80" s="23">
        <f t="shared" ref="N80:V80" si="68">SUM(N77:N79)</f>
        <v>0</v>
      </c>
      <c r="O80" s="23">
        <f t="shared" si="68"/>
        <v>0</v>
      </c>
      <c r="P80" s="23">
        <f t="shared" si="68"/>
        <v>0</v>
      </c>
      <c r="Q80" s="23">
        <f t="shared" si="68"/>
        <v>0</v>
      </c>
      <c r="R80" s="23">
        <f t="shared" si="68"/>
        <v>0</v>
      </c>
      <c r="S80" s="23">
        <f t="shared" si="68"/>
        <v>0</v>
      </c>
      <c r="T80" s="23">
        <f t="shared" si="68"/>
        <v>0</v>
      </c>
      <c r="U80" s="23">
        <f t="shared" si="68"/>
        <v>0</v>
      </c>
      <c r="V80" s="23">
        <f t="shared" si="68"/>
        <v>0</v>
      </c>
    </row>
    <row r="81" spans="2:22">
      <c r="C81" s="16"/>
      <c r="G81" s="17"/>
      <c r="H81" s="17"/>
      <c r="I81" s="17"/>
      <c r="J81" s="17"/>
      <c r="K81" s="17"/>
    </row>
    <row r="82" spans="2:22">
      <c r="C82" s="15" t="s">
        <v>185</v>
      </c>
      <c r="E82" s="90" t="s">
        <v>94</v>
      </c>
      <c r="G82" s="23">
        <v>-40243</v>
      </c>
      <c r="H82" s="23">
        <f t="shared" ref="H82:L82" si="69">SUM(H75,H80)</f>
        <v>36945</v>
      </c>
      <c r="I82" s="23">
        <f t="shared" si="69"/>
        <v>-93145</v>
      </c>
      <c r="J82" s="23">
        <f t="shared" si="69"/>
        <v>-111439</v>
      </c>
      <c r="K82" s="23">
        <f t="shared" si="69"/>
        <v>-160777</v>
      </c>
      <c r="L82" s="23">
        <f t="shared" si="69"/>
        <v>-49079</v>
      </c>
      <c r="M82" s="23">
        <f t="shared" ref="M82:V82" si="70">SUM(M75,M80)</f>
        <v>108424.008</v>
      </c>
      <c r="N82" s="23">
        <f t="shared" si="70"/>
        <v>158713.24032000001</v>
      </c>
      <c r="O82" s="23">
        <f t="shared" si="70"/>
        <v>247526.35935011678</v>
      </c>
      <c r="P82" s="23">
        <f t="shared" si="70"/>
        <v>457990.52143686987</v>
      </c>
      <c r="Q82" s="23">
        <f t="shared" si="70"/>
        <v>670377.31252943655</v>
      </c>
      <c r="R82" s="23">
        <f t="shared" si="70"/>
        <v>821696.85631302954</v>
      </c>
      <c r="S82" s="23">
        <f t="shared" si="70"/>
        <v>942601.33892509667</v>
      </c>
      <c r="T82" s="23">
        <f t="shared" si="70"/>
        <v>1049184.1765701119</v>
      </c>
      <c r="U82" s="23">
        <f t="shared" si="70"/>
        <v>1132813.9231703025</v>
      </c>
      <c r="V82" s="23">
        <f t="shared" si="70"/>
        <v>1219265.724215748</v>
      </c>
    </row>
    <row r="83" spans="2:22">
      <c r="C83" s="15"/>
      <c r="G83" s="17"/>
      <c r="H83" s="17"/>
      <c r="I83" s="17"/>
      <c r="J83" s="17"/>
      <c r="K83" s="17"/>
    </row>
    <row r="84" spans="2:22">
      <c r="C84" s="34" t="s">
        <v>184</v>
      </c>
      <c r="E84" s="43" t="s">
        <v>94</v>
      </c>
      <c r="G84" s="21">
        <v>5356</v>
      </c>
      <c r="H84" s="21">
        <v>12110</v>
      </c>
      <c r="I84" s="21">
        <v>15816</v>
      </c>
      <c r="J84" s="21">
        <v>-26025</v>
      </c>
      <c r="K84" s="21">
        <v>501</v>
      </c>
      <c r="L84" s="540">
        <v>247</v>
      </c>
      <c r="M84" s="21">
        <f>-M35</f>
        <v>-2602.176191999999</v>
      </c>
      <c r="N84" s="21">
        <f t="shared" ref="N84:V84" si="71">-N35</f>
        <v>-3809.1177676799989</v>
      </c>
      <c r="O84" s="21">
        <f t="shared" si="71"/>
        <v>-19476.498960734018</v>
      </c>
      <c r="P84" s="21">
        <f t="shared" si="71"/>
        <v>-54958.862572424383</v>
      </c>
      <c r="Q84" s="21">
        <f t="shared" si="71"/>
        <v>-80445.277503532387</v>
      </c>
      <c r="R84" s="21">
        <f t="shared" si="71"/>
        <v>-98603.622757563542</v>
      </c>
      <c r="S84" s="21">
        <f t="shared" si="71"/>
        <v>-113112.1606710116</v>
      </c>
      <c r="T84" s="21">
        <f t="shared" si="71"/>
        <v>-125902.10118841342</v>
      </c>
      <c r="U84" s="21">
        <f t="shared" si="71"/>
        <v>-135937.67078043631</v>
      </c>
      <c r="V84" s="21">
        <f t="shared" si="71"/>
        <v>-146311.88690588975</v>
      </c>
    </row>
    <row r="85" spans="2:22">
      <c r="C85" s="15" t="s">
        <v>31</v>
      </c>
      <c r="E85" s="90" t="s">
        <v>94</v>
      </c>
      <c r="G85" s="23">
        <v>-34887</v>
      </c>
      <c r="H85" s="23">
        <f t="shared" ref="H85:L85" si="72">SUM(H82:H84)</f>
        <v>49055</v>
      </c>
      <c r="I85" s="23">
        <f t="shared" si="72"/>
        <v>-77329</v>
      </c>
      <c r="J85" s="23">
        <f t="shared" si="72"/>
        <v>-137464</v>
      </c>
      <c r="K85" s="23">
        <f t="shared" si="72"/>
        <v>-160276</v>
      </c>
      <c r="L85" s="23">
        <f t="shared" si="72"/>
        <v>-48832</v>
      </c>
      <c r="M85" s="23">
        <f t="shared" ref="M85" si="73">SUM(M82:M84)</f>
        <v>105821.831808</v>
      </c>
      <c r="N85" s="23">
        <f t="shared" ref="N85" si="74">SUM(N82:N84)</f>
        <v>154904.12255232001</v>
      </c>
      <c r="O85" s="23">
        <f t="shared" ref="O85" si="75">SUM(O82:O84)</f>
        <v>228049.86038938275</v>
      </c>
      <c r="P85" s="23">
        <f t="shared" ref="P85" si="76">SUM(P82:P84)</f>
        <v>403031.65886444546</v>
      </c>
      <c r="Q85" s="23">
        <f t="shared" ref="Q85" si="77">SUM(Q82:Q84)</f>
        <v>589932.03502590419</v>
      </c>
      <c r="R85" s="23">
        <f t="shared" ref="R85" si="78">SUM(R82:R84)</f>
        <v>723093.23355546594</v>
      </c>
      <c r="S85" s="23">
        <f t="shared" ref="S85" si="79">SUM(S82:S84)</f>
        <v>829489.17825408513</v>
      </c>
      <c r="T85" s="23">
        <f t="shared" ref="T85" si="80">SUM(T82:T84)</f>
        <v>923282.07538169844</v>
      </c>
      <c r="U85" s="23">
        <f t="shared" ref="U85" si="81">SUM(U82:U84)</f>
        <v>996876.25238986616</v>
      </c>
      <c r="V85" s="23">
        <f t="shared" ref="V85" si="82">SUM(V82:V84)</f>
        <v>1072953.8373098583</v>
      </c>
    </row>
    <row r="86" spans="2:22">
      <c r="C86" s="15"/>
      <c r="G86" s="23"/>
      <c r="H86" s="23"/>
      <c r="I86" s="23"/>
      <c r="J86" s="23"/>
      <c r="K86" s="23"/>
    </row>
    <row r="87" spans="2:22">
      <c r="C87" s="15" t="s">
        <v>181</v>
      </c>
      <c r="E87" s="90" t="s">
        <v>94</v>
      </c>
      <c r="G87" s="23">
        <v>-24083</v>
      </c>
      <c r="H87" s="23">
        <f t="shared" ref="H87:V87" si="83">H75+I143</f>
        <v>48657</v>
      </c>
      <c r="I87" s="23">
        <f t="shared" si="83"/>
        <v>-84053</v>
      </c>
      <c r="J87" s="23">
        <f t="shared" si="83"/>
        <v>-96795</v>
      </c>
      <c r="K87" s="23">
        <f t="shared" si="83"/>
        <v>-135168</v>
      </c>
      <c r="L87" s="23">
        <f t="shared" si="83"/>
        <v>-42074.55</v>
      </c>
      <c r="M87" s="23">
        <f t="shared" si="83"/>
        <v>108732.2355</v>
      </c>
      <c r="N87" s="23">
        <f t="shared" si="83"/>
        <v>159006.05644500002</v>
      </c>
      <c r="O87" s="23">
        <f t="shared" si="83"/>
        <v>247804.53466886678</v>
      </c>
      <c r="P87" s="23">
        <f t="shared" si="83"/>
        <v>458254.78798968234</v>
      </c>
      <c r="Q87" s="23">
        <f t="shared" si="83"/>
        <v>670628.36575460841</v>
      </c>
      <c r="R87" s="23">
        <f t="shared" si="83"/>
        <v>821935.35687694279</v>
      </c>
      <c r="S87" s="23">
        <f t="shared" si="83"/>
        <v>942827.91446081433</v>
      </c>
      <c r="T87" s="23">
        <f t="shared" si="83"/>
        <v>1049399.4233290437</v>
      </c>
      <c r="U87" s="23">
        <f t="shared" si="83"/>
        <v>1133018.4075912877</v>
      </c>
      <c r="V87" s="23">
        <f t="shared" si="83"/>
        <v>1219265.724215748</v>
      </c>
    </row>
    <row r="88" spans="2:22">
      <c r="G88" s="17"/>
      <c r="H88" s="17"/>
      <c r="I88" s="17"/>
      <c r="J88" s="17"/>
      <c r="K88" s="17"/>
    </row>
    <row r="89" spans="2:22">
      <c r="G89" s="17"/>
      <c r="H89" s="17"/>
      <c r="I89" s="17"/>
      <c r="J89" s="17"/>
      <c r="K89" s="17"/>
    </row>
    <row r="90" spans="2:22">
      <c r="C90" s="15" t="s">
        <v>32</v>
      </c>
      <c r="G90" s="462">
        <v>-0.89</v>
      </c>
      <c r="H90" s="462">
        <v>-0.13</v>
      </c>
      <c r="I90" s="462">
        <v>-1.32</v>
      </c>
      <c r="J90" s="462">
        <v>-2.29</v>
      </c>
      <c r="K90" s="462">
        <v>-2</v>
      </c>
      <c r="L90" s="463">
        <f>L91</f>
        <v>-0.50645094378759592</v>
      </c>
      <c r="M90" s="463">
        <f t="shared" ref="M90:V90" si="84">M91</f>
        <v>1.0975091454884878</v>
      </c>
      <c r="N90" s="463">
        <f t="shared" si="84"/>
        <v>1.6065559277361545</v>
      </c>
      <c r="O90" s="463">
        <f t="shared" si="84"/>
        <v>2.3651717526382781</v>
      </c>
      <c r="P90" s="463">
        <f t="shared" si="84"/>
        <v>4.1799591253313153</v>
      </c>
      <c r="Q90" s="463">
        <f t="shared" si="84"/>
        <v>6.118357550569427</v>
      </c>
      <c r="R90" s="463">
        <f t="shared" si="84"/>
        <v>7.4994112586130051</v>
      </c>
      <c r="S90" s="463">
        <f t="shared" si="84"/>
        <v>8.6028746966820684</v>
      </c>
      <c r="T90" s="463">
        <f t="shared" si="84"/>
        <v>9.5756282449875378</v>
      </c>
      <c r="U90" s="463">
        <f t="shared" si="84"/>
        <v>10.338894963595376</v>
      </c>
      <c r="V90" s="463">
        <f t="shared" si="84"/>
        <v>11.12791783146503</v>
      </c>
    </row>
    <row r="91" spans="2:22">
      <c r="C91" s="15" t="s">
        <v>33</v>
      </c>
      <c r="G91" s="462">
        <v>-0.89</v>
      </c>
      <c r="H91" s="462">
        <v>-0.13</v>
      </c>
      <c r="I91" s="462">
        <v>-1.32</v>
      </c>
      <c r="J91" s="462">
        <v>-2.29</v>
      </c>
      <c r="K91" s="462">
        <v>-2</v>
      </c>
      <c r="L91" s="462">
        <f t="shared" ref="L91:V91" si="85">L85/1000/Diluted</f>
        <v>-0.50645094378759592</v>
      </c>
      <c r="M91" s="462">
        <f t="shared" si="85"/>
        <v>1.0975091454884878</v>
      </c>
      <c r="N91" s="462">
        <f t="shared" si="85"/>
        <v>1.6065559277361545</v>
      </c>
      <c r="O91" s="462">
        <f t="shared" si="85"/>
        <v>2.3651717526382781</v>
      </c>
      <c r="P91" s="462">
        <f t="shared" si="85"/>
        <v>4.1799591253313153</v>
      </c>
      <c r="Q91" s="462">
        <f t="shared" si="85"/>
        <v>6.118357550569427</v>
      </c>
      <c r="R91" s="462">
        <f t="shared" si="85"/>
        <v>7.4994112586130051</v>
      </c>
      <c r="S91" s="462">
        <f t="shared" si="85"/>
        <v>8.6028746966820684</v>
      </c>
      <c r="T91" s="462">
        <f t="shared" si="85"/>
        <v>9.5756282449875378</v>
      </c>
      <c r="U91" s="462">
        <f t="shared" si="85"/>
        <v>10.338894963595376</v>
      </c>
      <c r="V91" s="462">
        <f t="shared" si="85"/>
        <v>11.12791783146503</v>
      </c>
    </row>
    <row r="92" spans="2:22">
      <c r="C92" s="16" t="s">
        <v>34</v>
      </c>
      <c r="G92" s="17">
        <v>37403</v>
      </c>
      <c r="H92" s="17">
        <v>52996</v>
      </c>
      <c r="I92" s="17">
        <v>58535</v>
      </c>
      <c r="J92" s="17">
        <v>60094</v>
      </c>
      <c r="K92" s="17">
        <v>80174</v>
      </c>
      <c r="L92" s="17">
        <f>L93</f>
        <v>96420</v>
      </c>
      <c r="M92" s="17">
        <f t="shared" ref="M92:V92" si="86">M93</f>
        <v>96420</v>
      </c>
      <c r="N92" s="17">
        <f t="shared" si="86"/>
        <v>96420</v>
      </c>
      <c r="O92" s="17">
        <f t="shared" si="86"/>
        <v>96420</v>
      </c>
      <c r="P92" s="17">
        <f t="shared" si="86"/>
        <v>96420</v>
      </c>
      <c r="Q92" s="17">
        <f t="shared" si="86"/>
        <v>96420</v>
      </c>
      <c r="R92" s="17">
        <f t="shared" si="86"/>
        <v>96420</v>
      </c>
      <c r="S92" s="17">
        <f t="shared" si="86"/>
        <v>96420</v>
      </c>
      <c r="T92" s="17">
        <f t="shared" si="86"/>
        <v>96420</v>
      </c>
      <c r="U92" s="17">
        <f t="shared" si="86"/>
        <v>96420</v>
      </c>
      <c r="V92" s="17">
        <f t="shared" si="86"/>
        <v>96420</v>
      </c>
    </row>
    <row r="93" spans="2:22">
      <c r="C93" s="16" t="s">
        <v>35</v>
      </c>
      <c r="G93" s="17">
        <v>37403</v>
      </c>
      <c r="H93" s="17">
        <v>54941</v>
      </c>
      <c r="I93" s="17">
        <v>58535</v>
      </c>
      <c r="J93" s="17">
        <v>60094</v>
      </c>
      <c r="K93" s="17">
        <v>80174</v>
      </c>
      <c r="L93" s="17">
        <f t="shared" ref="L93:V93" si="87">Diluted*1000</f>
        <v>96420</v>
      </c>
      <c r="M93" s="17">
        <f t="shared" si="87"/>
        <v>96420</v>
      </c>
      <c r="N93" s="17">
        <f t="shared" si="87"/>
        <v>96420</v>
      </c>
      <c r="O93" s="17">
        <f t="shared" si="87"/>
        <v>96420</v>
      </c>
      <c r="P93" s="17">
        <f t="shared" si="87"/>
        <v>96420</v>
      </c>
      <c r="Q93" s="17">
        <f t="shared" si="87"/>
        <v>96420</v>
      </c>
      <c r="R93" s="17">
        <f t="shared" si="87"/>
        <v>96420</v>
      </c>
      <c r="S93" s="17">
        <f t="shared" si="87"/>
        <v>96420</v>
      </c>
      <c r="T93" s="17">
        <f t="shared" si="87"/>
        <v>96420</v>
      </c>
      <c r="U93" s="17">
        <f t="shared" si="87"/>
        <v>96420</v>
      </c>
      <c r="V93" s="17">
        <f t="shared" si="87"/>
        <v>96420</v>
      </c>
    </row>
    <row r="95" spans="2:22">
      <c r="B95" s="1"/>
      <c r="C95" s="1"/>
      <c r="D95" s="1"/>
      <c r="E95" s="1"/>
      <c r="F95" s="1"/>
      <c r="G95" s="2"/>
      <c r="H95" s="2"/>
      <c r="I95" s="3" t="s">
        <v>0</v>
      </c>
      <c r="J95" s="2"/>
      <c r="K95" s="2"/>
      <c r="L95" s="2"/>
      <c r="M95" s="4"/>
      <c r="N95" s="2"/>
      <c r="O95" s="2"/>
      <c r="P95" s="2"/>
      <c r="Q95" s="3" t="s">
        <v>1</v>
      </c>
      <c r="R95" s="2"/>
      <c r="S95" s="2"/>
      <c r="T95" s="2"/>
      <c r="U95" s="2"/>
      <c r="V95" s="2"/>
    </row>
    <row r="96" spans="2:22">
      <c r="B96" s="5" t="str">
        <f>"Balance Sheet - "&amp;Company_Name</f>
        <v>Balance Sheet - Avadel Pharmaceuticals, PLC</v>
      </c>
      <c r="C96" s="1"/>
      <c r="D96" s="1"/>
      <c r="E96" s="6" t="s">
        <v>2</v>
      </c>
      <c r="F96" s="7"/>
      <c r="G96" s="8">
        <v>43646</v>
      </c>
      <c r="H96" s="8">
        <f>EOMONTH(G96,12)</f>
        <v>44012</v>
      </c>
      <c r="I96" s="8">
        <f t="shared" ref="I96" si="88">EOMONTH(H96,12)</f>
        <v>44377</v>
      </c>
      <c r="J96" s="8">
        <f t="shared" ref="J96" si="89">EOMONTH(I96,12)</f>
        <v>44742</v>
      </c>
      <c r="K96" s="8">
        <f t="shared" ref="K96" si="90">EOMONTH(J96,12)</f>
        <v>45107</v>
      </c>
      <c r="L96" s="8">
        <f t="shared" ref="L96" si="91">EOMONTH(K96,12)</f>
        <v>45473</v>
      </c>
      <c r="M96" s="9">
        <f t="shared" ref="M96" si="92">EOMONTH(L96,12)</f>
        <v>45838</v>
      </c>
      <c r="N96" s="8">
        <f t="shared" ref="N96" si="93">EOMONTH(M96,12)</f>
        <v>46203</v>
      </c>
      <c r="O96" s="8">
        <f t="shared" ref="O96" si="94">EOMONTH(N96,12)</f>
        <v>46568</v>
      </c>
      <c r="P96" s="8">
        <f t="shared" ref="P96" si="95">EOMONTH(O96,12)</f>
        <v>46934</v>
      </c>
      <c r="Q96" s="8">
        <f t="shared" ref="Q96" si="96">EOMONTH(P96,12)</f>
        <v>47299</v>
      </c>
      <c r="R96" s="8">
        <f t="shared" ref="R96" si="97">EOMONTH(Q96,12)</f>
        <v>47664</v>
      </c>
      <c r="S96" s="8">
        <f t="shared" ref="S96" si="98">EOMONTH(R96,12)</f>
        <v>48029</v>
      </c>
      <c r="T96" s="8">
        <f t="shared" ref="T96" si="99">EOMONTH(S96,12)</f>
        <v>48395</v>
      </c>
      <c r="U96" s="8">
        <f t="shared" ref="U96" si="100">EOMONTH(T96,12)</f>
        <v>48760</v>
      </c>
      <c r="V96" s="8">
        <f t="shared" ref="V96" si="101">EOMONTH(U96,12)</f>
        <v>49125</v>
      </c>
    </row>
    <row r="97" spans="3:25">
      <c r="C97" s="25" t="s">
        <v>36</v>
      </c>
      <c r="D97" s="35"/>
      <c r="E97" s="35"/>
      <c r="F97" s="35"/>
      <c r="G97" s="35"/>
      <c r="H97" s="35"/>
      <c r="I97" s="35"/>
      <c r="J97" s="35"/>
      <c r="K97" s="35"/>
      <c r="L97" s="35"/>
      <c r="M97" s="35"/>
      <c r="N97" s="35"/>
      <c r="O97" s="35"/>
      <c r="P97" s="35"/>
      <c r="Q97" s="35"/>
      <c r="R97" s="35"/>
      <c r="S97" s="35"/>
      <c r="T97" s="35"/>
      <c r="U97" s="35"/>
      <c r="V97" s="35"/>
    </row>
    <row r="98" spans="3:25">
      <c r="D98" s="15"/>
      <c r="F98" s="16"/>
      <c r="G98" s="16"/>
      <c r="H98" s="16"/>
      <c r="I98" s="16"/>
    </row>
    <row r="99" spans="3:25" s="27" customFormat="1">
      <c r="C99" s="32" t="s">
        <v>37</v>
      </c>
      <c r="D99" s="15"/>
      <c r="E99" s="90" t="s">
        <v>94</v>
      </c>
      <c r="G99" s="22">
        <v>9774</v>
      </c>
      <c r="H99" s="22">
        <f t="shared" ref="H99:K99" si="102">H177</f>
        <v>71722</v>
      </c>
      <c r="I99" s="22">
        <f t="shared" si="102"/>
        <v>50708</v>
      </c>
      <c r="J99" s="22">
        <f t="shared" si="102"/>
        <v>73981</v>
      </c>
      <c r="K99" s="22">
        <f t="shared" si="102"/>
        <v>31167</v>
      </c>
      <c r="L99" s="91">
        <f>L177</f>
        <v>51371</v>
      </c>
      <c r="M99" s="91">
        <f t="shared" ref="M99:V99" si="103">M177</f>
        <v>150951.254288</v>
      </c>
      <c r="N99" s="91">
        <f t="shared" si="103"/>
        <v>283068.23296752002</v>
      </c>
      <c r="O99" s="91">
        <f t="shared" si="103"/>
        <v>527761.11902633531</v>
      </c>
      <c r="P99" s="91">
        <f t="shared" si="103"/>
        <v>957631.39806788648</v>
      </c>
      <c r="Q99" s="91">
        <f t="shared" si="103"/>
        <v>1582350.9688578313</v>
      </c>
      <c r="R99" s="91">
        <f t="shared" si="103"/>
        <v>2338928.2797976709</v>
      </c>
      <c r="S99" s="91">
        <f t="shared" si="103"/>
        <v>3203062.6496468163</v>
      </c>
      <c r="T99" s="91">
        <f t="shared" si="103"/>
        <v>4161101.2252073879</v>
      </c>
      <c r="U99" s="91">
        <f t="shared" si="103"/>
        <v>5186854.3188824095</v>
      </c>
      <c r="V99" s="91">
        <f t="shared" si="103"/>
        <v>6287568.5195880644</v>
      </c>
    </row>
    <row r="100" spans="3:25">
      <c r="C100" s="19" t="s">
        <v>38</v>
      </c>
      <c r="D100" s="16"/>
      <c r="E100" s="43" t="s">
        <v>94</v>
      </c>
      <c r="G100" s="17">
        <v>54384</v>
      </c>
      <c r="H100" s="17">
        <v>149680</v>
      </c>
      <c r="I100" s="17">
        <v>106513</v>
      </c>
      <c r="J100" s="17">
        <v>22518</v>
      </c>
      <c r="K100" s="17">
        <v>73944</v>
      </c>
      <c r="L100" s="537">
        <v>22406</v>
      </c>
      <c r="M100" s="497">
        <v>0</v>
      </c>
      <c r="N100" s="497">
        <f t="shared" ref="N100:V100" si="104">M100*(1-0.01)</f>
        <v>0</v>
      </c>
      <c r="O100" s="497">
        <f t="shared" si="104"/>
        <v>0</v>
      </c>
      <c r="P100" s="497">
        <f t="shared" si="104"/>
        <v>0</v>
      </c>
      <c r="Q100" s="497">
        <f t="shared" si="104"/>
        <v>0</v>
      </c>
      <c r="R100" s="497">
        <f t="shared" si="104"/>
        <v>0</v>
      </c>
      <c r="S100" s="497">
        <f t="shared" si="104"/>
        <v>0</v>
      </c>
      <c r="T100" s="497">
        <f t="shared" si="104"/>
        <v>0</v>
      </c>
      <c r="U100" s="497">
        <f t="shared" si="104"/>
        <v>0</v>
      </c>
      <c r="V100" s="497">
        <f t="shared" si="104"/>
        <v>0</v>
      </c>
      <c r="W100" s="36"/>
      <c r="X100" s="36"/>
    </row>
    <row r="101" spans="3:25">
      <c r="C101" s="19" t="s">
        <v>39</v>
      </c>
      <c r="D101" s="16"/>
      <c r="E101" s="43" t="s">
        <v>94</v>
      </c>
      <c r="G101" s="17">
        <v>8281</v>
      </c>
      <c r="H101" s="17">
        <v>0</v>
      </c>
      <c r="I101" s="17">
        <v>0</v>
      </c>
      <c r="J101" s="17">
        <v>0</v>
      </c>
      <c r="K101" s="17">
        <v>12103</v>
      </c>
      <c r="L101" s="537">
        <v>34097</v>
      </c>
      <c r="M101" s="497">
        <f>L101*(1-0.01)</f>
        <v>33756.03</v>
      </c>
      <c r="N101" s="497">
        <f t="shared" ref="N101:V101" si="105">M101*(1-0.01)</f>
        <v>33418.469700000001</v>
      </c>
      <c r="O101" s="497">
        <f t="shared" si="105"/>
        <v>33084.285003000005</v>
      </c>
      <c r="P101" s="497">
        <f t="shared" si="105"/>
        <v>32753.442152970005</v>
      </c>
      <c r="Q101" s="497">
        <f t="shared" si="105"/>
        <v>32425.907731440304</v>
      </c>
      <c r="R101" s="497">
        <f t="shared" si="105"/>
        <v>32101.6486541259</v>
      </c>
      <c r="S101" s="497">
        <f t="shared" si="105"/>
        <v>31780.632167584641</v>
      </c>
      <c r="T101" s="497">
        <f t="shared" si="105"/>
        <v>31462.825845908796</v>
      </c>
      <c r="U101" s="497">
        <f t="shared" si="105"/>
        <v>31148.197587449707</v>
      </c>
      <c r="V101" s="497">
        <f t="shared" si="105"/>
        <v>30836.715611575211</v>
      </c>
      <c r="W101" s="36"/>
      <c r="X101" s="36"/>
    </row>
    <row r="102" spans="3:25">
      <c r="C102" s="20" t="s">
        <v>40</v>
      </c>
      <c r="D102" s="16"/>
      <c r="E102" s="43" t="s">
        <v>94</v>
      </c>
      <c r="G102" s="21">
        <v>3570</v>
      </c>
      <c r="H102" s="21">
        <v>0</v>
      </c>
      <c r="I102" s="21">
        <v>0</v>
      </c>
      <c r="J102" s="21">
        <v>0</v>
      </c>
      <c r="K102" s="21">
        <v>10380</v>
      </c>
      <c r="L102" s="539">
        <v>20298</v>
      </c>
      <c r="M102" s="498">
        <f t="shared" ref="M102:V102" si="106">L102*(1-0.01)</f>
        <v>20095.02</v>
      </c>
      <c r="N102" s="498">
        <f t="shared" si="106"/>
        <v>19894.069800000001</v>
      </c>
      <c r="O102" s="498">
        <f t="shared" si="106"/>
        <v>19695.129102000003</v>
      </c>
      <c r="P102" s="498">
        <f t="shared" si="106"/>
        <v>19498.177810980003</v>
      </c>
      <c r="Q102" s="498">
        <f t="shared" si="106"/>
        <v>19303.196032870204</v>
      </c>
      <c r="R102" s="498">
        <f t="shared" si="106"/>
        <v>19110.164072541502</v>
      </c>
      <c r="S102" s="498">
        <f t="shared" si="106"/>
        <v>18919.062431816088</v>
      </c>
      <c r="T102" s="498">
        <f t="shared" si="106"/>
        <v>18729.871807497926</v>
      </c>
      <c r="U102" s="498">
        <f t="shared" si="106"/>
        <v>18542.573089422945</v>
      </c>
      <c r="V102" s="498">
        <f t="shared" si="106"/>
        <v>18357.147358528717</v>
      </c>
      <c r="W102" s="36"/>
      <c r="X102" s="36"/>
    </row>
    <row r="103" spans="3:25">
      <c r="C103" s="15" t="s">
        <v>42</v>
      </c>
      <c r="D103" s="16"/>
      <c r="E103" s="90" t="s">
        <v>94</v>
      </c>
      <c r="G103" s="23">
        <v>76009</v>
      </c>
      <c r="H103" s="23">
        <f>SUM(H99:H102)</f>
        <v>221402</v>
      </c>
      <c r="I103" s="23">
        <f>SUM(I99:I102)</f>
        <v>157221</v>
      </c>
      <c r="J103" s="23">
        <f>SUM(J99:J102)</f>
        <v>96499</v>
      </c>
      <c r="K103" s="23">
        <f>SUM(K99:K102)</f>
        <v>127594</v>
      </c>
      <c r="L103" s="23">
        <f t="shared" ref="L103:V103" si="107">SUM(L99:L102)</f>
        <v>128172</v>
      </c>
      <c r="M103" s="23">
        <f t="shared" si="107"/>
        <v>204802.30428799998</v>
      </c>
      <c r="N103" s="23">
        <f t="shared" si="107"/>
        <v>336380.77246752003</v>
      </c>
      <c r="O103" s="23">
        <f t="shared" si="107"/>
        <v>580540.5331313354</v>
      </c>
      <c r="P103" s="23">
        <f t="shared" si="107"/>
        <v>1009883.0180318365</v>
      </c>
      <c r="Q103" s="23">
        <f t="shared" si="107"/>
        <v>1634080.0726221418</v>
      </c>
      <c r="R103" s="23">
        <f t="shared" si="107"/>
        <v>2390140.0925243385</v>
      </c>
      <c r="S103" s="23">
        <f t="shared" si="107"/>
        <v>3253762.344246217</v>
      </c>
      <c r="T103" s="23">
        <f t="shared" si="107"/>
        <v>4211293.9228607947</v>
      </c>
      <c r="U103" s="23">
        <f t="shared" si="107"/>
        <v>5236545.0895592822</v>
      </c>
      <c r="V103" s="23">
        <f t="shared" si="107"/>
        <v>6336762.3825581679</v>
      </c>
      <c r="W103" s="36"/>
      <c r="X103" s="36"/>
    </row>
    <row r="104" spans="3:25">
      <c r="D104" s="15"/>
      <c r="G104" s="17"/>
      <c r="H104" s="17"/>
      <c r="I104" s="17"/>
      <c r="J104" s="17"/>
      <c r="K104" s="17"/>
      <c r="W104" s="36"/>
      <c r="X104" s="36"/>
    </row>
    <row r="105" spans="3:25">
      <c r="C105" s="19" t="s">
        <v>43</v>
      </c>
      <c r="D105" s="16"/>
      <c r="E105" s="43" t="s">
        <v>94</v>
      </c>
      <c r="G105" s="17">
        <v>1357</v>
      </c>
      <c r="H105" s="17">
        <v>359</v>
      </c>
      <c r="I105" s="17">
        <v>285</v>
      </c>
      <c r="J105" s="17">
        <v>839</v>
      </c>
      <c r="K105" s="17">
        <v>585</v>
      </c>
      <c r="L105" s="537">
        <v>6489</v>
      </c>
      <c r="M105" s="36">
        <f t="shared" ref="M105:V105" si="108">L105-M143</f>
        <v>6164.5499999999993</v>
      </c>
      <c r="N105" s="36">
        <f t="shared" si="108"/>
        <v>5856.3224999999993</v>
      </c>
      <c r="O105" s="36">
        <f t="shared" si="108"/>
        <v>5563.506374999999</v>
      </c>
      <c r="P105" s="36">
        <f t="shared" si="108"/>
        <v>5285.3310562499992</v>
      </c>
      <c r="Q105" s="36">
        <f t="shared" si="108"/>
        <v>5021.0645034374993</v>
      </c>
      <c r="R105" s="36">
        <f t="shared" si="108"/>
        <v>4770.0112782656242</v>
      </c>
      <c r="S105" s="36">
        <f t="shared" si="108"/>
        <v>4531.5107143523428</v>
      </c>
      <c r="T105" s="36">
        <f t="shared" si="108"/>
        <v>4304.9351786347252</v>
      </c>
      <c r="U105" s="36">
        <f t="shared" si="108"/>
        <v>4089.6884197029885</v>
      </c>
      <c r="V105" s="36">
        <f t="shared" si="108"/>
        <v>3885.2039987178391</v>
      </c>
      <c r="W105" s="36"/>
      <c r="X105" s="36"/>
    </row>
    <row r="106" spans="3:25">
      <c r="C106" s="19" t="s">
        <v>74</v>
      </c>
      <c r="D106" s="16"/>
      <c r="E106" s="43" t="s">
        <v>94</v>
      </c>
      <c r="G106" s="17">
        <v>3612</v>
      </c>
      <c r="H106" s="17">
        <v>2604</v>
      </c>
      <c r="I106" s="17">
        <v>2652</v>
      </c>
      <c r="J106" s="17">
        <v>1713</v>
      </c>
      <c r="K106" s="17">
        <v>2591</v>
      </c>
      <c r="L106" s="537">
        <v>1702</v>
      </c>
      <c r="M106" s="497">
        <f t="shared" ref="M106:V106" si="109">L106*(1-0.02)</f>
        <v>1667.96</v>
      </c>
      <c r="N106" s="497">
        <f t="shared" si="109"/>
        <v>1634.6007999999999</v>
      </c>
      <c r="O106" s="497">
        <f t="shared" si="109"/>
        <v>1601.908784</v>
      </c>
      <c r="P106" s="497">
        <f t="shared" si="109"/>
        <v>1569.87060832</v>
      </c>
      <c r="Q106" s="497">
        <f t="shared" si="109"/>
        <v>1538.4731961535999</v>
      </c>
      <c r="R106" s="497">
        <f t="shared" si="109"/>
        <v>1507.703732230528</v>
      </c>
      <c r="S106" s="497">
        <f t="shared" si="109"/>
        <v>1477.5496575859174</v>
      </c>
      <c r="T106" s="497">
        <f t="shared" si="109"/>
        <v>1447.9986644341991</v>
      </c>
      <c r="U106" s="497">
        <f t="shared" si="109"/>
        <v>1419.038691145515</v>
      </c>
      <c r="V106" s="497">
        <f t="shared" si="109"/>
        <v>1390.6579173226048</v>
      </c>
      <c r="W106" s="36"/>
      <c r="X106" s="36"/>
      <c r="Y106" s="36"/>
    </row>
    <row r="107" spans="3:25">
      <c r="C107" s="19" t="s">
        <v>44</v>
      </c>
      <c r="D107" s="16"/>
      <c r="E107" s="43" t="s">
        <v>94</v>
      </c>
      <c r="G107" s="17">
        <v>18491</v>
      </c>
      <c r="H107" s="17">
        <v>16836</v>
      </c>
      <c r="I107" s="17">
        <v>16836</v>
      </c>
      <c r="J107" s="17">
        <v>16836</v>
      </c>
      <c r="K107" s="17">
        <v>16836</v>
      </c>
      <c r="L107" s="537">
        <v>16836</v>
      </c>
      <c r="M107" s="497">
        <v>16836</v>
      </c>
      <c r="N107" s="497">
        <v>16836</v>
      </c>
      <c r="O107" s="497">
        <v>16836</v>
      </c>
      <c r="P107" s="497">
        <v>16836</v>
      </c>
      <c r="Q107" s="497">
        <v>16836</v>
      </c>
      <c r="R107" s="497">
        <v>16836</v>
      </c>
      <c r="S107" s="497">
        <v>16836</v>
      </c>
      <c r="T107" s="497">
        <v>16836</v>
      </c>
      <c r="U107" s="497">
        <v>16836</v>
      </c>
      <c r="V107" s="497">
        <v>16836</v>
      </c>
      <c r="W107" s="36"/>
      <c r="X107" s="36"/>
    </row>
    <row r="108" spans="3:25">
      <c r="C108" s="19" t="s">
        <v>41</v>
      </c>
      <c r="D108" s="16"/>
      <c r="E108" s="43" t="s">
        <v>94</v>
      </c>
      <c r="G108" s="17">
        <v>8429</v>
      </c>
      <c r="H108" s="17">
        <v>6771</v>
      </c>
      <c r="I108" s="17">
        <v>3668</v>
      </c>
      <c r="J108" s="17">
        <v>3480</v>
      </c>
      <c r="K108" s="17">
        <v>1654</v>
      </c>
      <c r="L108" s="17">
        <v>0</v>
      </c>
      <c r="M108" s="497">
        <f t="shared" ref="M108:V108" si="110">L108*(1-0.05)</f>
        <v>0</v>
      </c>
      <c r="N108" s="497">
        <f t="shared" si="110"/>
        <v>0</v>
      </c>
      <c r="O108" s="497">
        <f t="shared" si="110"/>
        <v>0</v>
      </c>
      <c r="P108" s="497">
        <f t="shared" si="110"/>
        <v>0</v>
      </c>
      <c r="Q108" s="497">
        <f t="shared" si="110"/>
        <v>0</v>
      </c>
      <c r="R108" s="497">
        <f t="shared" si="110"/>
        <v>0</v>
      </c>
      <c r="S108" s="497">
        <f t="shared" si="110"/>
        <v>0</v>
      </c>
      <c r="T108" s="497">
        <f t="shared" si="110"/>
        <v>0</v>
      </c>
      <c r="U108" s="497">
        <f t="shared" si="110"/>
        <v>0</v>
      </c>
      <c r="V108" s="497">
        <f t="shared" si="110"/>
        <v>0</v>
      </c>
      <c r="W108" s="36"/>
      <c r="X108" s="36"/>
    </row>
    <row r="109" spans="3:25">
      <c r="C109" s="20" t="s">
        <v>45</v>
      </c>
      <c r="D109" s="16"/>
      <c r="E109" s="43" t="s">
        <v>94</v>
      </c>
      <c r="G109" s="21">
        <v>43538</v>
      </c>
      <c r="H109" s="21">
        <v>63665</v>
      </c>
      <c r="I109" s="21">
        <v>66603</v>
      </c>
      <c r="J109" s="21">
        <v>13418</v>
      </c>
      <c r="K109" s="21">
        <v>15438</v>
      </c>
      <c r="L109" s="539">
        <v>11037</v>
      </c>
      <c r="M109" s="499">
        <v>16400</v>
      </c>
      <c r="N109" s="499">
        <v>16400</v>
      </c>
      <c r="O109" s="499">
        <v>16400</v>
      </c>
      <c r="P109" s="499">
        <v>16400</v>
      </c>
      <c r="Q109" s="499">
        <v>16400</v>
      </c>
      <c r="R109" s="499">
        <v>16400</v>
      </c>
      <c r="S109" s="499">
        <v>16400</v>
      </c>
      <c r="T109" s="499">
        <v>16400</v>
      </c>
      <c r="U109" s="499">
        <v>16400</v>
      </c>
      <c r="V109" s="499">
        <v>16400</v>
      </c>
      <c r="W109" s="36"/>
      <c r="X109" s="36"/>
    </row>
    <row r="110" spans="3:25">
      <c r="C110" s="15" t="s">
        <v>46</v>
      </c>
      <c r="D110" s="16"/>
      <c r="E110" s="90" t="s">
        <v>94</v>
      </c>
      <c r="G110" s="23">
        <v>151436</v>
      </c>
      <c r="H110" s="23">
        <f t="shared" ref="H110:V110" si="111">SUM(H103:H109)</f>
        <v>311637</v>
      </c>
      <c r="I110" s="23">
        <f t="shared" si="111"/>
        <v>247265</v>
      </c>
      <c r="J110" s="23">
        <f t="shared" si="111"/>
        <v>132785</v>
      </c>
      <c r="K110" s="23">
        <f t="shared" si="111"/>
        <v>164698</v>
      </c>
      <c r="L110" s="23">
        <f t="shared" si="111"/>
        <v>164236</v>
      </c>
      <c r="M110" s="23">
        <f t="shared" si="111"/>
        <v>245870.81428799997</v>
      </c>
      <c r="N110" s="23">
        <f t="shared" si="111"/>
        <v>377107.69576752005</v>
      </c>
      <c r="O110" s="23">
        <f t="shared" si="111"/>
        <v>620941.94829033536</v>
      </c>
      <c r="P110" s="23">
        <f t="shared" si="111"/>
        <v>1049974.2196964065</v>
      </c>
      <c r="Q110" s="23">
        <f t="shared" si="111"/>
        <v>1673875.6103217329</v>
      </c>
      <c r="R110" s="23">
        <f t="shared" si="111"/>
        <v>2429653.8075348348</v>
      </c>
      <c r="S110" s="23">
        <f t="shared" si="111"/>
        <v>3293007.4046181552</v>
      </c>
      <c r="T110" s="23">
        <f t="shared" si="111"/>
        <v>4250282.8567038635</v>
      </c>
      <c r="U110" s="23">
        <f t="shared" si="111"/>
        <v>5275289.8166701309</v>
      </c>
      <c r="V110" s="23">
        <f t="shared" si="111"/>
        <v>6375274.244474208</v>
      </c>
      <c r="W110" s="36"/>
    </row>
    <row r="111" spans="3:25">
      <c r="D111" s="15"/>
      <c r="F111" s="17"/>
      <c r="G111" s="17"/>
      <c r="H111" s="17"/>
      <c r="I111" s="17"/>
      <c r="W111" s="36"/>
    </row>
    <row r="112" spans="3:25">
      <c r="C112" s="15"/>
      <c r="D112" s="15"/>
      <c r="F112" s="17"/>
      <c r="G112" s="17"/>
      <c r="H112" s="17"/>
      <c r="I112" s="17"/>
      <c r="W112" s="36"/>
    </row>
    <row r="113" spans="3:24">
      <c r="C113" s="25" t="s">
        <v>73</v>
      </c>
      <c r="D113" s="24"/>
      <c r="E113" s="35"/>
      <c r="F113" s="26"/>
      <c r="G113" s="26"/>
      <c r="H113" s="26"/>
      <c r="I113" s="26"/>
      <c r="J113" s="35"/>
      <c r="K113" s="35"/>
      <c r="L113" s="35"/>
      <c r="M113" s="35"/>
      <c r="N113" s="35"/>
      <c r="O113" s="35"/>
      <c r="P113" s="35"/>
      <c r="Q113" s="35"/>
      <c r="R113" s="35"/>
      <c r="S113" s="35"/>
      <c r="T113" s="35"/>
      <c r="U113" s="35"/>
      <c r="V113" s="35"/>
      <c r="W113" s="36"/>
    </row>
    <row r="114" spans="3:24">
      <c r="C114" s="15"/>
      <c r="D114" s="15"/>
      <c r="F114" s="17"/>
      <c r="G114" s="17"/>
      <c r="H114" s="17"/>
      <c r="I114" s="17"/>
      <c r="W114" s="36"/>
    </row>
    <row r="115" spans="3:24">
      <c r="C115" s="19" t="s">
        <v>47</v>
      </c>
      <c r="D115" s="16"/>
      <c r="E115" s="43" t="s">
        <v>94</v>
      </c>
      <c r="G115" s="17">
        <v>6100</v>
      </c>
      <c r="H115" s="17">
        <v>2934</v>
      </c>
      <c r="I115" s="17">
        <v>7679</v>
      </c>
      <c r="J115" s="17">
        <v>7890</v>
      </c>
      <c r="K115" s="17">
        <v>11433</v>
      </c>
      <c r="L115" s="537">
        <v>7328</v>
      </c>
      <c r="M115" s="497">
        <f t="shared" ref="M115:V116" si="112">L115*(1-0.01)</f>
        <v>7254.72</v>
      </c>
      <c r="N115" s="497">
        <f t="shared" si="112"/>
        <v>7182.1728000000003</v>
      </c>
      <c r="O115" s="497">
        <f t="shared" si="112"/>
        <v>7110.3510720000004</v>
      </c>
      <c r="P115" s="497">
        <f t="shared" si="112"/>
        <v>7039.2475612799999</v>
      </c>
      <c r="Q115" s="497">
        <f t="shared" si="112"/>
        <v>6968.8550856672</v>
      </c>
      <c r="R115" s="497">
        <f t="shared" si="112"/>
        <v>6899.166534810528</v>
      </c>
      <c r="S115" s="497">
        <f t="shared" si="112"/>
        <v>6830.174869462423</v>
      </c>
      <c r="T115" s="497">
        <f t="shared" si="112"/>
        <v>6761.8731207677984</v>
      </c>
      <c r="U115" s="497">
        <f t="shared" si="112"/>
        <v>6694.2543895601202</v>
      </c>
      <c r="V115" s="497">
        <f t="shared" si="112"/>
        <v>6627.3118456645188</v>
      </c>
      <c r="W115" s="36"/>
      <c r="X115" s="36"/>
    </row>
    <row r="116" spans="3:24">
      <c r="C116" s="20" t="s">
        <v>48</v>
      </c>
      <c r="D116" s="16"/>
      <c r="E116" s="43" t="s">
        <v>94</v>
      </c>
      <c r="G116" s="21">
        <v>19810</v>
      </c>
      <c r="H116" s="21">
        <v>6501</v>
      </c>
      <c r="I116" s="21">
        <v>7151</v>
      </c>
      <c r="J116" s="21">
        <v>7334</v>
      </c>
      <c r="K116" s="21">
        <v>24227</v>
      </c>
      <c r="L116" s="539">
        <v>40651</v>
      </c>
      <c r="M116" s="498">
        <f t="shared" si="112"/>
        <v>40244.49</v>
      </c>
      <c r="N116" s="498">
        <f t="shared" si="112"/>
        <v>39842.045099999996</v>
      </c>
      <c r="O116" s="498">
        <f t="shared" si="112"/>
        <v>39443.624648999998</v>
      </c>
      <c r="P116" s="498">
        <f t="shared" si="112"/>
        <v>39049.188402510001</v>
      </c>
      <c r="Q116" s="498">
        <f t="shared" si="112"/>
        <v>38658.696518484903</v>
      </c>
      <c r="R116" s="498">
        <f t="shared" si="112"/>
        <v>38272.109553300055</v>
      </c>
      <c r="S116" s="498">
        <f t="shared" si="112"/>
        <v>37889.388457767054</v>
      </c>
      <c r="T116" s="498">
        <f t="shared" si="112"/>
        <v>37510.494573189382</v>
      </c>
      <c r="U116" s="498">
        <f t="shared" si="112"/>
        <v>37135.389627457487</v>
      </c>
      <c r="V116" s="498">
        <f t="shared" si="112"/>
        <v>36764.035731182914</v>
      </c>
      <c r="W116" s="36"/>
      <c r="X116" s="36"/>
    </row>
    <row r="117" spans="3:24">
      <c r="C117" s="15" t="s">
        <v>49</v>
      </c>
      <c r="D117" s="16"/>
      <c r="E117" s="90" t="s">
        <v>94</v>
      </c>
      <c r="G117" s="23">
        <v>25910</v>
      </c>
      <c r="H117" s="23">
        <f>SUM(H115:H116)</f>
        <v>9435</v>
      </c>
      <c r="I117" s="23">
        <f>SUM(I115:I116)</f>
        <v>14830</v>
      </c>
      <c r="J117" s="23">
        <f>SUM(J115:J116)</f>
        <v>15224</v>
      </c>
      <c r="K117" s="23">
        <f>SUM(K115:K116)</f>
        <v>35660</v>
      </c>
      <c r="L117" s="23">
        <f t="shared" ref="L117:V117" si="113">SUM(L115:L116)</f>
        <v>47979</v>
      </c>
      <c r="M117" s="23">
        <f t="shared" si="113"/>
        <v>47499.21</v>
      </c>
      <c r="N117" s="23">
        <f t="shared" si="113"/>
        <v>47024.217899999996</v>
      </c>
      <c r="O117" s="23">
        <f t="shared" si="113"/>
        <v>46553.975720999995</v>
      </c>
      <c r="P117" s="23">
        <f t="shared" si="113"/>
        <v>46088.435963789998</v>
      </c>
      <c r="Q117" s="23">
        <f t="shared" si="113"/>
        <v>45627.551604152104</v>
      </c>
      <c r="R117" s="23">
        <f t="shared" si="113"/>
        <v>45171.276088110586</v>
      </c>
      <c r="S117" s="23">
        <f t="shared" si="113"/>
        <v>44719.56332722948</v>
      </c>
      <c r="T117" s="23">
        <f t="shared" si="113"/>
        <v>44272.367693957181</v>
      </c>
      <c r="U117" s="23">
        <f t="shared" si="113"/>
        <v>43829.644017017607</v>
      </c>
      <c r="V117" s="23">
        <f t="shared" si="113"/>
        <v>43391.347576847431</v>
      </c>
      <c r="W117" s="36"/>
    </row>
    <row r="118" spans="3:24">
      <c r="D118" s="15"/>
      <c r="G118" s="17"/>
      <c r="H118" s="17"/>
      <c r="I118" s="17"/>
      <c r="J118" s="17"/>
      <c r="K118" s="17"/>
      <c r="W118" s="36"/>
    </row>
    <row r="119" spans="3:24">
      <c r="C119" s="19" t="s">
        <v>50</v>
      </c>
      <c r="D119" s="16"/>
      <c r="E119" s="43" t="s">
        <v>94</v>
      </c>
      <c r="G119" s="17">
        <v>127240</v>
      </c>
      <c r="H119" s="17">
        <v>128210</v>
      </c>
      <c r="I119" s="17">
        <v>142397</v>
      </c>
      <c r="J119" s="17">
        <v>129282</v>
      </c>
      <c r="K119" s="17">
        <v>0</v>
      </c>
      <c r="L119" s="17">
        <v>0</v>
      </c>
      <c r="M119" s="497">
        <v>0</v>
      </c>
      <c r="N119" s="497">
        <v>0</v>
      </c>
      <c r="O119" s="497">
        <v>0</v>
      </c>
      <c r="P119" s="497">
        <v>0</v>
      </c>
      <c r="Q119" s="497">
        <v>0</v>
      </c>
      <c r="R119" s="497">
        <v>0</v>
      </c>
      <c r="S119" s="497">
        <v>0</v>
      </c>
      <c r="T119" s="497">
        <v>0</v>
      </c>
      <c r="U119" s="497">
        <v>0</v>
      </c>
      <c r="V119" s="497">
        <v>0</v>
      </c>
      <c r="W119" s="36"/>
      <c r="X119" s="36"/>
    </row>
    <row r="120" spans="3:24">
      <c r="C120" s="19" t="s">
        <v>51</v>
      </c>
      <c r="D120" s="16"/>
      <c r="E120" s="43" t="s">
        <v>94</v>
      </c>
      <c r="G120" s="17">
        <v>2964</v>
      </c>
      <c r="H120" s="17">
        <v>2314</v>
      </c>
      <c r="I120" s="17">
        <v>2607</v>
      </c>
      <c r="J120" s="17">
        <v>1740</v>
      </c>
      <c r="K120" s="17">
        <v>2624</v>
      </c>
      <c r="L120" s="541">
        <v>1704</v>
      </c>
      <c r="M120" s="497">
        <f t="shared" ref="M120:V120" si="114">L120*(1-0.01)</f>
        <v>1686.96</v>
      </c>
      <c r="N120" s="497">
        <f t="shared" si="114"/>
        <v>1670.0904</v>
      </c>
      <c r="O120" s="497">
        <f t="shared" si="114"/>
        <v>1653.389496</v>
      </c>
      <c r="P120" s="497">
        <f t="shared" si="114"/>
        <v>1636.85560104</v>
      </c>
      <c r="Q120" s="497">
        <f t="shared" si="114"/>
        <v>1620.4870450296</v>
      </c>
      <c r="R120" s="497">
        <f t="shared" si="114"/>
        <v>1604.282174579304</v>
      </c>
      <c r="S120" s="497">
        <f t="shared" si="114"/>
        <v>1588.2393528335108</v>
      </c>
      <c r="T120" s="497">
        <f t="shared" si="114"/>
        <v>1572.3569593051757</v>
      </c>
      <c r="U120" s="497">
        <f t="shared" si="114"/>
        <v>1556.633389712124</v>
      </c>
      <c r="V120" s="497">
        <f t="shared" si="114"/>
        <v>1541.0670558150027</v>
      </c>
      <c r="W120" s="36"/>
      <c r="X120" s="36"/>
    </row>
    <row r="121" spans="3:24">
      <c r="C121" s="19" t="s">
        <v>52</v>
      </c>
      <c r="D121" s="16"/>
      <c r="E121" s="43" t="s">
        <v>94</v>
      </c>
      <c r="G121" s="17">
        <v>0</v>
      </c>
      <c r="H121" s="17">
        <v>0</v>
      </c>
      <c r="I121" s="17">
        <v>0</v>
      </c>
      <c r="J121" s="17">
        <v>0</v>
      </c>
      <c r="K121" s="17">
        <v>32760</v>
      </c>
      <c r="L121" s="537">
        <v>35249</v>
      </c>
      <c r="M121" s="497"/>
      <c r="N121" s="497"/>
      <c r="O121" s="497"/>
      <c r="P121" s="497"/>
      <c r="Q121" s="497"/>
      <c r="R121" s="497">
        <v>0</v>
      </c>
      <c r="S121" s="497">
        <v>0</v>
      </c>
      <c r="T121" s="497">
        <v>0</v>
      </c>
      <c r="U121" s="497">
        <v>0</v>
      </c>
      <c r="V121" s="497">
        <v>0</v>
      </c>
      <c r="W121" s="36"/>
      <c r="X121" s="36"/>
    </row>
    <row r="122" spans="3:24">
      <c r="C122" s="20" t="s">
        <v>141</v>
      </c>
      <c r="D122" s="16"/>
      <c r="E122" s="43" t="s">
        <v>94</v>
      </c>
      <c r="G122" s="21">
        <v>24521</v>
      </c>
      <c r="H122" s="21">
        <v>9412</v>
      </c>
      <c r="I122" s="21">
        <v>9187</v>
      </c>
      <c r="J122" s="21">
        <v>7684</v>
      </c>
      <c r="K122" s="21">
        <v>5915</v>
      </c>
      <c r="L122" s="543">
        <v>5456</v>
      </c>
      <c r="M122" s="500">
        <f t="shared" ref="M122:V122" si="115">L122*(1-0.01)</f>
        <v>5401.44</v>
      </c>
      <c r="N122" s="500">
        <f t="shared" si="115"/>
        <v>5347.4255999999996</v>
      </c>
      <c r="O122" s="500">
        <f t="shared" si="115"/>
        <v>5293.9513439999992</v>
      </c>
      <c r="P122" s="500">
        <f t="shared" si="115"/>
        <v>5241.011830559999</v>
      </c>
      <c r="Q122" s="500">
        <f t="shared" si="115"/>
        <v>5188.601712254399</v>
      </c>
      <c r="R122" s="500">
        <f t="shared" si="115"/>
        <v>5136.7156951318548</v>
      </c>
      <c r="S122" s="500">
        <f t="shared" si="115"/>
        <v>5085.3485381805358</v>
      </c>
      <c r="T122" s="500">
        <f t="shared" si="115"/>
        <v>5034.4950527987303</v>
      </c>
      <c r="U122" s="500">
        <f t="shared" si="115"/>
        <v>4984.1501022707425</v>
      </c>
      <c r="V122" s="500">
        <f t="shared" si="115"/>
        <v>4934.3086012480353</v>
      </c>
      <c r="W122" s="36"/>
      <c r="X122" s="36"/>
    </row>
    <row r="123" spans="3:24">
      <c r="C123" s="15" t="s">
        <v>53</v>
      </c>
      <c r="D123" s="16"/>
      <c r="E123" s="90" t="s">
        <v>94</v>
      </c>
      <c r="G123" s="23">
        <v>180635</v>
      </c>
      <c r="H123" s="23">
        <f>SUM(H117:H122)</f>
        <v>149371</v>
      </c>
      <c r="I123" s="23">
        <f>SUM(I117:I122)</f>
        <v>169021</v>
      </c>
      <c r="J123" s="23">
        <f>SUM(J117:J122)</f>
        <v>153930</v>
      </c>
      <c r="K123" s="23">
        <f>SUM(K117:K122)</f>
        <v>76959</v>
      </c>
      <c r="L123" s="23">
        <f t="shared" ref="L123:V123" si="116">SUM(L117:L122)</f>
        <v>90388</v>
      </c>
      <c r="M123" s="23">
        <f t="shared" si="116"/>
        <v>54587.61</v>
      </c>
      <c r="N123" s="23">
        <f t="shared" si="116"/>
        <v>54041.733899999999</v>
      </c>
      <c r="O123" s="23">
        <f t="shared" si="116"/>
        <v>53501.316561</v>
      </c>
      <c r="P123" s="23">
        <f t="shared" si="116"/>
        <v>52966.303395389994</v>
      </c>
      <c r="Q123" s="23">
        <f t="shared" si="116"/>
        <v>52436.640361436104</v>
      </c>
      <c r="R123" s="23">
        <f t="shared" si="116"/>
        <v>51912.273957821744</v>
      </c>
      <c r="S123" s="23">
        <f t="shared" si="116"/>
        <v>51393.151218243525</v>
      </c>
      <c r="T123" s="23">
        <f t="shared" si="116"/>
        <v>50879.219706061085</v>
      </c>
      <c r="U123" s="23">
        <f t="shared" si="116"/>
        <v>50370.427509000474</v>
      </c>
      <c r="V123" s="23">
        <f t="shared" si="116"/>
        <v>49866.723233910467</v>
      </c>
      <c r="W123" s="36"/>
    </row>
    <row r="124" spans="3:24">
      <c r="D124" s="15"/>
      <c r="G124" s="17"/>
      <c r="H124" s="17"/>
      <c r="I124" s="17"/>
      <c r="J124" s="17"/>
      <c r="K124" s="17"/>
      <c r="W124" s="36"/>
    </row>
    <row r="125" spans="3:24">
      <c r="C125" s="15"/>
      <c r="D125" s="15"/>
      <c r="G125" s="17"/>
      <c r="H125" s="17"/>
      <c r="I125" s="17"/>
      <c r="J125" s="17"/>
      <c r="K125" s="17"/>
      <c r="W125" s="36"/>
    </row>
    <row r="126" spans="3:24">
      <c r="C126" s="19" t="s">
        <v>54</v>
      </c>
      <c r="D126" s="16"/>
      <c r="E126" s="43" t="s">
        <v>94</v>
      </c>
      <c r="G126" s="17">
        <v>0</v>
      </c>
      <c r="H126" s="17">
        <v>5</v>
      </c>
      <c r="I126" s="17">
        <v>5</v>
      </c>
      <c r="J126" s="17">
        <v>5</v>
      </c>
      <c r="K126" s="17">
        <v>52</v>
      </c>
      <c r="L126" s="17">
        <v>0</v>
      </c>
      <c r="M126" s="497">
        <v>0</v>
      </c>
      <c r="N126" s="497">
        <v>0</v>
      </c>
      <c r="O126" s="497">
        <v>0</v>
      </c>
      <c r="P126" s="497">
        <v>0</v>
      </c>
      <c r="Q126" s="497">
        <v>0</v>
      </c>
      <c r="R126" s="497">
        <v>0</v>
      </c>
      <c r="S126" s="497">
        <v>0</v>
      </c>
      <c r="T126" s="497">
        <v>0</v>
      </c>
      <c r="U126" s="497">
        <v>0</v>
      </c>
      <c r="V126" s="497">
        <v>0</v>
      </c>
      <c r="W126" s="36"/>
      <c r="X126" s="36"/>
    </row>
    <row r="127" spans="3:24">
      <c r="C127" s="19" t="s">
        <v>55</v>
      </c>
      <c r="D127" s="16"/>
      <c r="E127" s="43" t="s">
        <v>94</v>
      </c>
      <c r="G127" s="17">
        <v>429</v>
      </c>
      <c r="H127" s="17">
        <v>583</v>
      </c>
      <c r="I127" s="17">
        <v>586</v>
      </c>
      <c r="J127" s="17">
        <v>628</v>
      </c>
      <c r="K127" s="17">
        <v>898</v>
      </c>
      <c r="L127" s="538">
        <v>965</v>
      </c>
      <c r="M127" s="497">
        <v>898</v>
      </c>
      <c r="N127" s="497">
        <v>898</v>
      </c>
      <c r="O127" s="497">
        <v>898</v>
      </c>
      <c r="P127" s="497">
        <v>898</v>
      </c>
      <c r="Q127" s="497">
        <v>898</v>
      </c>
      <c r="R127" s="497">
        <v>898</v>
      </c>
      <c r="S127" s="497">
        <v>898</v>
      </c>
      <c r="T127" s="497">
        <v>898</v>
      </c>
      <c r="U127" s="497">
        <v>898</v>
      </c>
      <c r="V127" s="497">
        <v>898</v>
      </c>
      <c r="W127" s="36"/>
      <c r="X127" s="36"/>
    </row>
    <row r="128" spans="3:24">
      <c r="C128" s="19" t="s">
        <v>56</v>
      </c>
      <c r="D128" s="16"/>
      <c r="E128" s="43" t="s">
        <v>94</v>
      </c>
      <c r="G128" s="17">
        <v>-49998</v>
      </c>
      <c r="H128" s="17">
        <v>0</v>
      </c>
      <c r="I128" s="17">
        <v>0</v>
      </c>
      <c r="J128" s="17">
        <v>0</v>
      </c>
      <c r="K128" s="17">
        <v>0</v>
      </c>
      <c r="L128" s="17">
        <v>0</v>
      </c>
      <c r="M128" s="497">
        <v>0</v>
      </c>
      <c r="N128" s="497">
        <v>0</v>
      </c>
      <c r="O128" s="497">
        <v>0</v>
      </c>
      <c r="P128" s="497">
        <v>0</v>
      </c>
      <c r="Q128" s="497">
        <v>0</v>
      </c>
      <c r="R128" s="497">
        <v>0</v>
      </c>
      <c r="S128" s="497">
        <v>0</v>
      </c>
      <c r="T128" s="497">
        <v>0</v>
      </c>
      <c r="U128" s="497">
        <v>0</v>
      </c>
      <c r="V128" s="497">
        <v>0</v>
      </c>
      <c r="W128" s="36"/>
      <c r="X128" s="36"/>
    </row>
    <row r="129" spans="2:24">
      <c r="C129" s="19" t="s">
        <v>57</v>
      </c>
      <c r="D129" s="16"/>
      <c r="E129" s="43" t="s">
        <v>94</v>
      </c>
      <c r="G129" s="17">
        <v>434391</v>
      </c>
      <c r="H129" s="17">
        <v>566916</v>
      </c>
      <c r="I129" s="17">
        <v>549349</v>
      </c>
      <c r="J129" s="17">
        <v>589783</v>
      </c>
      <c r="K129" s="17">
        <v>855452</v>
      </c>
      <c r="L129" s="17">
        <v>891791</v>
      </c>
      <c r="M129" s="497">
        <v>891791</v>
      </c>
      <c r="N129" s="497">
        <v>855452</v>
      </c>
      <c r="O129" s="497">
        <v>855452</v>
      </c>
      <c r="P129" s="497">
        <v>855452</v>
      </c>
      <c r="Q129" s="497">
        <v>855452</v>
      </c>
      <c r="R129" s="497">
        <v>855452</v>
      </c>
      <c r="S129" s="497">
        <v>855452</v>
      </c>
      <c r="T129" s="497">
        <v>855452</v>
      </c>
      <c r="U129" s="497">
        <v>855452</v>
      </c>
      <c r="V129" s="497">
        <v>855452</v>
      </c>
      <c r="W129" s="36"/>
      <c r="X129" s="36"/>
    </row>
    <row r="130" spans="2:24">
      <c r="C130" s="19" t="s">
        <v>58</v>
      </c>
      <c r="D130" s="16"/>
      <c r="E130" s="43" t="s">
        <v>94</v>
      </c>
      <c r="G130" s="17">
        <v>-391215</v>
      </c>
      <c r="H130" s="17">
        <v>-384187</v>
      </c>
      <c r="I130" s="17">
        <v>-447756</v>
      </c>
      <c r="J130" s="17">
        <v>-585220</v>
      </c>
      <c r="K130" s="17">
        <v>-745496</v>
      </c>
      <c r="L130" s="36">
        <v>-794328</v>
      </c>
      <c r="M130" s="36">
        <f>L130+M142+M144+M173</f>
        <v>-678238.79571200011</v>
      </c>
      <c r="N130" s="36">
        <f t="shared" ref="N130:V130" si="117">M130+N142+N144+N173</f>
        <v>-510117.03813248011</v>
      </c>
      <c r="O130" s="36">
        <f t="shared" si="117"/>
        <v>-265742.36827066477</v>
      </c>
      <c r="P130" s="36">
        <f t="shared" si="117"/>
        <v>163824.91630101632</v>
      </c>
      <c r="Q130" s="36">
        <f t="shared" si="117"/>
        <v>788255.96996029641</v>
      </c>
      <c r="R130" s="36">
        <f t="shared" si="117"/>
        <v>1544558.5335770126</v>
      </c>
      <c r="S130" s="36">
        <f t="shared" si="117"/>
        <v>2408431.2533999113</v>
      </c>
      <c r="T130" s="36">
        <f t="shared" si="117"/>
        <v>3366220.6369978017</v>
      </c>
      <c r="U130" s="36">
        <f t="shared" si="117"/>
        <v>4391736.3891611295</v>
      </c>
      <c r="V130" s="36">
        <f t="shared" si="117"/>
        <v>5492224.5212402977</v>
      </c>
      <c r="W130" s="36"/>
      <c r="X130" s="36"/>
    </row>
    <row r="131" spans="2:24">
      <c r="C131" s="20" t="s">
        <v>59</v>
      </c>
      <c r="D131" s="16"/>
      <c r="E131" s="43" t="s">
        <v>94</v>
      </c>
      <c r="G131" s="21">
        <v>-22806</v>
      </c>
      <c r="H131" s="21">
        <v>-21051</v>
      </c>
      <c r="I131" s="21">
        <v>-23940</v>
      </c>
      <c r="J131" s="21">
        <v>-26341</v>
      </c>
      <c r="K131" s="21">
        <v>-23167</v>
      </c>
      <c r="L131" s="186">
        <v>-24580</v>
      </c>
      <c r="M131" s="498">
        <v>-23167</v>
      </c>
      <c r="N131" s="498">
        <v>-23167</v>
      </c>
      <c r="O131" s="498">
        <v>-23167</v>
      </c>
      <c r="P131" s="498">
        <v>-23167</v>
      </c>
      <c r="Q131" s="498">
        <v>-23167</v>
      </c>
      <c r="R131" s="498">
        <v>-23167</v>
      </c>
      <c r="S131" s="498">
        <v>-23167</v>
      </c>
      <c r="T131" s="498">
        <v>-23167</v>
      </c>
      <c r="U131" s="498">
        <v>-23167</v>
      </c>
      <c r="V131" s="498">
        <v>-23167</v>
      </c>
      <c r="W131" s="36"/>
      <c r="X131" s="36"/>
    </row>
    <row r="132" spans="2:24">
      <c r="C132" s="15" t="s">
        <v>60</v>
      </c>
      <c r="D132" s="16"/>
      <c r="E132" s="90" t="s">
        <v>94</v>
      </c>
      <c r="G132" s="23">
        <v>-29199</v>
      </c>
      <c r="H132" s="23">
        <f>SUM(H126:H131)</f>
        <v>162266</v>
      </c>
      <c r="I132" s="23">
        <f>SUM(I126:I131)</f>
        <v>78244</v>
      </c>
      <c r="J132" s="23">
        <f>SUM(J126:J131)</f>
        <v>-21145</v>
      </c>
      <c r="K132" s="23">
        <f>SUM(K126:K131)</f>
        <v>87739</v>
      </c>
      <c r="L132" s="23">
        <f t="shared" ref="L132:V132" si="118">SUM(L126:L131)</f>
        <v>73848</v>
      </c>
      <c r="M132" s="23">
        <f t="shared" si="118"/>
        <v>191283.20428799989</v>
      </c>
      <c r="N132" s="23">
        <f t="shared" si="118"/>
        <v>323065.96186751989</v>
      </c>
      <c r="O132" s="23">
        <f t="shared" si="118"/>
        <v>567440.63172933529</v>
      </c>
      <c r="P132" s="23">
        <f t="shared" si="118"/>
        <v>997007.91630101635</v>
      </c>
      <c r="Q132" s="23">
        <f t="shared" si="118"/>
        <v>1621438.9699602965</v>
      </c>
      <c r="R132" s="23">
        <f t="shared" si="118"/>
        <v>2377741.5335770128</v>
      </c>
      <c r="S132" s="23">
        <f t="shared" si="118"/>
        <v>3241614.2533999113</v>
      </c>
      <c r="T132" s="23">
        <f t="shared" si="118"/>
        <v>4199403.6369978022</v>
      </c>
      <c r="U132" s="23">
        <f t="shared" si="118"/>
        <v>5224919.3891611295</v>
      </c>
      <c r="V132" s="23">
        <f t="shared" si="118"/>
        <v>6325407.5212402977</v>
      </c>
    </row>
    <row r="133" spans="2:24">
      <c r="D133" s="15"/>
      <c r="G133" s="17"/>
      <c r="H133" s="17"/>
      <c r="I133" s="17"/>
      <c r="J133" s="17"/>
      <c r="K133" s="17"/>
    </row>
    <row r="134" spans="2:24">
      <c r="C134" s="15" t="s">
        <v>61</v>
      </c>
      <c r="D134" s="15"/>
      <c r="E134" s="90" t="s">
        <v>94</v>
      </c>
      <c r="G134" s="23">
        <v>151436</v>
      </c>
      <c r="H134" s="23">
        <f>SUM(H123,H132)</f>
        <v>311637</v>
      </c>
      <c r="I134" s="23">
        <f>SUM(I123,I132)</f>
        <v>247265</v>
      </c>
      <c r="J134" s="23">
        <f>SUM(J123,J132)</f>
        <v>132785</v>
      </c>
      <c r="K134" s="23">
        <f>SUM(K123,K132)</f>
        <v>164698</v>
      </c>
      <c r="L134" s="23">
        <f t="shared" ref="L134:V134" si="119">SUM(L123,L132)</f>
        <v>164236</v>
      </c>
      <c r="M134" s="23">
        <f t="shared" si="119"/>
        <v>245870.81428799988</v>
      </c>
      <c r="N134" s="23">
        <f t="shared" si="119"/>
        <v>377107.69576751988</v>
      </c>
      <c r="O134" s="23">
        <f t="shared" si="119"/>
        <v>620941.94829033525</v>
      </c>
      <c r="P134" s="23">
        <f t="shared" si="119"/>
        <v>1049974.2196964063</v>
      </c>
      <c r="Q134" s="23">
        <f t="shared" si="119"/>
        <v>1673875.6103217327</v>
      </c>
      <c r="R134" s="23">
        <f t="shared" si="119"/>
        <v>2429653.8075348344</v>
      </c>
      <c r="S134" s="23">
        <f t="shared" si="119"/>
        <v>3293007.4046181547</v>
      </c>
      <c r="T134" s="23">
        <f t="shared" si="119"/>
        <v>4250282.8567038635</v>
      </c>
      <c r="U134" s="23">
        <f t="shared" si="119"/>
        <v>5275289.81667013</v>
      </c>
      <c r="V134" s="23">
        <f t="shared" si="119"/>
        <v>6375274.244474208</v>
      </c>
    </row>
    <row r="135" spans="2:24">
      <c r="L135" s="192"/>
      <c r="M135" s="192"/>
      <c r="N135" s="192"/>
      <c r="O135" s="192"/>
      <c r="P135" s="192"/>
      <c r="Q135" s="192"/>
      <c r="R135" s="192"/>
      <c r="S135" s="192"/>
      <c r="T135" s="192"/>
      <c r="U135" s="192"/>
      <c r="V135" s="192"/>
    </row>
    <row r="136" spans="2:24">
      <c r="C136" s="27" t="s">
        <v>75</v>
      </c>
      <c r="E136" s="190" t="s">
        <v>190</v>
      </c>
      <c r="G136" s="41">
        <f>G110-G134</f>
        <v>0</v>
      </c>
      <c r="H136" s="41">
        <f>H110-H134</f>
        <v>0</v>
      </c>
      <c r="I136" s="41">
        <f>I110-I134</f>
        <v>0</v>
      </c>
      <c r="J136" s="41">
        <f>J110-J134</f>
        <v>0</v>
      </c>
      <c r="K136" s="41">
        <f>K110-K134</f>
        <v>0</v>
      </c>
      <c r="L136" s="41">
        <f t="shared" ref="L136:V136" si="120">L110-L134</f>
        <v>0</v>
      </c>
      <c r="M136" s="41">
        <f t="shared" si="120"/>
        <v>0</v>
      </c>
      <c r="N136" s="41">
        <f>N110-N134</f>
        <v>0</v>
      </c>
      <c r="O136" s="41">
        <f t="shared" si="120"/>
        <v>0</v>
      </c>
      <c r="P136" s="41">
        <f t="shared" si="120"/>
        <v>0</v>
      </c>
      <c r="Q136" s="41">
        <f t="shared" si="120"/>
        <v>0</v>
      </c>
      <c r="R136" s="41">
        <f t="shared" si="120"/>
        <v>0</v>
      </c>
      <c r="S136" s="41">
        <f t="shared" si="120"/>
        <v>0</v>
      </c>
      <c r="T136" s="41">
        <f t="shared" si="120"/>
        <v>0</v>
      </c>
      <c r="U136" s="41">
        <f t="shared" si="120"/>
        <v>0</v>
      </c>
      <c r="V136" s="41">
        <f t="shared" si="120"/>
        <v>0</v>
      </c>
    </row>
    <row r="138" spans="2:24">
      <c r="B138" s="1"/>
      <c r="C138" s="1"/>
      <c r="D138" s="1"/>
      <c r="E138" s="1"/>
      <c r="F138" s="1"/>
      <c r="G138" s="2"/>
      <c r="H138" s="2"/>
      <c r="I138" s="3" t="s">
        <v>0</v>
      </c>
      <c r="J138" s="2"/>
      <c r="K138" s="2"/>
      <c r="L138" s="2"/>
      <c r="M138" s="4"/>
      <c r="N138" s="2"/>
      <c r="O138" s="2"/>
      <c r="P138" s="2"/>
      <c r="Q138" s="3" t="s">
        <v>1</v>
      </c>
      <c r="R138" s="2"/>
      <c r="S138" s="2"/>
      <c r="T138" s="2"/>
      <c r="U138" s="2"/>
      <c r="V138" s="2"/>
    </row>
    <row r="139" spans="2:24">
      <c r="B139" s="5" t="str">
        <f>"Cash Flow Statement - "&amp;Company_Name</f>
        <v>Cash Flow Statement - Avadel Pharmaceuticals, PLC</v>
      </c>
      <c r="C139" s="1"/>
      <c r="D139" s="1"/>
      <c r="E139" s="6" t="s">
        <v>2</v>
      </c>
      <c r="F139" s="7"/>
      <c r="G139" s="8">
        <v>43646</v>
      </c>
      <c r="H139" s="8">
        <f>EOMONTH(G139,12)</f>
        <v>44012</v>
      </c>
      <c r="I139" s="8">
        <f t="shared" ref="I139" si="121">EOMONTH(H139,12)</f>
        <v>44377</v>
      </c>
      <c r="J139" s="8">
        <f t="shared" ref="J139" si="122">EOMONTH(I139,12)</f>
        <v>44742</v>
      </c>
      <c r="K139" s="8">
        <f t="shared" ref="K139" si="123">EOMONTH(J139,12)</f>
        <v>45107</v>
      </c>
      <c r="L139" s="8">
        <f t="shared" ref="L139" si="124">EOMONTH(K139,12)</f>
        <v>45473</v>
      </c>
      <c r="M139" s="9">
        <f t="shared" ref="M139" si="125">EOMONTH(L139,12)</f>
        <v>45838</v>
      </c>
      <c r="N139" s="8">
        <f t="shared" ref="N139" si="126">EOMONTH(M139,12)</f>
        <v>46203</v>
      </c>
      <c r="O139" s="8">
        <f t="shared" ref="O139" si="127">EOMONTH(N139,12)</f>
        <v>46568</v>
      </c>
      <c r="P139" s="8">
        <f t="shared" ref="P139" si="128">EOMONTH(O139,12)</f>
        <v>46934</v>
      </c>
      <c r="Q139" s="8">
        <f t="shared" ref="Q139" si="129">EOMONTH(P139,12)</f>
        <v>47299</v>
      </c>
      <c r="R139" s="8">
        <f t="shared" ref="R139" si="130">EOMONTH(Q139,12)</f>
        <v>47664</v>
      </c>
      <c r="S139" s="8">
        <f t="shared" ref="S139" si="131">EOMONTH(R139,12)</f>
        <v>48029</v>
      </c>
      <c r="T139" s="8">
        <f t="shared" ref="T139" si="132">EOMONTH(S139,12)</f>
        <v>48395</v>
      </c>
      <c r="U139" s="8">
        <f t="shared" ref="U139" si="133">EOMONTH(T139,12)</f>
        <v>48760</v>
      </c>
      <c r="V139" s="8">
        <f t="shared" ref="V139" si="134">EOMONTH(U139,12)</f>
        <v>49125</v>
      </c>
    </row>
    <row r="140" spans="2:24">
      <c r="C140" s="40" t="s">
        <v>89</v>
      </c>
      <c r="D140" s="35"/>
      <c r="E140" s="35"/>
      <c r="F140" s="35"/>
      <c r="G140" s="35"/>
      <c r="H140" s="35"/>
      <c r="I140" s="35"/>
      <c r="J140" s="35"/>
      <c r="K140" s="35"/>
      <c r="L140" s="35"/>
      <c r="M140" s="35"/>
      <c r="N140" s="35"/>
      <c r="O140" s="35"/>
      <c r="P140" s="35"/>
      <c r="Q140" s="35"/>
      <c r="R140" s="35"/>
      <c r="S140" s="35"/>
      <c r="T140" s="35"/>
      <c r="U140" s="35"/>
      <c r="V140" s="35"/>
    </row>
    <row r="142" spans="2:24" s="27" customFormat="1">
      <c r="C142" s="32" t="s">
        <v>76</v>
      </c>
      <c r="E142" s="90" t="s">
        <v>94</v>
      </c>
      <c r="G142" s="544">
        <v>-33226</v>
      </c>
      <c r="H142" s="544">
        <v>7028</v>
      </c>
      <c r="I142" s="544">
        <v>-77329</v>
      </c>
      <c r="J142" s="544">
        <v>-137464</v>
      </c>
      <c r="K142" s="544">
        <v>-160276</v>
      </c>
      <c r="L142" s="91">
        <f>L85</f>
        <v>-48832</v>
      </c>
      <c r="M142" s="91">
        <f t="shared" ref="M142:V142" si="135">M85</f>
        <v>105821.831808</v>
      </c>
      <c r="N142" s="91">
        <f t="shared" si="135"/>
        <v>154904.12255232001</v>
      </c>
      <c r="O142" s="91">
        <f t="shared" si="135"/>
        <v>228049.86038938275</v>
      </c>
      <c r="P142" s="91">
        <f t="shared" si="135"/>
        <v>403031.65886444546</v>
      </c>
      <c r="Q142" s="91">
        <f t="shared" si="135"/>
        <v>589932.03502590419</v>
      </c>
      <c r="R142" s="91">
        <f t="shared" si="135"/>
        <v>723093.23355546594</v>
      </c>
      <c r="S142" s="91">
        <f t="shared" si="135"/>
        <v>829489.17825408513</v>
      </c>
      <c r="T142" s="91">
        <f t="shared" si="135"/>
        <v>923282.07538169844</v>
      </c>
      <c r="U142" s="91">
        <f t="shared" si="135"/>
        <v>996876.25238986616</v>
      </c>
      <c r="V142" s="91">
        <f t="shared" si="135"/>
        <v>1072953.8373098583</v>
      </c>
    </row>
    <row r="143" spans="2:24">
      <c r="C143" s="19" t="s">
        <v>62</v>
      </c>
      <c r="E143" s="43" t="s">
        <v>94</v>
      </c>
      <c r="G143" s="31">
        <v>2486</v>
      </c>
      <c r="H143" s="31">
        <v>1690</v>
      </c>
      <c r="I143" s="31">
        <v>815</v>
      </c>
      <c r="J143" s="31">
        <v>1493</v>
      </c>
      <c r="K143" s="31">
        <v>1766</v>
      </c>
      <c r="L143" s="537">
        <v>2681</v>
      </c>
      <c r="M143" s="501">
        <f t="shared" ref="M143:V143" si="136">L105*(1-0.95)</f>
        <v>324.45000000000027</v>
      </c>
      <c r="N143" s="501">
        <f t="shared" si="136"/>
        <v>308.22750000000025</v>
      </c>
      <c r="O143" s="501">
        <f t="shared" si="136"/>
        <v>292.81612500000023</v>
      </c>
      <c r="P143" s="501">
        <f t="shared" si="136"/>
        <v>278.1753187500002</v>
      </c>
      <c r="Q143" s="501">
        <f t="shared" si="136"/>
        <v>264.26655281250021</v>
      </c>
      <c r="R143" s="501">
        <f t="shared" si="136"/>
        <v>251.0532251718752</v>
      </c>
      <c r="S143" s="501">
        <f t="shared" si="136"/>
        <v>238.50056391328141</v>
      </c>
      <c r="T143" s="501">
        <f t="shared" si="136"/>
        <v>226.57553571761733</v>
      </c>
      <c r="U143" s="501">
        <f t="shared" si="136"/>
        <v>215.24675893173645</v>
      </c>
      <c r="V143" s="501">
        <f t="shared" si="136"/>
        <v>204.4844209851496</v>
      </c>
    </row>
    <row r="144" spans="2:24">
      <c r="C144" s="19" t="s">
        <v>63</v>
      </c>
      <c r="E144" s="43" t="s">
        <v>94</v>
      </c>
      <c r="G144" s="31">
        <v>519</v>
      </c>
      <c r="H144" s="31">
        <v>2999</v>
      </c>
      <c r="I144" s="31">
        <v>8872</v>
      </c>
      <c r="J144" s="31">
        <v>7013</v>
      </c>
      <c r="K144" s="31">
        <v>15811</v>
      </c>
      <c r="L144" s="537">
        <v>20387</v>
      </c>
      <c r="M144" s="31">
        <f t="shared" ref="M144:V144" si="137">M53*-M73</f>
        <v>10472.172479999997</v>
      </c>
      <c r="N144" s="31">
        <f t="shared" si="137"/>
        <v>13607.395027199998</v>
      </c>
      <c r="O144" s="31">
        <f t="shared" si="137"/>
        <v>16613.321472432555</v>
      </c>
      <c r="P144" s="31">
        <f t="shared" si="137"/>
        <v>26749.04010723564</v>
      </c>
      <c r="Q144" s="31">
        <f t="shared" si="137"/>
        <v>34846.115913375819</v>
      </c>
      <c r="R144" s="31">
        <f t="shared" si="137"/>
        <v>33498.046797250143</v>
      </c>
      <c r="S144" s="31">
        <f t="shared" si="137"/>
        <v>34689.041652014079</v>
      </c>
      <c r="T144" s="31">
        <f t="shared" si="137"/>
        <v>34795.956316032061</v>
      </c>
      <c r="U144" s="31">
        <f t="shared" si="137"/>
        <v>28928.175093269409</v>
      </c>
      <c r="V144" s="31">
        <f t="shared" si="137"/>
        <v>27838.022273079619</v>
      </c>
    </row>
    <row r="145" spans="3:23">
      <c r="C145" s="19" t="s">
        <v>64</v>
      </c>
      <c r="E145" s="43" t="s">
        <v>94</v>
      </c>
      <c r="G145" s="31">
        <v>-254</v>
      </c>
      <c r="H145" s="31">
        <v>142</v>
      </c>
      <c r="I145" s="31">
        <v>1055</v>
      </c>
      <c r="J145" s="31">
        <v>2042</v>
      </c>
      <c r="K145" s="31">
        <v>1262</v>
      </c>
      <c r="L145" s="538">
        <v>-828</v>
      </c>
      <c r="M145" s="493">
        <f>(L106-M106)+(M120-L120)</f>
        <v>17</v>
      </c>
      <c r="N145" s="493">
        <f t="shared" ref="N145:V145" si="138">(M106-N106)+(N120-M120)</f>
        <v>16.48960000000011</v>
      </c>
      <c r="O145" s="493">
        <f t="shared" si="138"/>
        <v>15.99111199999993</v>
      </c>
      <c r="P145" s="493">
        <f t="shared" si="138"/>
        <v>15.504280719999997</v>
      </c>
      <c r="Q145" s="493">
        <f t="shared" si="138"/>
        <v>15.028856156000074</v>
      </c>
      <c r="R145" s="493">
        <f t="shared" si="138"/>
        <v>14.564593472775869</v>
      </c>
      <c r="S145" s="493">
        <f t="shared" si="138"/>
        <v>14.111252898817384</v>
      </c>
      <c r="T145" s="493">
        <f t="shared" si="138"/>
        <v>13.668599623383216</v>
      </c>
      <c r="U145" s="493">
        <f t="shared" si="138"/>
        <v>13.236403695632362</v>
      </c>
      <c r="V145" s="493">
        <f t="shared" si="138"/>
        <v>12.814439925788975</v>
      </c>
    </row>
    <row r="146" spans="3:23">
      <c r="C146" s="19" t="s">
        <v>497</v>
      </c>
      <c r="E146" s="43" t="s">
        <v>94</v>
      </c>
      <c r="G146" s="31">
        <v>-10216</v>
      </c>
      <c r="H146" s="31">
        <v>-52458</v>
      </c>
      <c r="I146" s="31">
        <v>-14418</v>
      </c>
      <c r="J146" s="31">
        <v>32077</v>
      </c>
      <c r="K146" s="31">
        <v>15925</v>
      </c>
      <c r="L146" s="36">
        <v>0</v>
      </c>
      <c r="M146" s="493">
        <v>0</v>
      </c>
      <c r="N146" s="493">
        <v>0</v>
      </c>
      <c r="O146" s="493">
        <v>0</v>
      </c>
      <c r="P146" s="493">
        <v>0</v>
      </c>
      <c r="Q146" s="493">
        <v>0</v>
      </c>
      <c r="R146" s="493">
        <v>0</v>
      </c>
      <c r="S146" s="493">
        <v>0</v>
      </c>
      <c r="T146" s="493">
        <v>0</v>
      </c>
      <c r="U146" s="493">
        <v>0</v>
      </c>
      <c r="V146" s="493">
        <v>0</v>
      </c>
    </row>
    <row r="147" spans="3:23">
      <c r="C147" s="19"/>
      <c r="G147" s="31"/>
      <c r="H147" s="31"/>
      <c r="I147" s="31"/>
      <c r="J147" s="31"/>
      <c r="K147" s="31"/>
    </row>
    <row r="148" spans="3:23">
      <c r="C148" s="30" t="s">
        <v>77</v>
      </c>
      <c r="G148" s="31"/>
      <c r="H148" s="31"/>
      <c r="I148" s="31"/>
      <c r="J148" s="31"/>
      <c r="K148" s="31"/>
    </row>
    <row r="149" spans="3:23">
      <c r="C149" s="19" t="s">
        <v>65</v>
      </c>
      <c r="E149" s="43" t="s">
        <v>94</v>
      </c>
      <c r="G149" s="31">
        <v>2471</v>
      </c>
      <c r="H149" s="31">
        <v>8281</v>
      </c>
      <c r="I149" s="31">
        <v>0</v>
      </c>
      <c r="J149" s="31">
        <v>0</v>
      </c>
      <c r="K149" s="31">
        <v>-12103</v>
      </c>
      <c r="L149" s="542">
        <v>-21994</v>
      </c>
      <c r="M149" s="36">
        <f t="shared" ref="M149:V149" si="139">L101-M101</f>
        <v>340.97000000000116</v>
      </c>
      <c r="N149" s="36">
        <f t="shared" si="139"/>
        <v>337.56029999999737</v>
      </c>
      <c r="O149" s="36">
        <f t="shared" si="139"/>
        <v>334.18469699999696</v>
      </c>
      <c r="P149" s="36">
        <f t="shared" si="139"/>
        <v>330.84285002999968</v>
      </c>
      <c r="Q149" s="36">
        <f t="shared" si="139"/>
        <v>327.53442152970092</v>
      </c>
      <c r="R149" s="36">
        <f t="shared" si="139"/>
        <v>324.25907731440384</v>
      </c>
      <c r="S149" s="36">
        <f t="shared" si="139"/>
        <v>321.01648654125893</v>
      </c>
      <c r="T149" s="36">
        <f t="shared" si="139"/>
        <v>317.80632167584554</v>
      </c>
      <c r="U149" s="36">
        <f t="shared" si="139"/>
        <v>314.6282584590881</v>
      </c>
      <c r="V149" s="36">
        <f t="shared" si="139"/>
        <v>311.48197587449613</v>
      </c>
    </row>
    <row r="150" spans="3:23">
      <c r="C150" s="19" t="s">
        <v>66</v>
      </c>
      <c r="E150" s="43" t="s">
        <v>94</v>
      </c>
      <c r="G150" s="31">
        <v>1155</v>
      </c>
      <c r="H150" s="31">
        <v>-1352</v>
      </c>
      <c r="I150" s="31">
        <v>0</v>
      </c>
      <c r="J150" s="31">
        <v>0</v>
      </c>
      <c r="K150" s="31">
        <v>-9532</v>
      </c>
      <c r="L150" s="537">
        <v>-9219</v>
      </c>
      <c r="M150" s="36">
        <f t="shared" ref="M150:V150" si="140">L102-M102</f>
        <v>202.97999999999956</v>
      </c>
      <c r="N150" s="36">
        <f t="shared" si="140"/>
        <v>200.95019999999931</v>
      </c>
      <c r="O150" s="36">
        <f t="shared" si="140"/>
        <v>198.94069799999852</v>
      </c>
      <c r="P150" s="36">
        <f t="shared" si="140"/>
        <v>196.95129101999919</v>
      </c>
      <c r="Q150" s="36">
        <f t="shared" si="140"/>
        <v>194.98177810979905</v>
      </c>
      <c r="R150" s="36">
        <f t="shared" si="140"/>
        <v>193.03196032870255</v>
      </c>
      <c r="S150" s="36">
        <f t="shared" si="140"/>
        <v>191.10164072541374</v>
      </c>
      <c r="T150" s="36">
        <f t="shared" si="140"/>
        <v>189.19062431816201</v>
      </c>
      <c r="U150" s="36">
        <f t="shared" si="140"/>
        <v>187.29871807498057</v>
      </c>
      <c r="V150" s="36">
        <f t="shared" si="140"/>
        <v>185.42573089422876</v>
      </c>
    </row>
    <row r="151" spans="3:23">
      <c r="C151" s="19" t="s">
        <v>191</v>
      </c>
      <c r="E151" s="43" t="s">
        <v>94</v>
      </c>
      <c r="G151" s="31">
        <v>-1187</v>
      </c>
      <c r="H151" s="31">
        <v>1863</v>
      </c>
      <c r="I151" s="31">
        <v>-439</v>
      </c>
      <c r="J151" s="31">
        <v>30815</v>
      </c>
      <c r="K151" s="31">
        <v>-3127</v>
      </c>
      <c r="L151" s="538">
        <v>416</v>
      </c>
      <c r="M151" s="36">
        <f t="shared" ref="M151:V151" si="141">L109-M109</f>
        <v>-5363</v>
      </c>
      <c r="N151" s="36">
        <f t="shared" si="141"/>
        <v>0</v>
      </c>
      <c r="O151" s="36">
        <f t="shared" si="141"/>
        <v>0</v>
      </c>
      <c r="P151" s="36">
        <f t="shared" si="141"/>
        <v>0</v>
      </c>
      <c r="Q151" s="36">
        <f t="shared" si="141"/>
        <v>0</v>
      </c>
      <c r="R151" s="36">
        <f t="shared" si="141"/>
        <v>0</v>
      </c>
      <c r="S151" s="36">
        <f t="shared" si="141"/>
        <v>0</v>
      </c>
      <c r="T151" s="36">
        <f t="shared" si="141"/>
        <v>0</v>
      </c>
      <c r="U151" s="36">
        <f t="shared" si="141"/>
        <v>0</v>
      </c>
      <c r="V151" s="36">
        <f t="shared" si="141"/>
        <v>0</v>
      </c>
    </row>
    <row r="152" spans="3:23">
      <c r="C152" s="19" t="s">
        <v>41</v>
      </c>
      <c r="E152" s="43" t="s">
        <v>94</v>
      </c>
      <c r="G152" s="31">
        <v>-1014</v>
      </c>
      <c r="H152" s="31">
        <v>2213</v>
      </c>
      <c r="I152" s="31">
        <v>2796</v>
      </c>
      <c r="J152" s="31">
        <v>30</v>
      </c>
      <c r="K152" s="31">
        <v>1884</v>
      </c>
      <c r="L152" s="36">
        <v>0</v>
      </c>
      <c r="M152" s="36">
        <f t="shared" ref="M152:V152" si="142">L108-M108</f>
        <v>0</v>
      </c>
      <c r="N152" s="36">
        <f t="shared" si="142"/>
        <v>0</v>
      </c>
      <c r="O152" s="36">
        <f t="shared" si="142"/>
        <v>0</v>
      </c>
      <c r="P152" s="36">
        <f t="shared" si="142"/>
        <v>0</v>
      </c>
      <c r="Q152" s="36">
        <f t="shared" si="142"/>
        <v>0</v>
      </c>
      <c r="R152" s="36">
        <f t="shared" si="142"/>
        <v>0</v>
      </c>
      <c r="S152" s="36">
        <f t="shared" si="142"/>
        <v>0</v>
      </c>
      <c r="T152" s="36">
        <f t="shared" si="142"/>
        <v>0</v>
      </c>
      <c r="U152" s="36">
        <f t="shared" si="142"/>
        <v>0</v>
      </c>
      <c r="V152" s="36">
        <f t="shared" si="142"/>
        <v>0</v>
      </c>
    </row>
    <row r="153" spans="3:23">
      <c r="C153" s="19" t="s">
        <v>90</v>
      </c>
      <c r="E153" s="43" t="s">
        <v>94</v>
      </c>
      <c r="G153" s="31">
        <v>4641</v>
      </c>
      <c r="H153" s="31">
        <v>-2788</v>
      </c>
      <c r="I153" s="31">
        <v>4232</v>
      </c>
      <c r="J153" s="31">
        <v>-3108</v>
      </c>
      <c r="K153" s="31">
        <v>1545</v>
      </c>
      <c r="L153" s="537">
        <v>-4093</v>
      </c>
      <c r="M153" s="36">
        <f t="shared" ref="M153:V153" si="143">M115-L115</f>
        <v>-73.279999999999745</v>
      </c>
      <c r="N153" s="36">
        <f t="shared" si="143"/>
        <v>-72.547199999999975</v>
      </c>
      <c r="O153" s="36">
        <f t="shared" si="143"/>
        <v>-71.821727999999894</v>
      </c>
      <c r="P153" s="36">
        <f t="shared" si="143"/>
        <v>-71.103510720000486</v>
      </c>
      <c r="Q153" s="36">
        <f t="shared" si="143"/>
        <v>-70.392475612799899</v>
      </c>
      <c r="R153" s="36">
        <f t="shared" si="143"/>
        <v>-69.688550856672009</v>
      </c>
      <c r="S153" s="36">
        <f t="shared" si="143"/>
        <v>-68.991665348105016</v>
      </c>
      <c r="T153" s="36">
        <f t="shared" si="143"/>
        <v>-68.301748694624621</v>
      </c>
      <c r="U153" s="36">
        <f t="shared" si="143"/>
        <v>-67.618731207678138</v>
      </c>
      <c r="V153" s="36">
        <f t="shared" si="143"/>
        <v>-66.942543895601375</v>
      </c>
    </row>
    <row r="154" spans="3:23">
      <c r="C154" s="19" t="s">
        <v>48</v>
      </c>
      <c r="E154" s="43" t="s">
        <v>94</v>
      </c>
      <c r="G154" s="31">
        <v>357</v>
      </c>
      <c r="H154" s="31">
        <v>-13226</v>
      </c>
      <c r="I154" s="31">
        <v>895</v>
      </c>
      <c r="J154" s="31">
        <v>227</v>
      </c>
      <c r="K154" s="31">
        <v>16892</v>
      </c>
      <c r="L154" s="537">
        <v>16424</v>
      </c>
      <c r="M154" s="36">
        <f t="shared" ref="M154:V154" si="144">M116-L116</f>
        <v>-406.51000000000204</v>
      </c>
      <c r="N154" s="36">
        <f t="shared" si="144"/>
        <v>-402.44490000000224</v>
      </c>
      <c r="O154" s="36">
        <f t="shared" si="144"/>
        <v>-398.42045099999814</v>
      </c>
      <c r="P154" s="36">
        <f t="shared" si="144"/>
        <v>-394.43624648999685</v>
      </c>
      <c r="Q154" s="36">
        <f t="shared" si="144"/>
        <v>-390.49188402509753</v>
      </c>
      <c r="R154" s="36">
        <f t="shared" si="144"/>
        <v>-386.58696518484794</v>
      </c>
      <c r="S154" s="36">
        <f t="shared" si="144"/>
        <v>-382.72109553300106</v>
      </c>
      <c r="T154" s="36">
        <f t="shared" si="144"/>
        <v>-378.893884577672</v>
      </c>
      <c r="U154" s="36">
        <f t="shared" si="144"/>
        <v>-375.10494573189499</v>
      </c>
      <c r="V154" s="36">
        <f t="shared" si="144"/>
        <v>-371.35389627457334</v>
      </c>
    </row>
    <row r="155" spans="3:23">
      <c r="C155" s="19" t="s">
        <v>67</v>
      </c>
      <c r="E155" s="43" t="s">
        <v>94</v>
      </c>
      <c r="G155" s="33">
        <v>-4057</v>
      </c>
      <c r="H155" s="33">
        <v>-3126</v>
      </c>
      <c r="I155" s="33">
        <v>-3789</v>
      </c>
      <c r="J155" s="33">
        <v>-3429</v>
      </c>
      <c r="K155" s="33">
        <v>1442</v>
      </c>
      <c r="L155" s="539">
        <v>-1849</v>
      </c>
      <c r="M155" s="186">
        <f t="shared" ref="M155:V155" si="145">M122-L122</f>
        <v>-54.5600000000004</v>
      </c>
      <c r="N155" s="186">
        <f t="shared" si="145"/>
        <v>-54.014400000000023</v>
      </c>
      <c r="O155" s="186">
        <f t="shared" si="145"/>
        <v>-53.474256000000423</v>
      </c>
      <c r="P155" s="186">
        <f t="shared" si="145"/>
        <v>-52.939513440000155</v>
      </c>
      <c r="Q155" s="186">
        <f t="shared" si="145"/>
        <v>-52.410118305600008</v>
      </c>
      <c r="R155" s="186">
        <f t="shared" si="145"/>
        <v>-51.886017122544217</v>
      </c>
      <c r="S155" s="186">
        <f t="shared" si="145"/>
        <v>-51.367156951318975</v>
      </c>
      <c r="T155" s="186">
        <f t="shared" si="145"/>
        <v>-50.853485381805513</v>
      </c>
      <c r="U155" s="186">
        <f t="shared" si="145"/>
        <v>-50.344950527987749</v>
      </c>
      <c r="V155" s="186">
        <f t="shared" si="145"/>
        <v>-49.841501022707234</v>
      </c>
    </row>
    <row r="156" spans="3:23">
      <c r="C156" s="32" t="s">
        <v>68</v>
      </c>
      <c r="E156" s="90" t="s">
        <v>94</v>
      </c>
      <c r="G156" s="23">
        <v>-38325</v>
      </c>
      <c r="H156" s="23">
        <f t="shared" ref="H156:V156" si="146">SUM(H142:H155)</f>
        <v>-48734</v>
      </c>
      <c r="I156" s="23">
        <f t="shared" si="146"/>
        <v>-77310</v>
      </c>
      <c r="J156" s="23">
        <f t="shared" si="146"/>
        <v>-70304</v>
      </c>
      <c r="K156" s="23">
        <f t="shared" si="146"/>
        <v>-128511</v>
      </c>
      <c r="L156" s="23">
        <f>SUM(L142:L155)</f>
        <v>-46907</v>
      </c>
      <c r="M156" s="23">
        <f t="shared" si="146"/>
        <v>111282.05428799998</v>
      </c>
      <c r="N156" s="23">
        <f t="shared" si="146"/>
        <v>168845.73867952003</v>
      </c>
      <c r="O156" s="23">
        <f t="shared" si="146"/>
        <v>244981.39805881531</v>
      </c>
      <c r="P156" s="23">
        <f t="shared" si="146"/>
        <v>430083.69344155112</v>
      </c>
      <c r="Q156" s="23">
        <f t="shared" si="146"/>
        <v>625066.66806994472</v>
      </c>
      <c r="R156" s="23">
        <f t="shared" si="146"/>
        <v>756866.02767583972</v>
      </c>
      <c r="S156" s="23">
        <f t="shared" si="146"/>
        <v>864439.86993234558</v>
      </c>
      <c r="T156" s="23">
        <f t="shared" si="146"/>
        <v>958327.22366041155</v>
      </c>
      <c r="U156" s="23">
        <f t="shared" si="146"/>
        <v>1026041.7689948295</v>
      </c>
      <c r="V156" s="23">
        <f t="shared" si="146"/>
        <v>1101017.928209425</v>
      </c>
    </row>
    <row r="157" spans="3:23">
      <c r="G157" s="31"/>
      <c r="H157" s="31"/>
      <c r="I157" s="31"/>
      <c r="J157" s="31"/>
      <c r="K157" s="31"/>
    </row>
    <row r="158" spans="3:23">
      <c r="C158" s="25" t="s">
        <v>78</v>
      </c>
      <c r="D158" s="35"/>
      <c r="E158" s="35"/>
      <c r="F158" s="35"/>
      <c r="G158" s="35"/>
      <c r="H158" s="35"/>
      <c r="I158" s="35"/>
      <c r="J158" s="35"/>
      <c r="K158" s="35"/>
      <c r="L158" s="35"/>
      <c r="M158" s="35"/>
      <c r="N158" s="35"/>
      <c r="O158" s="35"/>
      <c r="P158" s="35"/>
      <c r="Q158" s="35"/>
      <c r="R158" s="35"/>
      <c r="S158" s="35"/>
      <c r="T158" s="35"/>
      <c r="U158" s="35"/>
      <c r="V158" s="35"/>
    </row>
    <row r="159" spans="3:23">
      <c r="C159" s="14"/>
      <c r="G159" s="14"/>
      <c r="H159" s="14"/>
      <c r="I159" s="14"/>
      <c r="J159" s="14"/>
      <c r="K159" s="14"/>
    </row>
    <row r="160" spans="3:23">
      <c r="C160" s="19" t="s">
        <v>69</v>
      </c>
      <c r="E160" s="43" t="s">
        <v>94</v>
      </c>
      <c r="G160" s="31">
        <v>-29</v>
      </c>
      <c r="H160" s="31">
        <v>-98</v>
      </c>
      <c r="I160" s="31">
        <v>-26</v>
      </c>
      <c r="J160" s="31">
        <v>-716</v>
      </c>
      <c r="K160" s="31">
        <v>0</v>
      </c>
      <c r="L160" s="31">
        <v>0</v>
      </c>
      <c r="M160" s="502">
        <v>0</v>
      </c>
      <c r="N160" s="502">
        <v>0</v>
      </c>
      <c r="O160" s="502">
        <v>0</v>
      </c>
      <c r="P160" s="502">
        <v>0</v>
      </c>
      <c r="Q160" s="502">
        <v>0</v>
      </c>
      <c r="R160" s="502">
        <v>0</v>
      </c>
      <c r="S160" s="502">
        <v>0</v>
      </c>
      <c r="T160" s="502">
        <v>0</v>
      </c>
      <c r="U160" s="502">
        <v>0</v>
      </c>
      <c r="V160" s="502">
        <v>0</v>
      </c>
      <c r="W160" s="31"/>
    </row>
    <row r="161" spans="3:23">
      <c r="C161" s="19" t="s">
        <v>79</v>
      </c>
      <c r="E161" s="43" t="s">
        <v>94</v>
      </c>
      <c r="G161" s="31">
        <v>154</v>
      </c>
      <c r="H161" s="31">
        <v>0</v>
      </c>
      <c r="I161" s="31">
        <v>0</v>
      </c>
      <c r="J161" s="31">
        <v>0</v>
      </c>
      <c r="K161" s="31">
        <v>0</v>
      </c>
      <c r="L161" s="31">
        <v>0</v>
      </c>
      <c r="M161" s="502">
        <v>0</v>
      </c>
      <c r="N161" s="502">
        <v>0</v>
      </c>
      <c r="O161" s="502">
        <v>0</v>
      </c>
      <c r="P161" s="502">
        <v>0</v>
      </c>
      <c r="Q161" s="502">
        <v>0</v>
      </c>
      <c r="R161" s="502">
        <v>0</v>
      </c>
      <c r="S161" s="502">
        <v>0</v>
      </c>
      <c r="T161" s="502">
        <v>0</v>
      </c>
      <c r="U161" s="502">
        <v>0</v>
      </c>
      <c r="V161" s="502">
        <v>0</v>
      </c>
      <c r="W161" s="31"/>
    </row>
    <row r="162" spans="3:23">
      <c r="C162" s="19" t="s">
        <v>80</v>
      </c>
      <c r="E162" s="43" t="s">
        <v>94</v>
      </c>
      <c r="G162" s="31">
        <v>0</v>
      </c>
      <c r="H162" s="31">
        <v>25500</v>
      </c>
      <c r="I162" s="31">
        <v>16500</v>
      </c>
      <c r="J162" s="31">
        <v>0</v>
      </c>
      <c r="K162" s="31">
        <v>0</v>
      </c>
      <c r="L162" s="31">
        <v>0</v>
      </c>
      <c r="M162" s="502">
        <v>0</v>
      </c>
      <c r="N162" s="502">
        <v>0</v>
      </c>
      <c r="O162" s="502">
        <v>0</v>
      </c>
      <c r="P162" s="502">
        <v>0</v>
      </c>
      <c r="Q162" s="502">
        <v>0</v>
      </c>
      <c r="R162" s="502">
        <v>0</v>
      </c>
      <c r="S162" s="502">
        <v>0</v>
      </c>
      <c r="T162" s="502">
        <v>0</v>
      </c>
      <c r="U162" s="502">
        <v>0</v>
      </c>
      <c r="V162" s="502">
        <v>0</v>
      </c>
      <c r="W162" s="31"/>
    </row>
    <row r="163" spans="3:23">
      <c r="C163" s="19" t="s">
        <v>70</v>
      </c>
      <c r="E163" s="43" t="s">
        <v>94</v>
      </c>
      <c r="G163" s="31">
        <v>63246</v>
      </c>
      <c r="H163" s="31">
        <v>36284</v>
      </c>
      <c r="I163" s="31">
        <v>102224</v>
      </c>
      <c r="J163" s="31">
        <v>83828</v>
      </c>
      <c r="K163" s="31">
        <v>187136</v>
      </c>
      <c r="L163" s="31">
        <v>327781</v>
      </c>
      <c r="M163" s="36">
        <f>L100-M100</f>
        <v>22406</v>
      </c>
      <c r="N163" s="36">
        <f t="shared" ref="N163:V163" si="147">M100-N100</f>
        <v>0</v>
      </c>
      <c r="O163" s="36">
        <f t="shared" si="147"/>
        <v>0</v>
      </c>
      <c r="P163" s="36">
        <f t="shared" si="147"/>
        <v>0</v>
      </c>
      <c r="Q163" s="36">
        <f t="shared" si="147"/>
        <v>0</v>
      </c>
      <c r="R163" s="36">
        <f t="shared" si="147"/>
        <v>0</v>
      </c>
      <c r="S163" s="36">
        <f t="shared" si="147"/>
        <v>0</v>
      </c>
      <c r="T163" s="36">
        <f t="shared" si="147"/>
        <v>0</v>
      </c>
      <c r="U163" s="36">
        <f t="shared" si="147"/>
        <v>0</v>
      </c>
      <c r="V163" s="36">
        <f t="shared" si="147"/>
        <v>0</v>
      </c>
      <c r="W163" s="36"/>
    </row>
    <row r="164" spans="3:23">
      <c r="C164" s="20" t="s">
        <v>71</v>
      </c>
      <c r="E164" s="43" t="s">
        <v>94</v>
      </c>
      <c r="G164" s="33">
        <v>-24648</v>
      </c>
      <c r="H164" s="33">
        <v>-131407</v>
      </c>
      <c r="I164" s="33">
        <v>-61769</v>
      </c>
      <c r="J164" s="33">
        <v>-3414</v>
      </c>
      <c r="K164" s="33">
        <v>-237229</v>
      </c>
      <c r="L164" s="33">
        <v>-276001</v>
      </c>
      <c r="M164" s="500">
        <v>0</v>
      </c>
      <c r="N164" s="500">
        <v>0</v>
      </c>
      <c r="O164" s="500">
        <v>0</v>
      </c>
      <c r="P164" s="500">
        <v>0</v>
      </c>
      <c r="Q164" s="500">
        <v>0</v>
      </c>
      <c r="R164" s="500">
        <v>0</v>
      </c>
      <c r="S164" s="500">
        <v>0</v>
      </c>
      <c r="T164" s="500">
        <v>0</v>
      </c>
      <c r="U164" s="500">
        <v>0</v>
      </c>
      <c r="V164" s="500">
        <v>0</v>
      </c>
      <c r="W164" s="36"/>
    </row>
    <row r="165" spans="3:23">
      <c r="C165" s="32" t="s">
        <v>81</v>
      </c>
      <c r="E165" s="90" t="s">
        <v>94</v>
      </c>
      <c r="G165" s="23">
        <v>38723</v>
      </c>
      <c r="H165" s="23">
        <f t="shared" ref="H165:K165" si="148">SUM(H160:H164)</f>
        <v>-69721</v>
      </c>
      <c r="I165" s="23">
        <f t="shared" si="148"/>
        <v>56929</v>
      </c>
      <c r="J165" s="23">
        <f t="shared" si="148"/>
        <v>79698</v>
      </c>
      <c r="K165" s="23">
        <f t="shared" si="148"/>
        <v>-50093</v>
      </c>
      <c r="L165" s="23">
        <f t="shared" ref="L165" si="149">SUM(L160:L164)</f>
        <v>51780</v>
      </c>
      <c r="M165" s="23">
        <f t="shared" ref="M165" si="150">SUM(M160:M164)</f>
        <v>22406</v>
      </c>
      <c r="N165" s="23">
        <f t="shared" ref="N165" si="151">SUM(N160:N164)</f>
        <v>0</v>
      </c>
      <c r="O165" s="23">
        <f t="shared" ref="O165" si="152">SUM(O160:O164)</f>
        <v>0</v>
      </c>
      <c r="P165" s="23">
        <f t="shared" ref="P165" si="153">SUM(P160:P164)</f>
        <v>0</v>
      </c>
      <c r="Q165" s="23">
        <f t="shared" ref="Q165" si="154">SUM(Q160:Q164)</f>
        <v>0</v>
      </c>
      <c r="R165" s="23">
        <f t="shared" ref="R165" si="155">SUM(R160:R164)</f>
        <v>0</v>
      </c>
      <c r="S165" s="23">
        <f t="shared" ref="S165" si="156">SUM(S160:S164)</f>
        <v>0</v>
      </c>
      <c r="T165" s="23">
        <f t="shared" ref="T165" si="157">SUM(T160:T164)</f>
        <v>0</v>
      </c>
      <c r="U165" s="23">
        <f t="shared" ref="U165" si="158">SUM(U160:U164)</f>
        <v>0</v>
      </c>
      <c r="V165" s="23">
        <f t="shared" ref="V165" si="159">SUM(V160:V164)</f>
        <v>0</v>
      </c>
      <c r="W165" s="23"/>
    </row>
    <row r="166" spans="3:23">
      <c r="C166" s="30"/>
      <c r="G166" s="31"/>
      <c r="H166" s="31"/>
      <c r="I166" s="31"/>
      <c r="J166" s="31"/>
      <c r="K166" s="31"/>
    </row>
    <row r="167" spans="3:23">
      <c r="C167" s="25" t="s">
        <v>82</v>
      </c>
      <c r="D167" s="35"/>
      <c r="E167" s="35"/>
      <c r="F167" s="35"/>
      <c r="G167" s="35"/>
      <c r="H167" s="35"/>
      <c r="I167" s="35"/>
      <c r="J167" s="35"/>
      <c r="K167" s="35"/>
      <c r="L167" s="35"/>
      <c r="M167" s="35"/>
      <c r="N167" s="35"/>
      <c r="O167" s="35"/>
      <c r="P167" s="35"/>
      <c r="Q167" s="35"/>
      <c r="R167" s="35"/>
      <c r="S167" s="35"/>
      <c r="T167" s="35"/>
      <c r="U167" s="35"/>
      <c r="V167" s="35"/>
    </row>
    <row r="168" spans="3:23">
      <c r="C168" s="545"/>
    </row>
    <row r="169" spans="3:23">
      <c r="C169" s="19" t="s">
        <v>398</v>
      </c>
      <c r="E169" s="43" t="s">
        <v>94</v>
      </c>
      <c r="G169" s="14"/>
      <c r="H169" s="14"/>
      <c r="I169" s="14"/>
      <c r="J169" s="14"/>
      <c r="K169" s="14"/>
      <c r="M169" s="36">
        <f>M121-L121</f>
        <v>-35249</v>
      </c>
      <c r="N169" s="36">
        <f t="shared" ref="N169:V169" si="160">N121-M121</f>
        <v>0</v>
      </c>
      <c r="O169" s="36">
        <f t="shared" si="160"/>
        <v>0</v>
      </c>
      <c r="P169" s="36">
        <f t="shared" si="160"/>
        <v>0</v>
      </c>
      <c r="Q169" s="36">
        <f t="shared" si="160"/>
        <v>0</v>
      </c>
      <c r="R169" s="36">
        <f t="shared" si="160"/>
        <v>0</v>
      </c>
      <c r="S169" s="36">
        <f t="shared" si="160"/>
        <v>0</v>
      </c>
      <c r="T169" s="36">
        <f t="shared" si="160"/>
        <v>0</v>
      </c>
      <c r="U169" s="36">
        <f t="shared" si="160"/>
        <v>0</v>
      </c>
      <c r="V169" s="36">
        <f t="shared" si="160"/>
        <v>0</v>
      </c>
    </row>
    <row r="170" spans="3:23">
      <c r="C170" s="20" t="s">
        <v>192</v>
      </c>
      <c r="E170" s="43" t="s">
        <v>94</v>
      </c>
      <c r="G170" s="33">
        <v>-27</v>
      </c>
      <c r="H170" s="33">
        <v>179683</v>
      </c>
      <c r="I170" s="33">
        <v>263</v>
      </c>
      <c r="J170" s="33">
        <v>14543</v>
      </c>
      <c r="K170" s="33">
        <v>135335</v>
      </c>
      <c r="L170" s="186">
        <v>15970</v>
      </c>
      <c r="M170" s="186">
        <f>M127-L127+M129-L129+M131-L131</f>
        <v>1346</v>
      </c>
      <c r="N170" s="186">
        <f>N127-M127+N129-M129+N131-M131</f>
        <v>-36339</v>
      </c>
      <c r="O170" s="186">
        <f t="shared" ref="O170:V170" si="161">O127-N127+O129-N129+O131-N131</f>
        <v>0</v>
      </c>
      <c r="P170" s="186">
        <f t="shared" si="161"/>
        <v>0</v>
      </c>
      <c r="Q170" s="186">
        <f t="shared" si="161"/>
        <v>0</v>
      </c>
      <c r="R170" s="186">
        <f t="shared" si="161"/>
        <v>0</v>
      </c>
      <c r="S170" s="186">
        <f t="shared" si="161"/>
        <v>0</v>
      </c>
      <c r="T170" s="186">
        <f t="shared" si="161"/>
        <v>0</v>
      </c>
      <c r="U170" s="186">
        <f t="shared" si="161"/>
        <v>0</v>
      </c>
      <c r="V170" s="186">
        <f t="shared" si="161"/>
        <v>0</v>
      </c>
      <c r="W170" s="36"/>
    </row>
    <row r="171" spans="3:23">
      <c r="C171" s="32" t="s">
        <v>83</v>
      </c>
      <c r="E171" s="90" t="s">
        <v>94</v>
      </c>
      <c r="G171" s="23">
        <v>-27</v>
      </c>
      <c r="H171" s="23">
        <f>SUM(H170:H170)</f>
        <v>179683</v>
      </c>
      <c r="I171" s="23">
        <f>SUM(I170:I170)</f>
        <v>263</v>
      </c>
      <c r="J171" s="23">
        <f>SUM(J170:J170)</f>
        <v>14543</v>
      </c>
      <c r="K171" s="23">
        <f>SUM(K170:K170)</f>
        <v>135335</v>
      </c>
      <c r="L171" s="23">
        <f t="shared" ref="L171" si="162">SUM(L170:L170)</f>
        <v>15970</v>
      </c>
      <c r="M171" s="23">
        <f>SUM(M169:M170)</f>
        <v>-33903</v>
      </c>
      <c r="N171" s="23">
        <f t="shared" ref="N171:V171" si="163">SUM(N169:N170)</f>
        <v>-36339</v>
      </c>
      <c r="O171" s="23">
        <f t="shared" si="163"/>
        <v>0</v>
      </c>
      <c r="P171" s="23">
        <f t="shared" si="163"/>
        <v>0</v>
      </c>
      <c r="Q171" s="23">
        <f t="shared" si="163"/>
        <v>0</v>
      </c>
      <c r="R171" s="23">
        <f t="shared" si="163"/>
        <v>0</v>
      </c>
      <c r="S171" s="23">
        <f t="shared" si="163"/>
        <v>0</v>
      </c>
      <c r="T171" s="23">
        <f t="shared" si="163"/>
        <v>0</v>
      </c>
      <c r="U171" s="23">
        <f t="shared" si="163"/>
        <v>0</v>
      </c>
      <c r="V171" s="23">
        <f t="shared" si="163"/>
        <v>0</v>
      </c>
      <c r="W171" s="23"/>
    </row>
    <row r="172" spans="3:23">
      <c r="C172" s="14"/>
      <c r="G172" s="14"/>
      <c r="H172" s="14"/>
      <c r="I172" s="14"/>
      <c r="J172" s="14"/>
      <c r="K172" s="14"/>
    </row>
    <row r="173" spans="3:23">
      <c r="C173" s="30" t="s">
        <v>84</v>
      </c>
      <c r="E173" s="43" t="s">
        <v>94</v>
      </c>
      <c r="G173" s="31">
        <v>78</v>
      </c>
      <c r="H173" s="31">
        <v>720</v>
      </c>
      <c r="I173" s="31">
        <v>-896</v>
      </c>
      <c r="J173" s="31">
        <v>-664</v>
      </c>
      <c r="K173" s="31">
        <v>455</v>
      </c>
      <c r="L173" s="31">
        <v>-639</v>
      </c>
      <c r="M173" s="36">
        <f t="shared" ref="M173:V173" si="164">AVERAGE(H173:L173)</f>
        <v>-204.8</v>
      </c>
      <c r="N173" s="36">
        <f t="shared" si="164"/>
        <v>-389.76</v>
      </c>
      <c r="O173" s="36">
        <f t="shared" si="164"/>
        <v>-288.512</v>
      </c>
      <c r="P173" s="36">
        <f t="shared" si="164"/>
        <v>-213.41439999999997</v>
      </c>
      <c r="Q173" s="36">
        <f t="shared" si="164"/>
        <v>-347.09727999999996</v>
      </c>
      <c r="R173" s="36">
        <f t="shared" si="164"/>
        <v>-288.71673599999997</v>
      </c>
      <c r="S173" s="36">
        <f t="shared" si="164"/>
        <v>-305.50008319999995</v>
      </c>
      <c r="T173" s="36">
        <f t="shared" si="164"/>
        <v>-288.64809983999993</v>
      </c>
      <c r="U173" s="36">
        <f t="shared" si="164"/>
        <v>-288.67531980799998</v>
      </c>
      <c r="V173" s="36">
        <f t="shared" si="164"/>
        <v>-303.72750376959999</v>
      </c>
      <c r="W173" s="36"/>
    </row>
    <row r="174" spans="3:23">
      <c r="C174" s="30"/>
      <c r="E174" s="43" t="s">
        <v>94</v>
      </c>
      <c r="G174" s="31"/>
      <c r="H174" s="31"/>
      <c r="I174" s="31"/>
      <c r="J174" s="31"/>
      <c r="K174" s="31"/>
    </row>
    <row r="175" spans="3:23">
      <c r="C175" s="19" t="s">
        <v>85</v>
      </c>
      <c r="E175" s="43" t="s">
        <v>94</v>
      </c>
      <c r="G175" s="31">
        <v>449</v>
      </c>
      <c r="H175" s="31">
        <f>SUM(H156,H171,H165,H173)</f>
        <v>61948</v>
      </c>
      <c r="I175" s="31">
        <f>SUM(I156,I171,I165,I173)</f>
        <v>-21014</v>
      </c>
      <c r="J175" s="31">
        <f>SUM(J156,J171,J165,J173)</f>
        <v>23273</v>
      </c>
      <c r="K175" s="31">
        <f>SUM(K156,K171,K165,K173)</f>
        <v>-42814</v>
      </c>
      <c r="L175" s="31">
        <f t="shared" ref="L175:V175" si="165">SUM(L156,L171,L165,L173)</f>
        <v>20204</v>
      </c>
      <c r="M175" s="31">
        <f t="shared" si="165"/>
        <v>99580.254287999982</v>
      </c>
      <c r="N175" s="31">
        <f t="shared" si="165"/>
        <v>132116.97867952002</v>
      </c>
      <c r="O175" s="31">
        <f t="shared" si="165"/>
        <v>244692.88605881532</v>
      </c>
      <c r="P175" s="31">
        <f t="shared" si="165"/>
        <v>429870.27904155111</v>
      </c>
      <c r="Q175" s="31">
        <f t="shared" si="165"/>
        <v>624719.57078994473</v>
      </c>
      <c r="R175" s="31">
        <f t="shared" si="165"/>
        <v>756577.31093983969</v>
      </c>
      <c r="S175" s="31">
        <f t="shared" si="165"/>
        <v>864134.36984914553</v>
      </c>
      <c r="T175" s="31">
        <f t="shared" si="165"/>
        <v>958038.57556057151</v>
      </c>
      <c r="U175" s="31">
        <f t="shared" si="165"/>
        <v>1025753.0936750215</v>
      </c>
      <c r="V175" s="31">
        <f t="shared" si="165"/>
        <v>1100714.2007056554</v>
      </c>
      <c r="W175" s="31"/>
    </row>
    <row r="176" spans="3:23">
      <c r="C176" s="20" t="s">
        <v>86</v>
      </c>
      <c r="E176" s="43" t="s">
        <v>94</v>
      </c>
      <c r="G176" s="33">
        <v>9325</v>
      </c>
      <c r="H176" s="33">
        <v>9774</v>
      </c>
      <c r="I176" s="33">
        <v>71722</v>
      </c>
      <c r="J176" s="33">
        <v>50708</v>
      </c>
      <c r="K176" s="33">
        <v>73981</v>
      </c>
      <c r="L176" s="191">
        <f>K177</f>
        <v>31167</v>
      </c>
      <c r="M176" s="191">
        <f t="shared" ref="M176:V176" si="166">L177</f>
        <v>51371</v>
      </c>
      <c r="N176" s="191">
        <f t="shared" si="166"/>
        <v>150951.254288</v>
      </c>
      <c r="O176" s="191">
        <f t="shared" si="166"/>
        <v>283068.23296752002</v>
      </c>
      <c r="P176" s="191">
        <f t="shared" si="166"/>
        <v>527761.11902633531</v>
      </c>
      <c r="Q176" s="191">
        <f t="shared" si="166"/>
        <v>957631.39806788648</v>
      </c>
      <c r="R176" s="191">
        <f t="shared" si="166"/>
        <v>1582350.9688578313</v>
      </c>
      <c r="S176" s="191">
        <f t="shared" si="166"/>
        <v>2338928.2797976709</v>
      </c>
      <c r="T176" s="191">
        <f t="shared" si="166"/>
        <v>3203062.6496468163</v>
      </c>
      <c r="U176" s="191">
        <f t="shared" si="166"/>
        <v>4161101.2252073879</v>
      </c>
      <c r="V176" s="191">
        <f t="shared" si="166"/>
        <v>5186854.3188824095</v>
      </c>
      <c r="W176" s="89"/>
    </row>
    <row r="177" spans="3:23">
      <c r="C177" s="32" t="s">
        <v>87</v>
      </c>
      <c r="E177" s="90" t="s">
        <v>94</v>
      </c>
      <c r="G177" s="23">
        <v>9774</v>
      </c>
      <c r="H177" s="23">
        <f t="shared" ref="H177:L177" si="167">SUM(H176,H175)</f>
        <v>71722</v>
      </c>
      <c r="I177" s="23">
        <f t="shared" si="167"/>
        <v>50708</v>
      </c>
      <c r="J177" s="23">
        <f t="shared" si="167"/>
        <v>73981</v>
      </c>
      <c r="K177" s="23">
        <f t="shared" si="167"/>
        <v>31167</v>
      </c>
      <c r="L177" s="23">
        <f t="shared" si="167"/>
        <v>51371</v>
      </c>
      <c r="M177" s="23">
        <f t="shared" ref="M177:V177" si="168">SUM(M176,M175)</f>
        <v>150951.254288</v>
      </c>
      <c r="N177" s="23">
        <f t="shared" si="168"/>
        <v>283068.23296752002</v>
      </c>
      <c r="O177" s="23">
        <f t="shared" si="168"/>
        <v>527761.11902633531</v>
      </c>
      <c r="P177" s="23">
        <f t="shared" si="168"/>
        <v>957631.39806788648</v>
      </c>
      <c r="Q177" s="23">
        <f t="shared" si="168"/>
        <v>1582350.9688578313</v>
      </c>
      <c r="R177" s="23">
        <f t="shared" si="168"/>
        <v>2338928.2797976709</v>
      </c>
      <c r="S177" s="23">
        <f t="shared" si="168"/>
        <v>3203062.6496468163</v>
      </c>
      <c r="T177" s="23">
        <f t="shared" si="168"/>
        <v>4161101.2252073879</v>
      </c>
      <c r="U177" s="23">
        <f t="shared" si="168"/>
        <v>5186854.3188824095</v>
      </c>
      <c r="V177" s="23">
        <f t="shared" si="168"/>
        <v>6287568.5195880644</v>
      </c>
      <c r="W177" s="23"/>
    </row>
    <row r="178" spans="3:23">
      <c r="C178" s="32"/>
      <c r="G178" s="31"/>
      <c r="H178" s="31"/>
      <c r="I178" s="31"/>
      <c r="J178" s="31"/>
      <c r="K178" s="31"/>
    </row>
    <row r="179" spans="3:23">
      <c r="C179" s="30" t="s">
        <v>88</v>
      </c>
      <c r="G179" s="31"/>
      <c r="H179" s="31"/>
      <c r="I179" s="31"/>
      <c r="J179" s="31"/>
      <c r="K179" s="31"/>
    </row>
    <row r="180" spans="3:23">
      <c r="C180" s="30" t="s">
        <v>91</v>
      </c>
      <c r="E180" s="43" t="s">
        <v>94</v>
      </c>
      <c r="G180" s="31">
        <v>140</v>
      </c>
      <c r="H180" s="31">
        <v>-1701</v>
      </c>
      <c r="I180" s="31">
        <v>76</v>
      </c>
      <c r="J180" s="31">
        <v>-29058</v>
      </c>
      <c r="K180" s="31">
        <v>0</v>
      </c>
      <c r="L180" s="31">
        <v>0</v>
      </c>
      <c r="M180" s="502">
        <v>0</v>
      </c>
      <c r="N180" s="502">
        <v>0</v>
      </c>
      <c r="O180" s="502">
        <v>0</v>
      </c>
      <c r="P180" s="502">
        <v>0</v>
      </c>
      <c r="Q180" s="502">
        <v>0</v>
      </c>
      <c r="R180" s="502">
        <v>0</v>
      </c>
      <c r="S180" s="502">
        <v>0</v>
      </c>
      <c r="T180" s="502">
        <v>0</v>
      </c>
      <c r="U180" s="502">
        <v>0</v>
      </c>
      <c r="V180" s="502">
        <v>0</v>
      </c>
      <c r="W180" s="31"/>
    </row>
    <row r="181" spans="3:23">
      <c r="C181" s="30" t="s">
        <v>92</v>
      </c>
      <c r="E181" s="43" t="s">
        <v>94</v>
      </c>
      <c r="G181" s="31">
        <v>6469</v>
      </c>
      <c r="H181" s="31">
        <v>6469</v>
      </c>
      <c r="I181" s="31">
        <v>6469</v>
      </c>
      <c r="J181" s="31">
        <v>9660</v>
      </c>
      <c r="K181" s="31">
        <v>5250</v>
      </c>
      <c r="L181" s="31">
        <v>0</v>
      </c>
      <c r="M181" s="502">
        <v>0</v>
      </c>
      <c r="N181" s="502">
        <v>0</v>
      </c>
      <c r="O181" s="502">
        <v>0</v>
      </c>
      <c r="P181" s="502">
        <v>0</v>
      </c>
      <c r="Q181" s="502">
        <v>0</v>
      </c>
      <c r="R181" s="502">
        <v>0</v>
      </c>
      <c r="S181" s="502">
        <v>0</v>
      </c>
      <c r="T181" s="502">
        <v>0</v>
      </c>
      <c r="U181" s="502">
        <v>0</v>
      </c>
      <c r="V181" s="502">
        <v>0</v>
      </c>
      <c r="W181" s="31"/>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52EE2-E43F-49D0-BA19-0C885163BDA0}">
  <dimension ref="B2:AO87"/>
  <sheetViews>
    <sheetView showGridLines="0" topLeftCell="B1" zoomScale="44" zoomScaleNormal="40" workbookViewId="0">
      <selection activeCell="AA66" sqref="AA66:AA68"/>
    </sheetView>
  </sheetViews>
  <sheetFormatPr defaultRowHeight="14.5"/>
  <cols>
    <col min="3" max="3" width="54.6328125" bestFit="1" customWidth="1"/>
    <col min="8" max="8" width="11.7265625" bestFit="1" customWidth="1"/>
    <col min="9" max="9" width="17.6328125" bestFit="1" customWidth="1"/>
    <col min="10" max="12" width="11.7265625" bestFit="1" customWidth="1"/>
    <col min="13" max="13" width="13.08984375" bestFit="1" customWidth="1"/>
    <col min="14" max="14" width="15.36328125" bestFit="1" customWidth="1"/>
    <col min="15" max="16" width="13.7265625" bestFit="1" customWidth="1"/>
    <col min="17" max="21" width="14.1796875" bestFit="1" customWidth="1"/>
    <col min="22" max="26" width="15.36328125" bestFit="1" customWidth="1"/>
    <col min="27" max="27" width="12.453125" bestFit="1" customWidth="1"/>
  </cols>
  <sheetData>
    <row r="2" spans="2:26" ht="16">
      <c r="B2" s="1"/>
      <c r="C2" s="1"/>
      <c r="D2" s="1"/>
      <c r="E2" s="1"/>
      <c r="F2" s="1"/>
      <c r="G2" s="1"/>
      <c r="H2" s="2"/>
      <c r="I2" s="2"/>
      <c r="J2" s="3" t="s">
        <v>0</v>
      </c>
      <c r="K2" s="2"/>
      <c r="L2" s="2"/>
      <c r="M2" s="2"/>
      <c r="N2" s="4"/>
      <c r="O2" s="2"/>
      <c r="P2" s="2"/>
      <c r="Q2" s="2"/>
      <c r="R2" s="3" t="s">
        <v>1</v>
      </c>
      <c r="S2" s="2"/>
      <c r="T2" s="2"/>
      <c r="U2" s="2"/>
      <c r="V2" s="2"/>
      <c r="W2" s="2"/>
      <c r="X2" s="2"/>
      <c r="Y2" s="2"/>
      <c r="Z2" s="2"/>
    </row>
    <row r="3" spans="2:26" ht="16">
      <c r="B3" s="5" t="str">
        <f>Ticker&amp;" - Revenue Drivers"</f>
        <v>AVDL - Revenue Drivers</v>
      </c>
      <c r="C3" s="1"/>
      <c r="D3" s="1"/>
      <c r="E3" s="6" t="s">
        <v>2</v>
      </c>
      <c r="F3" s="7"/>
      <c r="G3" s="1"/>
      <c r="H3" s="8">
        <f>NPV!H3</f>
        <v>43646</v>
      </c>
      <c r="I3" s="8">
        <f>NPV!I3</f>
        <v>44012</v>
      </c>
      <c r="J3" s="8">
        <f>NPV!J3</f>
        <v>44377</v>
      </c>
      <c r="K3" s="8">
        <f>NPV!K3</f>
        <v>44742</v>
      </c>
      <c r="L3" s="8">
        <f>NPV!L3</f>
        <v>45107</v>
      </c>
      <c r="M3" s="8">
        <f>NPV!M3</f>
        <v>45473</v>
      </c>
      <c r="N3" s="9">
        <f>NPV!N3</f>
        <v>45838</v>
      </c>
      <c r="O3" s="8">
        <f>NPV!O3</f>
        <v>46203</v>
      </c>
      <c r="P3" s="8">
        <f>NPV!P3</f>
        <v>46568</v>
      </c>
      <c r="Q3" s="8">
        <f>NPV!Q3</f>
        <v>46934</v>
      </c>
      <c r="R3" s="8">
        <f>NPV!R3</f>
        <v>47299</v>
      </c>
      <c r="S3" s="8">
        <f>NPV!S3</f>
        <v>47664</v>
      </c>
      <c r="T3" s="8">
        <f>NPV!T3</f>
        <v>48029</v>
      </c>
      <c r="U3" s="8">
        <f>NPV!U3</f>
        <v>48395</v>
      </c>
      <c r="V3" s="8">
        <f>NPV!V3</f>
        <v>48760</v>
      </c>
      <c r="W3" s="8">
        <f>NPV!W3</f>
        <v>49125</v>
      </c>
      <c r="X3" s="8">
        <f>NPV!X3</f>
        <v>49490</v>
      </c>
      <c r="Y3" s="8">
        <f>NPV!Y3</f>
        <v>49856</v>
      </c>
      <c r="Z3" s="8">
        <f>NPV!Z3</f>
        <v>50221</v>
      </c>
    </row>
    <row r="4" spans="2:26" ht="16">
      <c r="B4" s="10"/>
      <c r="C4" s="10"/>
      <c r="D4" s="10"/>
      <c r="E4" s="10"/>
      <c r="F4" s="10"/>
      <c r="G4" s="10"/>
      <c r="H4" s="10"/>
      <c r="I4" s="10"/>
      <c r="J4" s="10"/>
      <c r="K4" s="10"/>
      <c r="L4" s="10"/>
      <c r="M4" s="10"/>
      <c r="N4" s="10"/>
      <c r="O4" s="10"/>
      <c r="P4" s="10"/>
      <c r="Q4" s="10"/>
      <c r="R4" s="10"/>
      <c r="S4" s="10"/>
      <c r="T4" s="10"/>
      <c r="U4" s="10"/>
      <c r="V4" s="10"/>
      <c r="W4" s="10"/>
      <c r="X4" s="10"/>
      <c r="Y4" s="10"/>
      <c r="Z4" s="10"/>
    </row>
    <row r="5" spans="2:26" ht="16">
      <c r="B5" s="10"/>
      <c r="C5" s="188" t="s">
        <v>392</v>
      </c>
      <c r="D5" s="551"/>
      <c r="E5" s="43"/>
      <c r="F5" s="551"/>
      <c r="G5" s="551"/>
      <c r="H5" s="551"/>
      <c r="I5" s="551"/>
      <c r="J5" s="551"/>
      <c r="K5" s="551"/>
      <c r="L5" s="552"/>
      <c r="M5" s="553"/>
      <c r="N5" s="553"/>
      <c r="O5" s="554"/>
      <c r="P5" s="554"/>
      <c r="Q5" s="554"/>
      <c r="R5" s="554"/>
      <c r="S5" s="554"/>
      <c r="T5" s="554"/>
      <c r="U5" s="554"/>
      <c r="V5" s="554"/>
      <c r="W5" s="554"/>
      <c r="X5" s="10"/>
      <c r="Y5" s="10"/>
      <c r="Z5" s="10"/>
    </row>
    <row r="6" spans="2:26" ht="16">
      <c r="B6" s="10"/>
      <c r="C6" s="30" t="s">
        <v>364</v>
      </c>
      <c r="D6" s="551"/>
      <c r="E6" s="90" t="s">
        <v>20</v>
      </c>
      <c r="F6" s="551"/>
      <c r="G6" s="551"/>
      <c r="H6" s="551"/>
      <c r="I6" s="551"/>
      <c r="J6" s="551"/>
      <c r="K6" s="551"/>
      <c r="L6" s="552"/>
      <c r="M6" s="14"/>
      <c r="N6" s="497">
        <v>2870000</v>
      </c>
      <c r="O6" s="497">
        <f t="shared" ref="O6:Z6" si="0">N6*(1+O7)</f>
        <v>2895829.9999999995</v>
      </c>
      <c r="P6" s="497">
        <f t="shared" si="0"/>
        <v>2921892.4699999993</v>
      </c>
      <c r="Q6" s="497">
        <f t="shared" si="0"/>
        <v>2948189.5022299988</v>
      </c>
      <c r="R6" s="497">
        <f t="shared" si="0"/>
        <v>2974723.2077500685</v>
      </c>
      <c r="S6" s="497">
        <f t="shared" si="0"/>
        <v>3001495.7166198189</v>
      </c>
      <c r="T6" s="497">
        <f t="shared" si="0"/>
        <v>3022506.1866361573</v>
      </c>
      <c r="U6" s="497">
        <f t="shared" si="0"/>
        <v>3043663.72994261</v>
      </c>
      <c r="V6" s="497">
        <f t="shared" si="0"/>
        <v>3064969.3760522078</v>
      </c>
      <c r="W6" s="497">
        <f t="shared" si="0"/>
        <v>3086424.1616845727</v>
      </c>
      <c r="X6" s="497">
        <f t="shared" si="0"/>
        <v>3108029.1308163642</v>
      </c>
      <c r="Y6" s="497">
        <f t="shared" si="0"/>
        <v>3129785.3347320785</v>
      </c>
      <c r="Z6" s="497">
        <f t="shared" si="0"/>
        <v>3151693.8320752028</v>
      </c>
    </row>
    <row r="7" spans="2:26" ht="16">
      <c r="B7" s="10"/>
      <c r="C7" s="555" t="s">
        <v>366</v>
      </c>
      <c r="D7" s="551"/>
      <c r="E7" s="90" t="s">
        <v>15</v>
      </c>
      <c r="F7" s="551"/>
      <c r="G7" s="551"/>
      <c r="H7" s="551"/>
      <c r="I7" s="551"/>
      <c r="J7" s="551"/>
      <c r="K7" s="551"/>
      <c r="L7" s="552"/>
      <c r="M7" s="16"/>
      <c r="N7" s="538"/>
      <c r="O7" s="556">
        <v>8.9999999999999993E-3</v>
      </c>
      <c r="P7" s="556">
        <v>8.9999999999999993E-3</v>
      </c>
      <c r="Q7" s="556">
        <v>8.9999999999999993E-3</v>
      </c>
      <c r="R7" s="556">
        <v>8.9999999999999993E-3</v>
      </c>
      <c r="S7" s="556">
        <v>8.9999999999999993E-3</v>
      </c>
      <c r="T7" s="556">
        <v>7.0000000000000001E-3</v>
      </c>
      <c r="U7" s="556">
        <v>7.0000000000000001E-3</v>
      </c>
      <c r="V7" s="556">
        <v>7.0000000000000001E-3</v>
      </c>
      <c r="W7" s="556">
        <v>7.0000000000000001E-3</v>
      </c>
      <c r="X7" s="556">
        <v>7.0000000000000001E-3</v>
      </c>
      <c r="Y7" s="556">
        <v>7.0000000000000001E-3</v>
      </c>
      <c r="Z7" s="556">
        <v>7.0000000000000001E-3</v>
      </c>
    </row>
    <row r="8" spans="2:26" ht="16">
      <c r="B8" s="10"/>
      <c r="C8" s="30"/>
      <c r="D8" s="551"/>
      <c r="E8" s="43"/>
      <c r="F8" s="551"/>
      <c r="G8" s="551"/>
      <c r="H8" s="551"/>
      <c r="I8" s="551"/>
      <c r="J8" s="551"/>
      <c r="K8" s="551"/>
      <c r="L8" s="552"/>
      <c r="M8" s="16"/>
      <c r="N8" s="10"/>
      <c r="O8" s="10"/>
      <c r="P8" s="10"/>
      <c r="Q8" s="10"/>
      <c r="R8" s="10"/>
      <c r="S8" s="10"/>
      <c r="T8" s="10"/>
      <c r="U8" s="10"/>
      <c r="V8" s="10"/>
      <c r="W8" s="10"/>
      <c r="X8" s="10"/>
      <c r="Y8" s="10"/>
      <c r="Z8" s="10"/>
    </row>
    <row r="9" spans="2:26" ht="16">
      <c r="B9" s="10"/>
      <c r="C9" s="30" t="s">
        <v>365</v>
      </c>
      <c r="D9" s="551"/>
      <c r="E9" s="90" t="s">
        <v>20</v>
      </c>
      <c r="F9" s="551"/>
      <c r="G9" s="551"/>
      <c r="H9" s="551"/>
      <c r="I9" s="551"/>
      <c r="J9" s="551"/>
      <c r="K9" s="551"/>
      <c r="L9" s="552"/>
      <c r="M9" s="16"/>
      <c r="N9" s="497">
        <v>844600</v>
      </c>
      <c r="O9" s="497">
        <f t="shared" ref="O9:Z9" si="1">N9*(1+O10)</f>
        <v>852201.39999999991</v>
      </c>
      <c r="P9" s="497">
        <f t="shared" si="1"/>
        <v>859871.21259999985</v>
      </c>
      <c r="Q9" s="497">
        <f t="shared" si="1"/>
        <v>867610.05351339979</v>
      </c>
      <c r="R9" s="497">
        <f t="shared" si="1"/>
        <v>875418.54399502033</v>
      </c>
      <c r="S9" s="497">
        <f t="shared" si="1"/>
        <v>883297.31089097541</v>
      </c>
      <c r="T9" s="497">
        <f t="shared" si="1"/>
        <v>888597.09475632128</v>
      </c>
      <c r="U9" s="497">
        <f t="shared" si="1"/>
        <v>893928.67732485919</v>
      </c>
      <c r="V9" s="497">
        <f t="shared" si="1"/>
        <v>899292.24938880838</v>
      </c>
      <c r="W9" s="497">
        <f t="shared" si="1"/>
        <v>904688.00288514129</v>
      </c>
      <c r="X9" s="497">
        <f t="shared" si="1"/>
        <v>910116.13090245216</v>
      </c>
      <c r="Y9" s="497">
        <f t="shared" si="1"/>
        <v>915576.82768786687</v>
      </c>
      <c r="Z9" s="497">
        <f t="shared" si="1"/>
        <v>921070.2886539941</v>
      </c>
    </row>
    <row r="10" spans="2:26" ht="16">
      <c r="B10" s="10"/>
      <c r="C10" s="555" t="s">
        <v>366</v>
      </c>
      <c r="D10" s="551"/>
      <c r="E10" s="90" t="s">
        <v>15</v>
      </c>
      <c r="F10" s="551"/>
      <c r="G10" s="551"/>
      <c r="H10" s="551"/>
      <c r="I10" s="551"/>
      <c r="J10" s="551"/>
      <c r="K10" s="551"/>
      <c r="L10" s="552"/>
      <c r="M10" s="16"/>
      <c r="N10" s="538"/>
      <c r="O10" s="556">
        <v>8.9999999999999993E-3</v>
      </c>
      <c r="P10" s="556">
        <v>8.9999999999999993E-3</v>
      </c>
      <c r="Q10" s="556">
        <v>8.9999999999999993E-3</v>
      </c>
      <c r="R10" s="556">
        <v>8.9999999999999993E-3</v>
      </c>
      <c r="S10" s="556">
        <v>8.9999999999999993E-3</v>
      </c>
      <c r="T10" s="556">
        <v>6.0000000000000001E-3</v>
      </c>
      <c r="U10" s="556">
        <v>6.0000000000000001E-3</v>
      </c>
      <c r="V10" s="556">
        <v>6.0000000000000001E-3</v>
      </c>
      <c r="W10" s="556">
        <v>6.0000000000000001E-3</v>
      </c>
      <c r="X10" s="556">
        <v>6.0000000000000001E-3</v>
      </c>
      <c r="Y10" s="556">
        <v>6.0000000000000001E-3</v>
      </c>
      <c r="Z10" s="556">
        <v>6.0000000000000001E-3</v>
      </c>
    </row>
    <row r="11" spans="2:26" ht="16">
      <c r="B11" s="10"/>
      <c r="C11" s="483"/>
      <c r="D11" s="551"/>
      <c r="E11" s="43"/>
      <c r="F11" s="551"/>
      <c r="G11" s="551"/>
      <c r="H11" s="551"/>
      <c r="I11" s="551"/>
      <c r="J11" s="551"/>
      <c r="K11" s="551"/>
      <c r="L11" s="552"/>
      <c r="M11" s="553"/>
      <c r="N11" s="553"/>
      <c r="O11" s="554"/>
      <c r="P11" s="554"/>
      <c r="Q11" s="554"/>
      <c r="R11" s="554"/>
      <c r="S11" s="554"/>
      <c r="T11" s="554"/>
      <c r="U11" s="554"/>
      <c r="V11" s="554"/>
      <c r="W11" s="554"/>
      <c r="X11" s="10"/>
      <c r="Y11" s="10"/>
      <c r="Z11" s="10"/>
    </row>
    <row r="12" spans="2:26" ht="16">
      <c r="B12" s="10"/>
      <c r="C12" s="27" t="s">
        <v>391</v>
      </c>
      <c r="D12" s="10"/>
      <c r="E12" s="10"/>
      <c r="F12" s="10"/>
      <c r="G12" s="10"/>
      <c r="H12" s="10"/>
      <c r="I12" s="10"/>
      <c r="J12" s="10"/>
      <c r="K12" s="10"/>
      <c r="L12" s="10"/>
      <c r="M12" s="10"/>
      <c r="N12" s="10"/>
      <c r="O12" s="10"/>
      <c r="P12" s="10"/>
      <c r="Q12" s="10"/>
      <c r="R12" s="10"/>
      <c r="S12" s="10"/>
      <c r="T12" s="10"/>
      <c r="U12" s="10"/>
      <c r="V12" s="10"/>
      <c r="W12" s="10"/>
      <c r="X12" s="10"/>
      <c r="Y12" s="10"/>
      <c r="Z12" s="10"/>
    </row>
    <row r="13" spans="2:26" ht="16">
      <c r="B13" s="10"/>
      <c r="C13" s="30" t="s">
        <v>435</v>
      </c>
      <c r="D13" s="10"/>
      <c r="E13" s="90" t="s">
        <v>20</v>
      </c>
      <c r="F13" s="10"/>
      <c r="G13" s="10"/>
      <c r="H13" s="10"/>
      <c r="I13" s="10"/>
      <c r="J13" s="10"/>
      <c r="K13" s="10"/>
      <c r="L13" s="10"/>
      <c r="M13" s="10"/>
      <c r="N13" s="497">
        <v>53000</v>
      </c>
      <c r="O13" s="497">
        <f>N13*(1+O14)</f>
        <v>54060</v>
      </c>
      <c r="P13" s="497">
        <f t="shared" ref="P13:Z13" si="2">O13*(1+P14)</f>
        <v>55141.200000000004</v>
      </c>
      <c r="Q13" s="497">
        <f t="shared" si="2"/>
        <v>56244.024000000005</v>
      </c>
      <c r="R13" s="497">
        <f t="shared" si="2"/>
        <v>57368.904480000005</v>
      </c>
      <c r="S13" s="497">
        <f t="shared" si="2"/>
        <v>58516.282569600007</v>
      </c>
      <c r="T13" s="497">
        <f t="shared" si="2"/>
        <v>59686.608220992006</v>
      </c>
      <c r="U13" s="497">
        <f t="shared" si="2"/>
        <v>62372.505590936642</v>
      </c>
      <c r="V13" s="497">
        <f t="shared" si="2"/>
        <v>64867.405814574107</v>
      </c>
      <c r="W13" s="497">
        <f t="shared" si="2"/>
        <v>67137.765018084203</v>
      </c>
      <c r="X13" s="497">
        <f t="shared" si="2"/>
        <v>68816.209143536296</v>
      </c>
      <c r="Y13" s="497">
        <f t="shared" si="2"/>
        <v>70192.533326407021</v>
      </c>
      <c r="Z13" s="497">
        <f t="shared" si="2"/>
        <v>70894.458659671087</v>
      </c>
    </row>
    <row r="14" spans="2:26" ht="16">
      <c r="B14" s="10"/>
      <c r="C14" s="555" t="s">
        <v>366</v>
      </c>
      <c r="D14" s="10"/>
      <c r="E14" s="90" t="s">
        <v>15</v>
      </c>
      <c r="F14" s="10"/>
      <c r="G14" s="10"/>
      <c r="H14" s="10"/>
      <c r="I14" s="10"/>
      <c r="J14" s="10"/>
      <c r="K14" s="10"/>
      <c r="L14" s="10"/>
      <c r="M14" s="10"/>
      <c r="N14" s="556"/>
      <c r="O14" s="556">
        <v>0.02</v>
      </c>
      <c r="P14" s="556">
        <v>0.02</v>
      </c>
      <c r="Q14" s="556">
        <v>0.02</v>
      </c>
      <c r="R14" s="556">
        <v>0.02</v>
      </c>
      <c r="S14" s="556">
        <v>0.02</v>
      </c>
      <c r="T14" s="556">
        <v>0.02</v>
      </c>
      <c r="U14" s="556">
        <v>4.4999999999999998E-2</v>
      </c>
      <c r="V14" s="556">
        <v>0.04</v>
      </c>
      <c r="W14" s="556">
        <v>3.5000000000000003E-2</v>
      </c>
      <c r="X14" s="556">
        <v>2.5000000000000001E-2</v>
      </c>
      <c r="Y14" s="556">
        <v>0.02</v>
      </c>
      <c r="Z14" s="556">
        <v>0.01</v>
      </c>
    </row>
    <row r="15" spans="2:26" ht="16">
      <c r="B15" s="10"/>
      <c r="C15" s="30"/>
      <c r="D15" s="10"/>
      <c r="E15" s="10"/>
      <c r="F15" s="10"/>
      <c r="G15" s="10"/>
      <c r="H15" s="10"/>
      <c r="I15" s="10"/>
      <c r="J15" s="10"/>
      <c r="K15" s="10"/>
      <c r="L15" s="10"/>
      <c r="M15" s="10"/>
      <c r="N15" s="538"/>
      <c r="O15" s="557"/>
      <c r="P15" s="557"/>
      <c r="Q15" s="557"/>
      <c r="R15" s="557"/>
      <c r="S15" s="557"/>
      <c r="T15" s="557"/>
      <c r="U15" s="557"/>
      <c r="V15" s="557"/>
      <c r="W15" s="557"/>
      <c r="X15" s="557"/>
      <c r="Y15" s="557"/>
      <c r="Z15" s="557"/>
    </row>
    <row r="16" spans="2:26" ht="16">
      <c r="B16" s="10"/>
      <c r="C16" s="30" t="s">
        <v>436</v>
      </c>
      <c r="D16" s="10"/>
      <c r="E16" s="90" t="s">
        <v>20</v>
      </c>
      <c r="F16" s="10"/>
      <c r="G16" s="10"/>
      <c r="H16" s="10"/>
      <c r="I16" s="10"/>
      <c r="J16" s="10"/>
      <c r="K16" s="10"/>
      <c r="L16" s="10"/>
      <c r="M16" s="10"/>
      <c r="N16" s="497">
        <v>26627</v>
      </c>
      <c r="O16" s="497">
        <v>26629</v>
      </c>
      <c r="P16" s="497">
        <v>26632</v>
      </c>
      <c r="Q16" s="497">
        <v>26635</v>
      </c>
      <c r="R16" s="497">
        <v>26637</v>
      </c>
      <c r="S16" s="497">
        <v>26640</v>
      </c>
      <c r="T16" s="497">
        <v>26643</v>
      </c>
      <c r="U16" s="497">
        <v>26645</v>
      </c>
      <c r="V16" s="497">
        <v>26648</v>
      </c>
      <c r="W16" s="497">
        <f>V16*(1+W17)</f>
        <v>26651.000337774443</v>
      </c>
      <c r="X16" s="497">
        <f t="shared" ref="X16:Z16" si="3">W16*(1+X17)</f>
        <v>26654.001013361358</v>
      </c>
      <c r="Y16" s="497">
        <f t="shared" si="3"/>
        <v>26657.002026798778</v>
      </c>
      <c r="Z16" s="497">
        <f t="shared" si="3"/>
        <v>26660.003378124744</v>
      </c>
    </row>
    <row r="17" spans="2:41" ht="16">
      <c r="B17" s="10"/>
      <c r="C17" s="555" t="s">
        <v>366</v>
      </c>
      <c r="D17" s="10"/>
      <c r="E17" s="90" t="s">
        <v>15</v>
      </c>
      <c r="F17" s="10"/>
      <c r="G17" s="10"/>
      <c r="H17" s="10"/>
      <c r="I17" s="10"/>
      <c r="J17" s="10"/>
      <c r="K17" s="10"/>
      <c r="L17" s="10"/>
      <c r="M17" s="10"/>
      <c r="N17" s="556"/>
      <c r="O17" s="556">
        <f>O16/N16-1</f>
        <v>7.5111728696342084E-5</v>
      </c>
      <c r="P17" s="556">
        <f t="shared" ref="P17:V17" si="4">P16/O16-1</f>
        <v>1.126591310225411E-4</v>
      </c>
      <c r="Q17" s="556">
        <f t="shared" si="4"/>
        <v>1.1264644037245475E-4</v>
      </c>
      <c r="R17" s="556">
        <f t="shared" si="4"/>
        <v>7.5089168387387772E-5</v>
      </c>
      <c r="S17" s="556">
        <f t="shared" si="4"/>
        <v>1.1262529564137758E-4</v>
      </c>
      <c r="T17" s="556">
        <f t="shared" si="4"/>
        <v>1.126126126125282E-4</v>
      </c>
      <c r="U17" s="556">
        <f t="shared" si="4"/>
        <v>7.5066621626707075E-5</v>
      </c>
      <c r="V17" s="556">
        <f t="shared" si="4"/>
        <v>1.1259148057796153E-4</v>
      </c>
      <c r="W17" s="556">
        <f>V17</f>
        <v>1.1259148057796153E-4</v>
      </c>
      <c r="X17" s="556">
        <f t="shared" ref="X17:Z17" si="5">W17</f>
        <v>1.1259148057796153E-4</v>
      </c>
      <c r="Y17" s="556">
        <f t="shared" si="5"/>
        <v>1.1259148057796153E-4</v>
      </c>
      <c r="Z17" s="556">
        <f t="shared" si="5"/>
        <v>1.1259148057796153E-4</v>
      </c>
    </row>
    <row r="18" spans="2:41" ht="16">
      <c r="B18" s="10"/>
      <c r="C18" s="555" t="s">
        <v>503</v>
      </c>
      <c r="D18" s="10"/>
      <c r="E18" s="90"/>
      <c r="F18" s="10"/>
      <c r="G18" s="10"/>
      <c r="H18" s="10"/>
      <c r="I18" s="10"/>
      <c r="J18" s="10"/>
      <c r="K18" s="10"/>
      <c r="L18" s="10"/>
      <c r="M18" s="10"/>
      <c r="N18" s="497">
        <v>37000</v>
      </c>
      <c r="O18" s="497">
        <f>N18*(1+O19)</f>
        <v>37002.779133961762</v>
      </c>
      <c r="P18" s="497">
        <f t="shared" ref="P18:Z18" si="6">O18*(1+P19)</f>
        <v>37006.947834904415</v>
      </c>
      <c r="Q18" s="497">
        <f t="shared" si="6"/>
        <v>37011.116535847068</v>
      </c>
      <c r="R18" s="497">
        <f t="shared" si="6"/>
        <v>37013.895669808837</v>
      </c>
      <c r="S18" s="497">
        <f t="shared" si="6"/>
        <v>37018.06437075149</v>
      </c>
      <c r="T18" s="497">
        <f t="shared" si="6"/>
        <v>37022.233071694136</v>
      </c>
      <c r="U18" s="497">
        <f t="shared" si="6"/>
        <v>37025.012205655905</v>
      </c>
      <c r="V18" s="497">
        <f t="shared" si="6"/>
        <v>37029.180906598558</v>
      </c>
      <c r="W18" s="497">
        <f t="shared" si="6"/>
        <v>37033.350076901421</v>
      </c>
      <c r="X18" s="497">
        <f t="shared" si="6"/>
        <v>37037.519716617338</v>
      </c>
      <c r="Y18" s="497">
        <f t="shared" si="6"/>
        <v>37041.689825799171</v>
      </c>
      <c r="Z18" s="497">
        <f t="shared" si="6"/>
        <v>37045.86040449977</v>
      </c>
    </row>
    <row r="19" spans="2:41" ht="16">
      <c r="B19" s="10"/>
      <c r="C19" s="555"/>
      <c r="D19" s="10"/>
      <c r="E19" s="90"/>
      <c r="F19" s="10"/>
      <c r="G19" s="10"/>
      <c r="H19" s="10"/>
      <c r="I19" s="10"/>
      <c r="J19" s="10"/>
      <c r="K19" s="10"/>
      <c r="L19" s="10"/>
      <c r="M19" s="10"/>
      <c r="N19" s="556"/>
      <c r="O19" s="556">
        <v>7.5111728696342084E-5</v>
      </c>
      <c r="P19" s="556">
        <v>1.126591310225411E-4</v>
      </c>
      <c r="Q19" s="556">
        <v>1.1264644037245475E-4</v>
      </c>
      <c r="R19" s="556">
        <v>7.5089168387387772E-5</v>
      </c>
      <c r="S19" s="556">
        <v>1.1262529564137758E-4</v>
      </c>
      <c r="T19" s="556">
        <v>1.126126126125282E-4</v>
      </c>
      <c r="U19" s="556">
        <v>7.5066621626707075E-5</v>
      </c>
      <c r="V19" s="556">
        <v>1.1259148057796153E-4</v>
      </c>
      <c r="W19" s="556">
        <v>1.1259148057796153E-4</v>
      </c>
      <c r="X19" s="556">
        <v>1.1259148057796153E-4</v>
      </c>
      <c r="Y19" s="556">
        <v>1.1259148057796153E-4</v>
      </c>
      <c r="Z19" s="556">
        <v>1.1259148057796153E-4</v>
      </c>
    </row>
    <row r="20" spans="2:41" ht="16">
      <c r="B20" s="10"/>
      <c r="C20" s="483"/>
      <c r="D20" s="551"/>
      <c r="E20" s="43"/>
      <c r="F20" s="551"/>
      <c r="G20" s="551"/>
      <c r="H20" s="551"/>
      <c r="I20" s="551"/>
      <c r="J20" s="551"/>
      <c r="K20" s="551"/>
      <c r="L20" s="552"/>
      <c r="M20" s="553"/>
      <c r="N20" s="553"/>
      <c r="O20" s="554"/>
      <c r="P20" s="554"/>
      <c r="Q20" s="554"/>
      <c r="R20" s="554"/>
      <c r="S20" s="554"/>
      <c r="T20" s="554"/>
      <c r="U20" s="554"/>
      <c r="V20" s="554"/>
      <c r="W20" s="554"/>
      <c r="X20" s="10"/>
      <c r="Y20" s="10"/>
      <c r="Z20" s="10"/>
    </row>
    <row r="21" spans="2:41" ht="16">
      <c r="B21" s="10"/>
      <c r="C21" s="188" t="s">
        <v>93</v>
      </c>
      <c r="D21" s="551"/>
      <c r="E21" s="506"/>
      <c r="F21" s="551"/>
      <c r="G21" s="551"/>
      <c r="H21" s="551"/>
      <c r="I21" s="551"/>
      <c r="J21" s="551"/>
      <c r="K21" s="551"/>
      <c r="L21" s="552"/>
      <c r="M21" s="553"/>
      <c r="N21" s="553"/>
      <c r="O21" s="554"/>
      <c r="P21" s="554"/>
      <c r="Q21" s="554"/>
      <c r="R21" s="554"/>
      <c r="S21" s="554"/>
      <c r="T21" s="554"/>
      <c r="U21" s="554"/>
      <c r="V21" s="554"/>
      <c r="W21" s="554"/>
      <c r="X21" s="10"/>
      <c r="Y21" s="10"/>
      <c r="Z21" s="10"/>
    </row>
    <row r="22" spans="2:41" ht="16">
      <c r="B22" s="10"/>
      <c r="C22" s="188"/>
      <c r="D22" s="551"/>
      <c r="E22" s="506"/>
      <c r="F22" s="551"/>
      <c r="G22" s="551"/>
      <c r="H22" s="551"/>
      <c r="I22" s="551"/>
      <c r="J22" s="551"/>
      <c r="K22" s="551"/>
      <c r="L22" s="552"/>
      <c r="M22" s="553"/>
      <c r="N22" s="553"/>
      <c r="O22" s="554"/>
      <c r="P22" s="554"/>
      <c r="Q22" s="554"/>
      <c r="R22" s="554"/>
      <c r="S22" s="554"/>
      <c r="T22" s="554"/>
      <c r="U22" s="554"/>
      <c r="V22" s="554"/>
      <c r="W22" s="554"/>
      <c r="X22" s="10"/>
      <c r="Y22" s="10"/>
      <c r="Z22" s="10"/>
      <c r="AB22" s="659"/>
    </row>
    <row r="23" spans="2:41" ht="16">
      <c r="B23" s="10"/>
      <c r="C23" s="32" t="s">
        <v>393</v>
      </c>
      <c r="D23" s="10"/>
      <c r="E23" s="90" t="s">
        <v>15</v>
      </c>
      <c r="F23" s="10"/>
      <c r="G23" s="10"/>
      <c r="H23" s="10"/>
      <c r="I23" s="10"/>
      <c r="J23" s="10"/>
      <c r="K23" s="10"/>
      <c r="L23" s="10"/>
      <c r="M23" s="10"/>
      <c r="N23" s="558">
        <f>INDEX($N$24:$Z$26,MATCH(Scenario,$C$24:$C$26,0),1)</f>
        <v>7.1999999999999995E-2</v>
      </c>
      <c r="O23" s="558">
        <f>INDEX($N$24:$Z$26,MATCH(Scenario,$C$24:$C$26,0),2)</f>
        <v>9.6000000000000002E-2</v>
      </c>
      <c r="P23" s="558">
        <f>INDEX($N$24:$Z$26,MATCH(Scenario,$C$24:$C$26,0),3)</f>
        <v>0.108</v>
      </c>
      <c r="Q23" s="558">
        <f>INDEX($N$24:$Z$26,MATCH(Scenario,$C$24:$C$26,0),4)</f>
        <v>0.11700000000000001</v>
      </c>
      <c r="R23" s="558">
        <f>INDEX($N$24:$Z$26,MATCH(Scenario,$C$24:$C$26,0),5)</f>
        <v>0.121</v>
      </c>
      <c r="S23" s="558">
        <f>INDEX($N$24:$Z$26,MATCH(Scenario,$C$24:$C$26,0),6)</f>
        <v>0.122</v>
      </c>
      <c r="T23" s="558">
        <f>INDEX($N$24:$Z$26,MATCH(Scenario,$C$24:$C$26,0),7)</f>
        <v>0.123</v>
      </c>
      <c r="U23" s="558">
        <f>INDEX($N$24:$Z$26,MATCH(Scenario,$C$24:$C$26,0),8)</f>
        <v>0.124</v>
      </c>
      <c r="V23" s="558">
        <f>INDEX($N$24:$Z$26,MATCH(Scenario,$C$24:$C$26,0),9)</f>
        <v>0.124</v>
      </c>
      <c r="W23" s="558">
        <f>INDEX($N$24:$Z$26,MATCH(Scenario,$C$24:$C$26,0),10)</f>
        <v>0.125</v>
      </c>
      <c r="X23" s="558">
        <f>INDEX($N$24:$Z$26,MATCH(Scenario,$C$24:$C$26,0),11)</f>
        <v>0.125</v>
      </c>
      <c r="Y23" s="558">
        <f>INDEX($N$24:$Z$26,MATCH(Scenario,$C$24:$C$26,0),12)</f>
        <v>0.125</v>
      </c>
      <c r="Z23" s="558">
        <f>INDEX($N$24:$Z$26,MATCH(Scenario,$C$24:$C$26,0),13)</f>
        <v>0.124</v>
      </c>
      <c r="AB23" s="659"/>
      <c r="AC23" s="507"/>
      <c r="AD23" s="507"/>
      <c r="AE23" s="507"/>
      <c r="AF23" s="571"/>
      <c r="AG23" s="571"/>
      <c r="AH23" s="507"/>
      <c r="AI23" s="571"/>
      <c r="AJ23" s="507"/>
      <c r="AK23" s="571"/>
      <c r="AL23" s="507"/>
      <c r="AM23" s="507"/>
      <c r="AN23" s="507"/>
      <c r="AO23" s="571"/>
    </row>
    <row r="24" spans="2:41" ht="16">
      <c r="B24" s="10"/>
      <c r="C24" s="464" t="s">
        <v>101</v>
      </c>
      <c r="D24" s="10"/>
      <c r="E24" s="90" t="s">
        <v>15</v>
      </c>
      <c r="F24" s="10"/>
      <c r="G24" s="10"/>
      <c r="H24" s="10"/>
      <c r="I24" s="10"/>
      <c r="J24" s="10"/>
      <c r="K24" s="10"/>
      <c r="L24" s="10"/>
      <c r="M24" s="10"/>
      <c r="N24" s="556">
        <v>8.5000000000000006E-2</v>
      </c>
      <c r="O24" s="556">
        <v>0.108</v>
      </c>
      <c r="P24" s="556">
        <v>0.122</v>
      </c>
      <c r="Q24" s="556">
        <v>0.13200000000000001</v>
      </c>
      <c r="R24" s="556">
        <v>0.13600000000000001</v>
      </c>
      <c r="S24" s="556">
        <v>0.13800000000000001</v>
      </c>
      <c r="T24" s="556">
        <v>0.13900000000000001</v>
      </c>
      <c r="U24" s="556">
        <v>0.14000000000000001</v>
      </c>
      <c r="V24" s="556">
        <v>0.14000000000000001</v>
      </c>
      <c r="W24" s="556">
        <v>0.14000000000000001</v>
      </c>
      <c r="X24" s="556">
        <v>0.14000000000000001</v>
      </c>
      <c r="Y24" s="556">
        <v>0.14000000000000001</v>
      </c>
      <c r="Z24" s="556">
        <v>0.13900000000000001</v>
      </c>
      <c r="AB24" s="659"/>
      <c r="AC24" s="507"/>
      <c r="AD24" s="507"/>
      <c r="AE24" s="507"/>
      <c r="AF24" s="507"/>
      <c r="AG24" s="507"/>
      <c r="AH24" s="507"/>
      <c r="AI24" s="507"/>
      <c r="AJ24" s="507"/>
      <c r="AK24" s="507"/>
      <c r="AL24" s="507"/>
      <c r="AM24" s="507"/>
      <c r="AN24" s="507"/>
      <c r="AO24" s="507"/>
    </row>
    <row r="25" spans="2:41" ht="16">
      <c r="B25" s="10"/>
      <c r="C25" s="464" t="s">
        <v>96</v>
      </c>
      <c r="D25" s="10"/>
      <c r="E25" s="90" t="s">
        <v>15</v>
      </c>
      <c r="F25" s="10"/>
      <c r="G25" s="10"/>
      <c r="H25" s="10"/>
      <c r="I25" s="10"/>
      <c r="J25" s="10"/>
      <c r="K25" s="10"/>
      <c r="L25" s="10"/>
      <c r="M25" s="10"/>
      <c r="N25" s="556">
        <v>7.1999999999999995E-2</v>
      </c>
      <c r="O25" s="556">
        <v>9.6000000000000002E-2</v>
      </c>
      <c r="P25" s="556">
        <v>0.108</v>
      </c>
      <c r="Q25" s="556">
        <v>0.11700000000000001</v>
      </c>
      <c r="R25" s="556">
        <v>0.121</v>
      </c>
      <c r="S25" s="556">
        <v>0.122</v>
      </c>
      <c r="T25" s="556">
        <v>0.123</v>
      </c>
      <c r="U25" s="556">
        <v>0.124</v>
      </c>
      <c r="V25" s="556">
        <v>0.124</v>
      </c>
      <c r="W25" s="556">
        <v>0.125</v>
      </c>
      <c r="X25" s="556">
        <v>0.125</v>
      </c>
      <c r="Y25" s="556">
        <v>0.125</v>
      </c>
      <c r="Z25" s="556">
        <v>0.124</v>
      </c>
      <c r="AB25" s="659"/>
      <c r="AC25" s="507"/>
      <c r="AD25" s="507"/>
      <c r="AE25" s="507"/>
      <c r="AF25" s="507"/>
      <c r="AG25" s="507"/>
      <c r="AH25" s="507"/>
      <c r="AI25" s="507"/>
      <c r="AJ25" s="507"/>
      <c r="AK25" s="507"/>
      <c r="AL25" s="507"/>
      <c r="AM25" s="507"/>
      <c r="AN25" s="507"/>
      <c r="AO25" s="507"/>
    </row>
    <row r="26" spans="2:41" ht="16">
      <c r="B26" s="10"/>
      <c r="C26" s="464" t="s">
        <v>102</v>
      </c>
      <c r="D26" s="10"/>
      <c r="E26" s="90" t="s">
        <v>15</v>
      </c>
      <c r="F26" s="10"/>
      <c r="G26" s="10"/>
      <c r="H26" s="10"/>
      <c r="I26" s="10"/>
      <c r="J26" s="10"/>
      <c r="K26" s="10"/>
      <c r="L26" s="10"/>
      <c r="M26" s="10"/>
      <c r="N26" s="556">
        <v>6.2E-2</v>
      </c>
      <c r="O26" s="556">
        <v>7.8E-2</v>
      </c>
      <c r="P26" s="556">
        <v>8.5999999999999993E-2</v>
      </c>
      <c r="Q26" s="556">
        <v>9.4E-2</v>
      </c>
      <c r="R26" s="556">
        <v>9.9000000000000005E-2</v>
      </c>
      <c r="S26" s="556">
        <v>0.10100000000000001</v>
      </c>
      <c r="T26" s="556">
        <v>0.10299999999999999</v>
      </c>
      <c r="U26" s="556">
        <v>0.104</v>
      </c>
      <c r="V26" s="556">
        <v>0.104</v>
      </c>
      <c r="W26" s="556">
        <v>0.105</v>
      </c>
      <c r="X26" s="556">
        <v>0.105</v>
      </c>
      <c r="Y26" s="556">
        <v>0.104</v>
      </c>
      <c r="Z26" s="556">
        <v>0.10299999999999999</v>
      </c>
      <c r="AC26" s="507"/>
      <c r="AD26" s="507"/>
      <c r="AE26" s="507"/>
      <c r="AF26" s="507"/>
      <c r="AG26" s="507"/>
      <c r="AH26" s="507"/>
      <c r="AI26" s="507"/>
      <c r="AJ26" s="507"/>
      <c r="AK26" s="507"/>
      <c r="AL26" s="507"/>
      <c r="AM26" s="507"/>
      <c r="AN26" s="507"/>
      <c r="AO26" s="507"/>
    </row>
    <row r="27" spans="2:41" ht="16">
      <c r="B27" s="10"/>
      <c r="C27" s="16"/>
      <c r="D27" s="10"/>
      <c r="E27" s="10"/>
      <c r="F27" s="10"/>
      <c r="G27" s="10"/>
      <c r="H27" s="10"/>
      <c r="I27" s="10"/>
      <c r="J27" s="10"/>
      <c r="K27" s="10"/>
      <c r="L27" s="10"/>
      <c r="M27" s="10"/>
      <c r="N27" s="557"/>
      <c r="O27" s="557"/>
      <c r="P27" s="557"/>
      <c r="Q27" s="557"/>
      <c r="R27" s="557"/>
      <c r="S27" s="557"/>
      <c r="T27" s="557"/>
      <c r="U27" s="557"/>
      <c r="V27" s="557"/>
      <c r="W27" s="557"/>
      <c r="X27" s="557"/>
      <c r="Y27" s="557"/>
      <c r="Z27" s="557"/>
      <c r="AB27" s="659"/>
      <c r="AC27" s="571"/>
      <c r="AD27" s="571"/>
      <c r="AE27" s="571"/>
      <c r="AF27" s="571"/>
      <c r="AG27" s="571"/>
      <c r="AH27" s="571"/>
      <c r="AI27" s="571"/>
      <c r="AJ27" s="507"/>
      <c r="AK27" s="571"/>
      <c r="AL27" s="571"/>
      <c r="AM27" s="571"/>
      <c r="AN27" s="507"/>
      <c r="AO27" s="571"/>
    </row>
    <row r="28" spans="2:41" ht="16">
      <c r="B28" s="10"/>
      <c r="C28" s="32" t="s">
        <v>394</v>
      </c>
      <c r="D28" s="10"/>
      <c r="E28" s="90" t="s">
        <v>15</v>
      </c>
      <c r="F28" s="10"/>
      <c r="G28" s="10"/>
      <c r="H28" s="10"/>
      <c r="I28" s="10"/>
      <c r="J28" s="10"/>
      <c r="K28" s="10"/>
      <c r="L28" s="10"/>
      <c r="M28" s="10"/>
      <c r="N28" s="558">
        <f>IF(IH="Approved",INDEX($N$29:$Z$31,MATCH(Scenario,$C$29:$C$31,0),1),0)</f>
        <v>0</v>
      </c>
      <c r="O28" s="558">
        <f>IF(IH="Approved",INDEX($N$29:$Z$31,MATCH(Scenario,$C$29:$C$31,0),2),0)</f>
        <v>0</v>
      </c>
      <c r="P28" s="558">
        <f>IF(IH="Approved",INDEX($N$29:$Z$31,MATCH(Scenario,$C$29:$C$31,0),3),0)</f>
        <v>0.02</v>
      </c>
      <c r="Q28" s="558">
        <f>IF(IH="Approved",INDEX($N$29:$Z$31,MATCH(Scenario,$C$29:$C$31,0),4),0)</f>
        <v>5.5E-2</v>
      </c>
      <c r="R28" s="558">
        <f>IF(IH="Approved",INDEX($N$29:$Z$31,MATCH(Scenario,$C$29:$C$31,0),5),0)</f>
        <v>0.08</v>
      </c>
      <c r="S28" s="558">
        <f>IF(IH="Approved",INDEX($N$29:$Z$31,MATCH(Scenario,$C$29:$C$31,0),6),0)</f>
        <v>9.1999999999999998E-2</v>
      </c>
      <c r="T28" s="558">
        <f>IF(IH="Approved",INDEX($N$29:$Z$31,MATCH(Scenario,$C$29:$C$31,0),7),0)</f>
        <v>9.9000000000000005E-2</v>
      </c>
      <c r="U28" s="558">
        <f>IF(IH="Approved",INDEX($N$29:$Z$31,MATCH(Scenario,$C$29:$C$31,0),8),0)</f>
        <v>0.10199999999999999</v>
      </c>
      <c r="V28" s="558">
        <f>IF(IH="Approved",INDEX($N$29:$Z$31,MATCH(Scenario,$C$29:$C$31,0),9),0)</f>
        <v>0.104</v>
      </c>
      <c r="W28" s="558">
        <f>IF(IH="Approved",INDEX($N$29:$Z$31,MATCH(Scenario,$C$29:$C$31,0),10),0)</f>
        <v>0.105</v>
      </c>
      <c r="X28" s="558">
        <f>IF(IH="Approved",INDEX($N$29:$Z$31,MATCH(Scenario,$C$29:$C$31,0),11),0)</f>
        <v>0.105</v>
      </c>
      <c r="Y28" s="558">
        <f>IF(IH="Approved",INDEX($N$29:$Z$31,MATCH(Scenario,$C$29:$C$31,0),12),0)</f>
        <v>0.104</v>
      </c>
      <c r="Z28" s="558">
        <f>IF(IH="Approved",INDEX($N$29:$Z$31,MATCH(Scenario,$C$29:$C$31,0),13),0)</f>
        <v>0.10299999999999999</v>
      </c>
      <c r="AB28" s="659"/>
      <c r="AC28" s="571"/>
      <c r="AD28" s="571"/>
      <c r="AE28" s="571"/>
      <c r="AF28" s="571"/>
      <c r="AG28" s="571"/>
      <c r="AH28" s="571"/>
      <c r="AI28" s="507"/>
      <c r="AJ28" s="507"/>
      <c r="AK28" s="507"/>
      <c r="AL28" s="571"/>
      <c r="AM28" s="507"/>
      <c r="AN28" s="571"/>
      <c r="AO28" s="507"/>
    </row>
    <row r="29" spans="2:41" ht="16">
      <c r="B29" s="10"/>
      <c r="C29" s="555" t="s">
        <v>101</v>
      </c>
      <c r="D29" s="10"/>
      <c r="E29" s="90" t="s">
        <v>15</v>
      </c>
      <c r="F29" s="10"/>
      <c r="G29" s="10"/>
      <c r="H29" s="10"/>
      <c r="I29" s="10"/>
      <c r="J29" s="10"/>
      <c r="K29" s="10"/>
      <c r="L29" s="10"/>
      <c r="M29" s="10"/>
      <c r="N29" s="556">
        <v>0</v>
      </c>
      <c r="O29" s="556">
        <v>0</v>
      </c>
      <c r="P29" s="556">
        <v>2.5000000000000001E-2</v>
      </c>
      <c r="Q29" s="556">
        <v>6.5000000000000002E-2</v>
      </c>
      <c r="R29" s="556">
        <v>9.5000000000000001E-2</v>
      </c>
      <c r="S29" s="556">
        <v>0.11</v>
      </c>
      <c r="T29" s="556">
        <v>0.115</v>
      </c>
      <c r="U29" s="556">
        <v>0.11799999999999999</v>
      </c>
      <c r="V29" s="556">
        <v>0.11899999999999999</v>
      </c>
      <c r="W29" s="556">
        <v>0.12</v>
      </c>
      <c r="X29" s="556">
        <v>0.12</v>
      </c>
      <c r="Y29" s="556">
        <v>0.11899999999999999</v>
      </c>
      <c r="Z29" s="556">
        <v>0.11799999999999999</v>
      </c>
      <c r="AB29" s="659"/>
      <c r="AC29" s="571"/>
      <c r="AD29" s="571"/>
      <c r="AE29" s="571"/>
      <c r="AF29" s="571"/>
      <c r="AG29" s="571"/>
      <c r="AH29" s="571"/>
      <c r="AI29" s="507"/>
      <c r="AJ29" s="571"/>
      <c r="AK29" s="507"/>
      <c r="AL29" s="507"/>
      <c r="AM29" s="571"/>
      <c r="AN29" s="507"/>
      <c r="AO29" s="571"/>
    </row>
    <row r="30" spans="2:41" ht="16">
      <c r="B30" s="10"/>
      <c r="C30" s="555" t="s">
        <v>96</v>
      </c>
      <c r="D30" s="10"/>
      <c r="E30" s="90" t="s">
        <v>15</v>
      </c>
      <c r="F30" s="10"/>
      <c r="G30" s="10"/>
      <c r="H30" s="10"/>
      <c r="I30" s="10"/>
      <c r="J30" s="10"/>
      <c r="K30" s="10"/>
      <c r="L30" s="10"/>
      <c r="M30" s="10"/>
      <c r="N30" s="556">
        <v>0</v>
      </c>
      <c r="O30" s="556">
        <v>0</v>
      </c>
      <c r="P30" s="556">
        <v>0.02</v>
      </c>
      <c r="Q30" s="556">
        <v>5.5E-2</v>
      </c>
      <c r="R30" s="556">
        <v>0.08</v>
      </c>
      <c r="S30" s="556">
        <v>9.1999999999999998E-2</v>
      </c>
      <c r="T30" s="556">
        <v>9.9000000000000005E-2</v>
      </c>
      <c r="U30" s="556">
        <v>0.10199999999999999</v>
      </c>
      <c r="V30" s="556">
        <v>0.104</v>
      </c>
      <c r="W30" s="556">
        <v>0.105</v>
      </c>
      <c r="X30" s="556">
        <v>0.105</v>
      </c>
      <c r="Y30" s="556">
        <v>0.104</v>
      </c>
      <c r="Z30" s="556">
        <v>0.10299999999999999</v>
      </c>
      <c r="AB30" s="659"/>
      <c r="AC30" s="507"/>
      <c r="AD30" s="507"/>
      <c r="AE30" s="571"/>
      <c r="AF30" s="571"/>
      <c r="AG30" s="571"/>
      <c r="AH30" s="571"/>
      <c r="AI30" s="571"/>
      <c r="AJ30" s="571"/>
      <c r="AK30" s="507"/>
      <c r="AL30" s="507"/>
      <c r="AM30" s="507"/>
      <c r="AN30" s="571"/>
      <c r="AO30" s="507"/>
    </row>
    <row r="31" spans="2:41" ht="16">
      <c r="B31" s="10"/>
      <c r="C31" s="555" t="s">
        <v>102</v>
      </c>
      <c r="D31" s="10"/>
      <c r="E31" s="90" t="s">
        <v>15</v>
      </c>
      <c r="F31" s="10"/>
      <c r="G31" s="10"/>
      <c r="H31" s="10"/>
      <c r="I31" s="10"/>
      <c r="J31" s="10"/>
      <c r="K31" s="10"/>
      <c r="L31" s="10"/>
      <c r="M31" s="10"/>
      <c r="N31" s="556">
        <v>0</v>
      </c>
      <c r="O31" s="556">
        <v>0</v>
      </c>
      <c r="P31" s="556">
        <v>0</v>
      </c>
      <c r="Q31" s="556">
        <v>2.5000000000000001E-2</v>
      </c>
      <c r="R31" s="556">
        <v>4.7E-2</v>
      </c>
      <c r="S31" s="556">
        <v>6.2E-2</v>
      </c>
      <c r="T31" s="556">
        <v>7.0000000000000007E-2</v>
      </c>
      <c r="U31" s="556">
        <v>7.4999999999999997E-2</v>
      </c>
      <c r="V31" s="556">
        <v>7.6999999999999999E-2</v>
      </c>
      <c r="W31" s="556">
        <v>7.9000000000000001E-2</v>
      </c>
      <c r="X31" s="556">
        <v>0.08</v>
      </c>
      <c r="Y31" s="556">
        <v>0.08</v>
      </c>
      <c r="Z31" s="556">
        <v>7.9000000000000001E-2</v>
      </c>
      <c r="AC31" s="507"/>
      <c r="AD31" s="571"/>
      <c r="AE31" s="571"/>
      <c r="AF31" s="571"/>
      <c r="AG31" s="571"/>
      <c r="AH31" s="571"/>
      <c r="AI31" s="571"/>
      <c r="AJ31" s="571"/>
      <c r="AK31" s="507"/>
      <c r="AL31" s="507"/>
      <c r="AM31" s="507"/>
      <c r="AN31" s="571"/>
      <c r="AO31" s="507"/>
    </row>
    <row r="32" spans="2:41" ht="16">
      <c r="B32" s="10"/>
      <c r="C32" s="559"/>
      <c r="D32" s="10"/>
      <c r="E32" s="10"/>
      <c r="F32" s="10"/>
      <c r="G32" s="10"/>
      <c r="H32" s="10"/>
      <c r="I32" s="10"/>
      <c r="J32" s="10"/>
      <c r="K32" s="10"/>
      <c r="L32" s="10"/>
      <c r="M32" s="10"/>
      <c r="N32" s="551"/>
      <c r="O32" s="551"/>
      <c r="P32" s="551"/>
      <c r="Q32" s="551"/>
      <c r="R32" s="551"/>
      <c r="S32" s="551"/>
      <c r="T32" s="551"/>
      <c r="U32" s="551"/>
      <c r="V32" s="552"/>
      <c r="W32" s="553"/>
      <c r="X32" s="553"/>
      <c r="Y32" s="554"/>
      <c r="Z32" s="554"/>
      <c r="AB32" s="659"/>
      <c r="AC32" s="507"/>
      <c r="AD32" s="507"/>
      <c r="AE32" s="571"/>
      <c r="AF32" s="571"/>
      <c r="AG32" s="571"/>
      <c r="AH32" s="571"/>
      <c r="AI32" s="507"/>
      <c r="AJ32" s="571"/>
      <c r="AK32" s="507"/>
      <c r="AL32" s="507"/>
      <c r="AM32" s="507"/>
      <c r="AN32" s="507"/>
      <c r="AO32" s="571"/>
    </row>
    <row r="33" spans="2:41" ht="16">
      <c r="B33" s="10"/>
      <c r="C33" s="189" t="s">
        <v>389</v>
      </c>
      <c r="D33" s="10"/>
      <c r="E33" s="90" t="s">
        <v>94</v>
      </c>
      <c r="F33" s="10"/>
      <c r="G33" s="10"/>
      <c r="H33" s="10"/>
      <c r="I33" s="10"/>
      <c r="J33" s="10"/>
      <c r="K33" s="10"/>
      <c r="L33" s="10"/>
      <c r="M33" s="493"/>
      <c r="N33" s="493"/>
      <c r="O33" s="560">
        <f>INDEX($O$34:$Z$36,MATCH(ASP,$C$34:$C$36,0),1)</f>
        <v>90</v>
      </c>
      <c r="P33" s="560">
        <f>INDEX($O$34:$Z$36,MATCH(ASP,$C$34:$C$36,0),2)</f>
        <v>93</v>
      </c>
      <c r="Q33" s="560">
        <f>INDEX($O$34:$Z$36,MATCH(ASP,$C$34:$C$36,0),3)</f>
        <v>96</v>
      </c>
      <c r="R33" s="560">
        <f>INDEX($O$34:$Z$36,MATCH(ASP,$C$34:$C$36,0),4)</f>
        <v>96</v>
      </c>
      <c r="S33" s="560">
        <f>INDEX($O$34:$Z$36,MATCH(ASP,$C$34:$C$36,0),5)</f>
        <v>96</v>
      </c>
      <c r="T33" s="560">
        <f>INDEX($O$34:$Z$36,MATCH(ASP,$C$34:$C$36,0),6)</f>
        <v>96</v>
      </c>
      <c r="U33" s="560">
        <f>INDEX($O$34:$Z$36,MATCH(ASP,$C$34:$C$36,0),7)</f>
        <v>96</v>
      </c>
      <c r="V33" s="560">
        <f>INDEX($O$34:$Z$36,MATCH(ASP,$C$34:$C$36,0),8)</f>
        <v>96</v>
      </c>
      <c r="W33" s="560">
        <f>INDEX($O$34:$Z$36,MATCH(ASP,$C$34:$C$36,0),9)</f>
        <v>96</v>
      </c>
      <c r="X33" s="560">
        <f>INDEX($O$34:$Z$36,MATCH(ASP,$C$34:$C$36,0),10)</f>
        <v>96</v>
      </c>
      <c r="Y33" s="560">
        <f>INDEX($O$34:$Z$36,MATCH(ASP,$C$34:$C$36,0),11)</f>
        <v>96</v>
      </c>
      <c r="Z33" s="560">
        <f>INDEX($O$34:$Z$36,MATCH(ASP,$C$34:$C$36,0),12)</f>
        <v>96</v>
      </c>
      <c r="AB33" s="659"/>
      <c r="AC33" s="571"/>
      <c r="AD33" s="571"/>
      <c r="AE33" s="571"/>
      <c r="AF33" s="571"/>
      <c r="AG33" s="571"/>
      <c r="AH33" s="571"/>
      <c r="AI33" s="571"/>
      <c r="AJ33" s="571"/>
      <c r="AK33" s="571"/>
      <c r="AL33" s="571"/>
      <c r="AM33" s="571"/>
      <c r="AN33" s="571"/>
      <c r="AO33" s="571"/>
    </row>
    <row r="34" spans="2:41" ht="16">
      <c r="B34" s="10"/>
      <c r="C34" s="92" t="s">
        <v>101</v>
      </c>
      <c r="D34" s="10"/>
      <c r="E34" s="43" t="s">
        <v>94</v>
      </c>
      <c r="F34" s="10"/>
      <c r="G34" s="10"/>
      <c r="H34" s="10"/>
      <c r="I34" s="10"/>
      <c r="J34" s="10"/>
      <c r="K34" s="10"/>
      <c r="L34" s="10"/>
      <c r="M34" s="493"/>
      <c r="N34" s="493"/>
      <c r="O34" s="493">
        <v>97</v>
      </c>
      <c r="P34" s="493">
        <v>97</v>
      </c>
      <c r="Q34" s="493">
        <v>97</v>
      </c>
      <c r="R34" s="493">
        <v>97</v>
      </c>
      <c r="S34" s="493">
        <v>97</v>
      </c>
      <c r="T34" s="493">
        <v>97</v>
      </c>
      <c r="U34" s="493">
        <v>97</v>
      </c>
      <c r="V34" s="493">
        <v>97</v>
      </c>
      <c r="W34" s="493">
        <v>97</v>
      </c>
      <c r="X34" s="493">
        <v>97</v>
      </c>
      <c r="Y34" s="493">
        <v>97</v>
      </c>
      <c r="Z34" s="493">
        <v>97</v>
      </c>
      <c r="AB34" s="659"/>
      <c r="AC34" s="571"/>
      <c r="AD34" s="571"/>
      <c r="AE34" s="571"/>
      <c r="AF34" s="571"/>
      <c r="AG34" s="571"/>
      <c r="AH34" s="571"/>
      <c r="AI34" s="571"/>
      <c r="AJ34" s="571"/>
      <c r="AK34" s="571"/>
      <c r="AL34" s="507"/>
      <c r="AM34" s="507"/>
      <c r="AN34" s="507"/>
      <c r="AO34" s="507"/>
    </row>
    <row r="35" spans="2:41" ht="16">
      <c r="B35" s="10"/>
      <c r="C35" s="92" t="s">
        <v>96</v>
      </c>
      <c r="D35" s="10"/>
      <c r="E35" s="43" t="s">
        <v>94</v>
      </c>
      <c r="F35" s="10"/>
      <c r="G35" s="10"/>
      <c r="H35" s="10"/>
      <c r="I35" s="10"/>
      <c r="J35" s="10"/>
      <c r="K35" s="10"/>
      <c r="L35" s="44">
        <v>31.07</v>
      </c>
      <c r="M35" s="561">
        <v>67.599999999999994</v>
      </c>
      <c r="N35" s="561">
        <v>90</v>
      </c>
      <c r="O35" s="493">
        <v>90</v>
      </c>
      <c r="P35" s="493">
        <v>93</v>
      </c>
      <c r="Q35" s="493">
        <v>96</v>
      </c>
      <c r="R35" s="493">
        <v>96</v>
      </c>
      <c r="S35" s="493">
        <v>96</v>
      </c>
      <c r="T35" s="493">
        <v>96</v>
      </c>
      <c r="U35" s="493">
        <v>96</v>
      </c>
      <c r="V35" s="493">
        <v>96</v>
      </c>
      <c r="W35" s="493">
        <v>96</v>
      </c>
      <c r="X35" s="493">
        <v>96</v>
      </c>
      <c r="Y35" s="493">
        <v>96</v>
      </c>
      <c r="Z35" s="493">
        <v>96</v>
      </c>
      <c r="AB35" s="659"/>
      <c r="AC35" s="571"/>
      <c r="AD35" s="571"/>
      <c r="AE35" s="571"/>
      <c r="AF35" s="507"/>
      <c r="AG35" s="571"/>
      <c r="AH35" s="571"/>
      <c r="AI35" s="507"/>
      <c r="AJ35" s="571"/>
      <c r="AK35" s="571"/>
      <c r="AL35" s="507"/>
      <c r="AM35" s="507"/>
      <c r="AN35" s="507"/>
      <c r="AO35" s="507"/>
    </row>
    <row r="36" spans="2:41" ht="16">
      <c r="B36" s="10"/>
      <c r="C36" s="92" t="s">
        <v>102</v>
      </c>
      <c r="D36" s="10"/>
      <c r="E36" s="43" t="s">
        <v>94</v>
      </c>
      <c r="F36" s="10"/>
      <c r="G36" s="10"/>
      <c r="H36" s="10"/>
      <c r="I36" s="10"/>
      <c r="J36" s="10"/>
      <c r="K36" s="10"/>
      <c r="L36" s="44"/>
      <c r="M36" s="561"/>
      <c r="N36" s="561"/>
      <c r="O36" s="493">
        <v>87</v>
      </c>
      <c r="P36" s="493">
        <v>89</v>
      </c>
      <c r="Q36" s="493">
        <v>92</v>
      </c>
      <c r="R36" s="493">
        <v>92</v>
      </c>
      <c r="S36" s="493">
        <v>92</v>
      </c>
      <c r="T36" s="493">
        <v>92</v>
      </c>
      <c r="U36" s="493">
        <v>92</v>
      </c>
      <c r="V36" s="493">
        <v>92</v>
      </c>
      <c r="W36" s="493">
        <v>92</v>
      </c>
      <c r="X36" s="493">
        <v>92</v>
      </c>
      <c r="Y36" s="493">
        <v>92</v>
      </c>
      <c r="Z36" s="493">
        <v>92</v>
      </c>
      <c r="AC36" s="571"/>
      <c r="AD36" s="571"/>
      <c r="AE36" s="571"/>
      <c r="AF36" s="507"/>
      <c r="AG36" s="507"/>
      <c r="AH36" s="507"/>
      <c r="AI36" s="571"/>
      <c r="AJ36" s="507"/>
      <c r="AK36" s="507"/>
      <c r="AL36" s="507"/>
      <c r="AM36" s="507"/>
      <c r="AN36" s="507"/>
      <c r="AO36" s="507"/>
    </row>
    <row r="37" spans="2:41" ht="16">
      <c r="B37" s="10"/>
      <c r="C37" s="559"/>
      <c r="D37" s="10"/>
      <c r="E37" s="10"/>
      <c r="F37" s="10"/>
      <c r="G37" s="10"/>
      <c r="H37" s="10"/>
      <c r="I37" s="10"/>
      <c r="J37" s="10"/>
      <c r="K37" s="10"/>
      <c r="L37" s="10"/>
      <c r="M37" s="10"/>
      <c r="N37" s="552"/>
      <c r="O37" s="551"/>
      <c r="P37" s="551"/>
      <c r="Q37" s="551"/>
      <c r="R37" s="551"/>
      <c r="S37" s="551"/>
      <c r="T37" s="551"/>
      <c r="U37" s="551"/>
      <c r="V37" s="552"/>
      <c r="W37" s="553"/>
      <c r="X37" s="553"/>
      <c r="Y37" s="554"/>
      <c r="Z37" s="554"/>
      <c r="AB37" s="659"/>
    </row>
    <row r="38" spans="2:41" ht="16">
      <c r="B38" s="10"/>
      <c r="C38" s="189" t="s">
        <v>363</v>
      </c>
      <c r="D38" s="10"/>
      <c r="E38" s="10"/>
      <c r="F38" s="10"/>
      <c r="G38" s="10"/>
      <c r="H38" s="10"/>
      <c r="I38" s="10"/>
      <c r="J38" s="10"/>
      <c r="K38" s="10"/>
      <c r="L38" s="10"/>
      <c r="M38" s="10"/>
      <c r="N38" s="552"/>
      <c r="O38" s="551"/>
      <c r="P38" s="551"/>
      <c r="Q38" s="551"/>
      <c r="R38" s="551"/>
      <c r="S38" s="551"/>
      <c r="T38" s="551"/>
      <c r="U38" s="551"/>
      <c r="V38" s="552"/>
      <c r="W38" s="553"/>
      <c r="X38" s="553"/>
      <c r="Y38" s="554"/>
      <c r="Z38" s="554"/>
      <c r="AB38" s="659"/>
    </row>
    <row r="39" spans="2:41" ht="16">
      <c r="B39" s="10"/>
      <c r="C39" s="189"/>
      <c r="D39" s="10"/>
      <c r="E39" s="10"/>
      <c r="F39" s="10"/>
      <c r="G39" s="10"/>
      <c r="H39" s="10"/>
      <c r="I39" s="10"/>
      <c r="J39" s="10"/>
      <c r="K39" s="10"/>
      <c r="L39" s="10"/>
      <c r="M39" s="10"/>
      <c r="N39" s="551"/>
      <c r="O39" s="551"/>
      <c r="P39" s="551"/>
      <c r="Q39" s="551"/>
      <c r="R39" s="551"/>
      <c r="S39" s="551"/>
      <c r="T39" s="551"/>
      <c r="U39" s="551"/>
      <c r="V39" s="552"/>
      <c r="W39" s="553"/>
      <c r="X39" s="553"/>
      <c r="Y39" s="554"/>
      <c r="Z39" s="554"/>
      <c r="AB39" s="659"/>
    </row>
    <row r="40" spans="2:41" ht="16">
      <c r="B40" s="10"/>
      <c r="C40" s="32" t="s">
        <v>393</v>
      </c>
      <c r="D40" s="10"/>
      <c r="E40" s="90" t="s">
        <v>15</v>
      </c>
      <c r="F40" s="10"/>
      <c r="G40" s="10"/>
      <c r="H40" s="10"/>
      <c r="I40" s="10"/>
      <c r="J40" s="10"/>
      <c r="K40" s="10"/>
      <c r="L40" s="10"/>
      <c r="M40" s="10"/>
      <c r="N40" s="558">
        <f>IF(Vali="approved",INDEX($N$41:$Z$43,MATCH(Scenario,$C$41:$C$43,0),1),0)</f>
        <v>0</v>
      </c>
      <c r="O40" s="558">
        <f>IF(Vali="approved",INDEX($N$41:$Z$43,MATCH(Scenario,$C$41:$C$43,0),2),0)</f>
        <v>0</v>
      </c>
      <c r="P40" s="558">
        <f>IF(Vali="approved",INDEX($N$41:$Z$43,MATCH(Scenario,$C$41:$C$43,0),3),0)</f>
        <v>5.0000000000000001E-3</v>
      </c>
      <c r="Q40" s="558">
        <f>IF(Vali="approved",INDEX($N$41:$Z$43,MATCH(Scenario,$C$41:$C$43,0),4),0)</f>
        <v>0.03</v>
      </c>
      <c r="R40" s="558">
        <f>IF(Vali="approved",INDEX($N$41:$Z$43,MATCH(Scenario,$C$41:$C$43,0),5),0)</f>
        <v>5.5E-2</v>
      </c>
      <c r="S40" s="558">
        <f>IF(Vali="approved",INDEX($N$41:$Z$43,MATCH(Scenario,$C$41:$C$43,0),6),0)</f>
        <v>7.1999999999999995E-2</v>
      </c>
      <c r="T40" s="558">
        <f>IF(Vali="approved",INDEX($N$41:$Z$43,MATCH(Scenario,$C$41:$C$43,0),7),0)</f>
        <v>8.4000000000000005E-2</v>
      </c>
      <c r="U40" s="558">
        <f>IF(Vali="approved",INDEX($N$41:$Z$43,MATCH(Scenario,$C$41:$C$43,0),8),0)</f>
        <v>0.09</v>
      </c>
      <c r="V40" s="558">
        <f>IF(Vali="approved",INDEX($N$41:$Z$43,MATCH(Scenario,$C$41:$C$43,0),9),0)</f>
        <v>9.2999999999999999E-2</v>
      </c>
      <c r="W40" s="558">
        <f>IF(Vali="approved",INDEX($N$41:$Z$43,MATCH(Scenario,$C$41:$C$43,0),10),0)</f>
        <v>9.6000000000000002E-2</v>
      </c>
      <c r="X40" s="558">
        <f>IF(Vali="approved",INDEX($N$41:$Z$43,MATCH(Scenario,$C$41:$C$43,0),11),0)</f>
        <v>0.1</v>
      </c>
      <c r="Y40" s="558">
        <f>IF(Vali="approved",INDEX($N$41:$Z$43,MATCH(Scenario,$C$41:$C$43,0),12),0)</f>
        <v>0.10100000000000001</v>
      </c>
      <c r="Z40" s="558">
        <f>IF(Vali="approved",INDEX($N$41:$Z$43,MATCH(Scenario,$C$41:$C$43,0),13),0)</f>
        <v>0.1</v>
      </c>
      <c r="AB40" s="659"/>
    </row>
    <row r="41" spans="2:41" ht="16">
      <c r="B41" s="10"/>
      <c r="C41" s="464" t="s">
        <v>101</v>
      </c>
      <c r="D41" s="10"/>
      <c r="E41" s="90" t="s">
        <v>15</v>
      </c>
      <c r="F41" s="10"/>
      <c r="G41" s="10"/>
      <c r="H41" s="10"/>
      <c r="I41" s="10"/>
      <c r="J41" s="10"/>
      <c r="K41" s="10"/>
      <c r="L41" s="10"/>
      <c r="M41" s="10"/>
      <c r="N41" s="556">
        <v>0</v>
      </c>
      <c r="O41" s="556">
        <v>0</v>
      </c>
      <c r="P41" s="556">
        <v>0.01</v>
      </c>
      <c r="Q41" s="556">
        <v>0.04</v>
      </c>
      <c r="R41" s="556">
        <v>6.8000000000000005E-2</v>
      </c>
      <c r="S41" s="556">
        <v>8.7999999999999995E-2</v>
      </c>
      <c r="T41" s="556">
        <v>0.10199999999999999</v>
      </c>
      <c r="U41" s="556">
        <v>0.11</v>
      </c>
      <c r="V41" s="556">
        <v>0.112</v>
      </c>
      <c r="W41" s="556">
        <v>0.114</v>
      </c>
      <c r="X41" s="556">
        <v>0.115</v>
      </c>
      <c r="Y41" s="556">
        <v>0.11600000000000001</v>
      </c>
      <c r="Z41" s="556">
        <v>0.115</v>
      </c>
      <c r="AC41" s="507"/>
      <c r="AD41" s="507"/>
      <c r="AE41" s="507"/>
      <c r="AF41" s="507"/>
      <c r="AG41" s="507"/>
      <c r="AH41" s="507"/>
      <c r="AI41" s="507"/>
      <c r="AJ41" s="507"/>
      <c r="AK41" s="507"/>
      <c r="AL41" s="507"/>
      <c r="AM41" s="507"/>
      <c r="AN41" s="507"/>
      <c r="AO41" s="507"/>
    </row>
    <row r="42" spans="2:41" ht="16">
      <c r="B42" s="10"/>
      <c r="C42" s="464" t="s">
        <v>96</v>
      </c>
      <c r="D42" s="10"/>
      <c r="E42" s="90" t="s">
        <v>15</v>
      </c>
      <c r="F42" s="10"/>
      <c r="G42" s="10"/>
      <c r="H42" s="10"/>
      <c r="I42" s="10"/>
      <c r="J42" s="10"/>
      <c r="K42" s="10"/>
      <c r="L42" s="10"/>
      <c r="M42" s="10"/>
      <c r="N42" s="556">
        <v>0</v>
      </c>
      <c r="O42" s="556">
        <v>0</v>
      </c>
      <c r="P42" s="556">
        <v>5.0000000000000001E-3</v>
      </c>
      <c r="Q42" s="556">
        <v>0.03</v>
      </c>
      <c r="R42" s="556">
        <v>5.5E-2</v>
      </c>
      <c r="S42" s="556">
        <v>7.1999999999999995E-2</v>
      </c>
      <c r="T42" s="556">
        <v>8.4000000000000005E-2</v>
      </c>
      <c r="U42" s="556">
        <v>0.09</v>
      </c>
      <c r="V42" s="556">
        <v>9.2999999999999999E-2</v>
      </c>
      <c r="W42" s="556">
        <v>9.6000000000000002E-2</v>
      </c>
      <c r="X42" s="556">
        <v>0.1</v>
      </c>
      <c r="Y42" s="556">
        <v>0.10100000000000001</v>
      </c>
      <c r="Z42" s="556">
        <v>0.1</v>
      </c>
      <c r="AC42" s="507"/>
      <c r="AD42" s="507"/>
      <c r="AE42" s="507"/>
      <c r="AF42" s="507"/>
      <c r="AG42" s="507"/>
      <c r="AH42" s="507"/>
      <c r="AI42" s="507"/>
      <c r="AJ42" s="507"/>
      <c r="AK42" s="507"/>
      <c r="AL42" s="507"/>
      <c r="AM42" s="507"/>
      <c r="AN42" s="507"/>
      <c r="AO42" s="507"/>
    </row>
    <row r="43" spans="2:41" ht="16">
      <c r="B43" s="10"/>
      <c r="C43" s="464" t="s">
        <v>102</v>
      </c>
      <c r="D43" s="10"/>
      <c r="E43" s="90" t="s">
        <v>15</v>
      </c>
      <c r="F43" s="10"/>
      <c r="G43" s="10"/>
      <c r="H43" s="10"/>
      <c r="I43" s="10"/>
      <c r="J43" s="10"/>
      <c r="K43" s="10"/>
      <c r="L43" s="10"/>
      <c r="M43" s="10"/>
      <c r="N43" s="556">
        <v>0</v>
      </c>
      <c r="O43" s="556">
        <v>0</v>
      </c>
      <c r="P43" s="556">
        <v>0</v>
      </c>
      <c r="Q43" s="556">
        <v>1.4999999999999999E-2</v>
      </c>
      <c r="R43" s="556">
        <v>3.2000000000000001E-2</v>
      </c>
      <c r="S43" s="556">
        <v>4.8000000000000001E-2</v>
      </c>
      <c r="T43" s="556">
        <v>0.06</v>
      </c>
      <c r="U43" s="556">
        <v>6.8000000000000005E-2</v>
      </c>
      <c r="V43" s="556">
        <v>7.0999999999999994E-2</v>
      </c>
      <c r="W43" s="556">
        <v>7.2999999999999995E-2</v>
      </c>
      <c r="X43" s="556">
        <v>7.4999999999999997E-2</v>
      </c>
      <c r="Y43" s="556">
        <v>7.4999999999999997E-2</v>
      </c>
      <c r="Z43" s="556">
        <v>7.3999999999999996E-2</v>
      </c>
      <c r="AC43" s="507"/>
      <c r="AD43" s="507"/>
      <c r="AE43" s="507"/>
      <c r="AF43" s="507"/>
      <c r="AG43" s="507"/>
      <c r="AH43" s="507"/>
      <c r="AI43" s="507"/>
      <c r="AJ43" s="507"/>
      <c r="AK43" s="507"/>
      <c r="AL43" s="507"/>
      <c r="AM43" s="507"/>
      <c r="AN43" s="507"/>
      <c r="AO43" s="507"/>
    </row>
    <row r="44" spans="2:41" ht="16">
      <c r="B44" s="10"/>
      <c r="C44" s="16"/>
      <c r="D44" s="10"/>
      <c r="E44" s="10"/>
      <c r="F44" s="10"/>
      <c r="G44" s="10"/>
      <c r="H44" s="10"/>
      <c r="I44" s="10"/>
      <c r="J44" s="10"/>
      <c r="K44" s="10"/>
      <c r="L44" s="10"/>
      <c r="M44" s="10"/>
      <c r="N44" s="557"/>
      <c r="O44" s="557"/>
      <c r="P44" s="557"/>
      <c r="Q44" s="557"/>
      <c r="R44" s="557"/>
      <c r="S44" s="557"/>
      <c r="T44" s="557"/>
      <c r="U44" s="557"/>
      <c r="V44" s="557"/>
      <c r="W44" s="557"/>
      <c r="X44" s="557"/>
      <c r="Y44" s="557"/>
      <c r="Z44" s="557"/>
    </row>
    <row r="45" spans="2:41" ht="16">
      <c r="B45" s="10"/>
      <c r="C45" s="32" t="s">
        <v>394</v>
      </c>
      <c r="D45" s="10"/>
      <c r="E45" s="90" t="s">
        <v>15</v>
      </c>
      <c r="F45" s="10"/>
      <c r="G45" s="10"/>
      <c r="H45" s="10"/>
      <c r="I45" s="10"/>
      <c r="J45" s="10"/>
      <c r="K45" s="10"/>
      <c r="L45" s="10"/>
      <c r="M45" s="10"/>
      <c r="N45" s="558">
        <f>IF(Vali="approved",INDEX($N$46:$Z$48,MATCH(Scenario,$C$46:$C$48,0),1),0)</f>
        <v>0</v>
      </c>
      <c r="O45" s="558">
        <f>IF(Vali="approved",INDEX($N$46:$Z$48,MATCH(Scenario,$C$46:$C$48,0),2),0)</f>
        <v>0</v>
      </c>
      <c r="P45" s="558">
        <f>IF(Vali="approved",INDEX($N$46:$Z$48,MATCH(Scenario,$C$46:$C$48,0),3),0)</f>
        <v>3.0000000000000001E-3</v>
      </c>
      <c r="Q45" s="558">
        <f>IF(Vali="approved",INDEX($N$46:$Z$48,MATCH(Scenario,$C$46:$C$48,0),4),0)</f>
        <v>2.5000000000000001E-2</v>
      </c>
      <c r="R45" s="558">
        <f>IF(Vali="approved",INDEX($N$46:$Z$48,MATCH(Scenario,$C$46:$C$48,0),5),0)</f>
        <v>4.7E-2</v>
      </c>
      <c r="S45" s="558">
        <f>IF(Vali="approved",INDEX($N$46:$Z$48,MATCH(Scenario,$C$46:$C$48,0),6),0)</f>
        <v>6.6000000000000003E-2</v>
      </c>
      <c r="T45" s="558">
        <f>IF(Vali="approved",INDEX($N$46:$Z$48,MATCH(Scenario,$C$46:$C$48,0),7),0)</f>
        <v>7.8E-2</v>
      </c>
      <c r="U45" s="558">
        <f>IF(Vali="approved",INDEX($N$46:$Z$48,MATCH(Scenario,$C$46:$C$48,0),8),0)</f>
        <v>8.5000000000000006E-2</v>
      </c>
      <c r="V45" s="558">
        <f>IF(Vali="approved",INDEX($N$46:$Z$48,MATCH(Scenario,$C$46:$C$48,0),9),0)</f>
        <v>8.6999999999999994E-2</v>
      </c>
      <c r="W45" s="558">
        <f>IF(Vali="approved",INDEX($N$46:$Z$48,MATCH(Scenario,$C$46:$C$48,0),10),0)</f>
        <v>8.8999999999999996E-2</v>
      </c>
      <c r="X45" s="558">
        <f>IF(Vali="approved",INDEX($N$46:$Z$48,MATCH(Scenario,$C$46:$C$48,0),11),0)</f>
        <v>0.09</v>
      </c>
      <c r="Y45" s="558">
        <f>IF(Vali="approved",INDEX($N$46:$Z$48,MATCH(Scenario,$C$46:$C$48,0),12),0)</f>
        <v>0.09</v>
      </c>
      <c r="Z45" s="558">
        <f>IF(Vali="approved",INDEX($N$46:$Z$48,MATCH(Scenario,$C$46:$C$48,0),13),0)</f>
        <v>8.8999999999999996E-2</v>
      </c>
    </row>
    <row r="46" spans="2:41" ht="16">
      <c r="B46" s="10"/>
      <c r="C46" s="464" t="s">
        <v>101</v>
      </c>
      <c r="D46" s="10"/>
      <c r="E46" s="90" t="s">
        <v>15</v>
      </c>
      <c r="F46" s="10"/>
      <c r="G46" s="10"/>
      <c r="H46" s="10"/>
      <c r="I46" s="10"/>
      <c r="J46" s="10"/>
      <c r="K46" s="10"/>
      <c r="L46" s="10"/>
      <c r="M46" s="10"/>
      <c r="N46" s="556">
        <v>0</v>
      </c>
      <c r="O46" s="556">
        <v>0</v>
      </c>
      <c r="P46" s="556">
        <v>6.0000000000000001E-3</v>
      </c>
      <c r="Q46" s="556">
        <v>3.2000000000000001E-2</v>
      </c>
      <c r="R46" s="556">
        <v>5.8000000000000003E-2</v>
      </c>
      <c r="S46" s="556">
        <v>7.8E-2</v>
      </c>
      <c r="T46" s="556">
        <v>9.5000000000000001E-2</v>
      </c>
      <c r="U46" s="556">
        <v>0.10199999999999999</v>
      </c>
      <c r="V46" s="556">
        <v>0.104</v>
      </c>
      <c r="W46" s="556">
        <v>0.105</v>
      </c>
      <c r="X46" s="556">
        <v>0.105</v>
      </c>
      <c r="Y46" s="556">
        <v>0.106</v>
      </c>
      <c r="Z46" s="556">
        <v>0.105</v>
      </c>
      <c r="AC46" s="507"/>
      <c r="AD46" s="507"/>
      <c r="AE46" s="507"/>
      <c r="AF46" s="507"/>
      <c r="AG46" s="507"/>
      <c r="AH46" s="507"/>
      <c r="AI46" s="507"/>
      <c r="AJ46" s="507"/>
      <c r="AK46" s="507"/>
      <c r="AL46" s="507"/>
      <c r="AM46" s="507"/>
      <c r="AN46" s="507"/>
      <c r="AO46" s="507"/>
    </row>
    <row r="47" spans="2:41" ht="16">
      <c r="B47" s="10"/>
      <c r="C47" s="464" t="s">
        <v>96</v>
      </c>
      <c r="D47" s="10"/>
      <c r="E47" s="90" t="s">
        <v>15</v>
      </c>
      <c r="F47" s="10"/>
      <c r="G47" s="10"/>
      <c r="H47" s="10"/>
      <c r="I47" s="10"/>
      <c r="J47" s="10"/>
      <c r="K47" s="10"/>
      <c r="L47" s="10"/>
      <c r="M47" s="10"/>
      <c r="N47" s="556">
        <v>0</v>
      </c>
      <c r="O47" s="556">
        <v>0</v>
      </c>
      <c r="P47" s="556">
        <v>3.0000000000000001E-3</v>
      </c>
      <c r="Q47" s="556">
        <v>2.5000000000000001E-2</v>
      </c>
      <c r="R47" s="556">
        <v>4.7E-2</v>
      </c>
      <c r="S47" s="556">
        <v>6.6000000000000003E-2</v>
      </c>
      <c r="T47" s="556">
        <v>7.8E-2</v>
      </c>
      <c r="U47" s="556">
        <v>8.5000000000000006E-2</v>
      </c>
      <c r="V47" s="556">
        <v>8.6999999999999994E-2</v>
      </c>
      <c r="W47" s="556">
        <v>8.8999999999999996E-2</v>
      </c>
      <c r="X47" s="556">
        <v>0.09</v>
      </c>
      <c r="Y47" s="556">
        <v>0.09</v>
      </c>
      <c r="Z47" s="556">
        <v>8.8999999999999996E-2</v>
      </c>
      <c r="AC47" s="507"/>
      <c r="AD47" s="507"/>
      <c r="AE47" s="507"/>
      <c r="AF47" s="507"/>
      <c r="AG47" s="507"/>
      <c r="AH47" s="507"/>
      <c r="AI47" s="507"/>
      <c r="AJ47" s="507"/>
      <c r="AK47" s="507"/>
      <c r="AL47" s="507"/>
      <c r="AM47" s="507"/>
      <c r="AN47" s="507"/>
      <c r="AO47" s="507"/>
    </row>
    <row r="48" spans="2:41" ht="16">
      <c r="B48" s="10"/>
      <c r="C48" s="464" t="s">
        <v>102</v>
      </c>
      <c r="D48" s="10"/>
      <c r="E48" s="90" t="s">
        <v>15</v>
      </c>
      <c r="F48" s="10"/>
      <c r="G48" s="10"/>
      <c r="H48" s="10"/>
      <c r="I48" s="10"/>
      <c r="J48" s="10"/>
      <c r="K48" s="10"/>
      <c r="L48" s="10"/>
      <c r="M48" s="36"/>
      <c r="N48" s="556">
        <v>0</v>
      </c>
      <c r="O48" s="556">
        <v>0</v>
      </c>
      <c r="P48" s="556">
        <v>0</v>
      </c>
      <c r="Q48" s="556">
        <v>0.01</v>
      </c>
      <c r="R48" s="556">
        <v>2.5999999999999999E-2</v>
      </c>
      <c r="S48" s="556">
        <v>4.1000000000000002E-2</v>
      </c>
      <c r="T48" s="556">
        <v>5.2999999999999999E-2</v>
      </c>
      <c r="U48" s="556">
        <v>0.06</v>
      </c>
      <c r="V48" s="556">
        <v>6.2E-2</v>
      </c>
      <c r="W48" s="556">
        <v>6.4000000000000001E-2</v>
      </c>
      <c r="X48" s="556">
        <v>6.5000000000000002E-2</v>
      </c>
      <c r="Y48" s="556">
        <v>6.5000000000000002E-2</v>
      </c>
      <c r="Z48" s="556">
        <v>6.4000000000000001E-2</v>
      </c>
      <c r="AC48" s="507"/>
      <c r="AD48" s="507"/>
      <c r="AE48" s="507"/>
      <c r="AF48" s="507"/>
      <c r="AG48" s="507"/>
      <c r="AH48" s="507"/>
      <c r="AI48" s="507"/>
      <c r="AJ48" s="507"/>
      <c r="AK48" s="507"/>
      <c r="AL48" s="507"/>
      <c r="AM48" s="507"/>
      <c r="AN48" s="507"/>
      <c r="AO48" s="507"/>
    </row>
    <row r="49" spans="2:26" ht="16">
      <c r="B49" s="10"/>
      <c r="C49" s="189"/>
      <c r="D49" s="10"/>
      <c r="E49" s="90"/>
      <c r="F49" s="10"/>
      <c r="G49" s="10"/>
      <c r="H49" s="10"/>
      <c r="I49" s="10"/>
      <c r="J49" s="10"/>
      <c r="K49" s="10"/>
      <c r="L49" s="10"/>
      <c r="M49" s="36"/>
      <c r="N49" s="562"/>
      <c r="O49" s="562"/>
      <c r="P49" s="562"/>
      <c r="Q49" s="562"/>
      <c r="R49" s="562"/>
      <c r="S49" s="562"/>
      <c r="T49" s="562"/>
      <c r="U49" s="562"/>
      <c r="V49" s="562"/>
      <c r="W49" s="562"/>
      <c r="X49" s="10"/>
      <c r="Y49" s="10"/>
      <c r="Z49" s="10"/>
    </row>
    <row r="50" spans="2:26" ht="16">
      <c r="B50" s="10"/>
      <c r="C50" s="189" t="s">
        <v>389</v>
      </c>
      <c r="D50" s="10"/>
      <c r="E50" s="90" t="s">
        <v>94</v>
      </c>
      <c r="F50" s="10"/>
      <c r="G50" s="10"/>
      <c r="H50" s="10"/>
      <c r="I50" s="10"/>
      <c r="J50" s="10"/>
      <c r="K50" s="10"/>
      <c r="L50" s="10"/>
      <c r="M50" s="36"/>
      <c r="N50" s="36"/>
      <c r="O50" s="560">
        <f>INDEX($O$51:$Z$53,MATCH(ASP,$C$51:$C$53,0),1)</f>
        <v>111</v>
      </c>
      <c r="P50" s="560">
        <f>INDEX($O$51:$Z$53,MATCH(ASP,$C$51:$C$53,0),2)</f>
        <v>111</v>
      </c>
      <c r="Q50" s="560">
        <f>INDEX($O$51:$Z$53,MATCH(ASP,$C$51:$C$53,0),3)</f>
        <v>111</v>
      </c>
      <c r="R50" s="560">
        <f>INDEX($O$51:$Z$53,MATCH(ASP,$C$51:$C$53,0),4)</f>
        <v>111</v>
      </c>
      <c r="S50" s="560">
        <f>INDEX($O$51:$Z$53,MATCH(ASP,$C$51:$C$53,0),5)</f>
        <v>111</v>
      </c>
      <c r="T50" s="560">
        <f>INDEX($O$51:$Z$53,MATCH(ASP,$C$51:$C$53,0),6)</f>
        <v>111</v>
      </c>
      <c r="U50" s="560">
        <f>INDEX($O$51:$Z$53,MATCH(ASP,$C$51:$C$53,0),7)</f>
        <v>111</v>
      </c>
      <c r="V50" s="560">
        <f>INDEX($O$51:$Z$53,MATCH(ASP,$C$51:$C$53,0),8)</f>
        <v>111</v>
      </c>
      <c r="W50" s="560">
        <f>INDEX($O$51:$Z$53,MATCH(ASP,$C$51:$C$53,0),9)</f>
        <v>111</v>
      </c>
      <c r="X50" s="560">
        <f>INDEX($O$51:$Z$53,MATCH(ASP,$C$51:$C$53,0),10)</f>
        <v>111</v>
      </c>
      <c r="Y50" s="560">
        <f>INDEX($O$51:$Z$53,MATCH(ASP,$C$51:$C$53,0),11)</f>
        <v>111</v>
      </c>
      <c r="Z50" s="560">
        <f>INDEX($O$51:$Z$53,MATCH(ASP,$C$51:$C$53,0),12)</f>
        <v>111</v>
      </c>
    </row>
    <row r="51" spans="2:26" ht="16">
      <c r="B51" s="10"/>
      <c r="C51" s="92" t="s">
        <v>101</v>
      </c>
      <c r="D51" s="10"/>
      <c r="E51" s="43" t="s">
        <v>94</v>
      </c>
      <c r="F51" s="10"/>
      <c r="G51" s="10"/>
      <c r="H51" s="10"/>
      <c r="I51" s="10"/>
      <c r="J51" s="10"/>
      <c r="K51" s="10"/>
      <c r="L51" s="10"/>
      <c r="M51" s="36"/>
      <c r="N51" s="10"/>
      <c r="O51" s="493">
        <v>115</v>
      </c>
      <c r="P51" s="493">
        <v>115</v>
      </c>
      <c r="Q51" s="493">
        <v>115</v>
      </c>
      <c r="R51" s="493">
        <v>115</v>
      </c>
      <c r="S51" s="493">
        <v>115</v>
      </c>
      <c r="T51" s="493">
        <v>115</v>
      </c>
      <c r="U51" s="493">
        <v>115</v>
      </c>
      <c r="V51" s="493">
        <v>115</v>
      </c>
      <c r="W51" s="493">
        <v>115</v>
      </c>
      <c r="X51" s="493">
        <v>115</v>
      </c>
      <c r="Y51" s="493">
        <v>115</v>
      </c>
      <c r="Z51" s="493">
        <v>115</v>
      </c>
    </row>
    <row r="52" spans="2:26" ht="16">
      <c r="B52" s="10"/>
      <c r="C52" s="92" t="s">
        <v>96</v>
      </c>
      <c r="D52" s="10"/>
      <c r="E52" s="43" t="s">
        <v>94</v>
      </c>
      <c r="F52" s="10"/>
      <c r="G52" s="10"/>
      <c r="H52" s="10"/>
      <c r="I52" s="10"/>
      <c r="J52" s="10"/>
      <c r="K52" s="10"/>
      <c r="L52" s="44"/>
      <c r="M52" s="463"/>
      <c r="N52" s="10"/>
      <c r="O52" s="493">
        <v>111</v>
      </c>
      <c r="P52" s="493">
        <v>111</v>
      </c>
      <c r="Q52" s="493">
        <v>111</v>
      </c>
      <c r="R52" s="493">
        <v>111</v>
      </c>
      <c r="S52" s="493">
        <v>111</v>
      </c>
      <c r="T52" s="493">
        <v>111</v>
      </c>
      <c r="U52" s="493">
        <v>111</v>
      </c>
      <c r="V52" s="493">
        <v>111</v>
      </c>
      <c r="W52" s="493">
        <v>111</v>
      </c>
      <c r="X52" s="493">
        <v>111</v>
      </c>
      <c r="Y52" s="493">
        <v>111</v>
      </c>
      <c r="Z52" s="493">
        <v>111</v>
      </c>
    </row>
    <row r="53" spans="2:26" ht="16">
      <c r="B53" s="10"/>
      <c r="C53" s="92" t="s">
        <v>102</v>
      </c>
      <c r="D53" s="10"/>
      <c r="E53" s="43" t="s">
        <v>94</v>
      </c>
      <c r="F53" s="10"/>
      <c r="G53" s="10"/>
      <c r="H53" s="10"/>
      <c r="I53" s="10"/>
      <c r="J53" s="10"/>
      <c r="K53" s="10"/>
      <c r="L53" s="44"/>
      <c r="M53" s="463"/>
      <c r="N53" s="10"/>
      <c r="O53" s="493">
        <v>107</v>
      </c>
      <c r="P53" s="493">
        <v>107</v>
      </c>
      <c r="Q53" s="493">
        <v>107</v>
      </c>
      <c r="R53" s="493">
        <v>107</v>
      </c>
      <c r="S53" s="493">
        <v>107</v>
      </c>
      <c r="T53" s="493">
        <v>107</v>
      </c>
      <c r="U53" s="493">
        <v>107</v>
      </c>
      <c r="V53" s="493">
        <v>107</v>
      </c>
      <c r="W53" s="493">
        <v>107</v>
      </c>
      <c r="X53" s="493">
        <v>107</v>
      </c>
      <c r="Y53" s="493">
        <v>107</v>
      </c>
      <c r="Z53" s="493">
        <v>107</v>
      </c>
    </row>
    <row r="54" spans="2:26" ht="16">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2:26" ht="16">
      <c r="B55" s="10"/>
      <c r="C55" s="189" t="s">
        <v>395</v>
      </c>
      <c r="D55" s="10"/>
      <c r="E55" s="90"/>
      <c r="F55" s="10"/>
      <c r="G55" s="10"/>
      <c r="H55" s="10"/>
      <c r="I55" s="10"/>
      <c r="J55" s="10"/>
      <c r="K55" s="10"/>
      <c r="L55" s="10"/>
      <c r="M55" s="36"/>
      <c r="N55" s="562"/>
      <c r="O55" s="562"/>
      <c r="P55" s="562"/>
      <c r="Q55" s="562"/>
      <c r="R55" s="562"/>
      <c r="S55" s="562"/>
      <c r="T55" s="562"/>
      <c r="U55" s="562"/>
      <c r="V55" s="562"/>
      <c r="W55" s="562"/>
      <c r="X55" s="562"/>
      <c r="Y55" s="562"/>
      <c r="Z55" s="562"/>
    </row>
    <row r="56" spans="2:26" ht="16">
      <c r="B56" s="10"/>
      <c r="C56" s="42" t="s">
        <v>367</v>
      </c>
      <c r="D56" s="10"/>
      <c r="E56" s="90" t="s">
        <v>20</v>
      </c>
      <c r="F56" s="10"/>
      <c r="G56" s="10"/>
      <c r="H56" s="10"/>
      <c r="I56" s="10"/>
      <c r="J56" s="10"/>
      <c r="K56" s="10"/>
      <c r="L56" s="10"/>
      <c r="M56" s="36"/>
      <c r="N56" s="36">
        <f t="shared" ref="N56:Z56" si="7">N23*N13</f>
        <v>3815.9999999999995</v>
      </c>
      <c r="O56" s="36">
        <f t="shared" si="7"/>
        <v>5189.76</v>
      </c>
      <c r="P56" s="36">
        <f t="shared" si="7"/>
        <v>5955.2496000000001</v>
      </c>
      <c r="Q56" s="36">
        <f t="shared" si="7"/>
        <v>6580.5508080000009</v>
      </c>
      <c r="R56" s="36">
        <f t="shared" si="7"/>
        <v>6941.6374420800003</v>
      </c>
      <c r="S56" s="36">
        <f t="shared" si="7"/>
        <v>7138.9864734912007</v>
      </c>
      <c r="T56" s="36">
        <f t="shared" si="7"/>
        <v>7341.4528111820164</v>
      </c>
      <c r="U56" s="36">
        <f t="shared" si="7"/>
        <v>7734.190693276144</v>
      </c>
      <c r="V56" s="36">
        <f t="shared" si="7"/>
        <v>8043.5583210071891</v>
      </c>
      <c r="W56" s="36">
        <f t="shared" si="7"/>
        <v>8392.2206272605254</v>
      </c>
      <c r="X56" s="36">
        <f t="shared" si="7"/>
        <v>8602.026142942037</v>
      </c>
      <c r="Y56" s="36">
        <f t="shared" si="7"/>
        <v>8774.0666658008777</v>
      </c>
      <c r="Z56" s="36">
        <f t="shared" si="7"/>
        <v>8790.9128737992141</v>
      </c>
    </row>
    <row r="57" spans="2:26" ht="16">
      <c r="B57" s="10"/>
      <c r="C57" s="42" t="s">
        <v>368</v>
      </c>
      <c r="D57" s="10"/>
      <c r="E57" s="90" t="s">
        <v>20</v>
      </c>
      <c r="F57" s="10"/>
      <c r="G57" s="10"/>
      <c r="H57" s="10"/>
      <c r="I57" s="10"/>
      <c r="J57" s="10"/>
      <c r="K57" s="10"/>
      <c r="L57" s="10"/>
      <c r="M57" s="36"/>
      <c r="N57" s="36">
        <f>N28*N18</f>
        <v>0</v>
      </c>
      <c r="O57" s="36">
        <f t="shared" ref="O57:Z57" si="8">O28*O18</f>
        <v>0</v>
      </c>
      <c r="P57" s="36">
        <f t="shared" si="8"/>
        <v>740.13895669808835</v>
      </c>
      <c r="Q57" s="36">
        <f t="shared" si="8"/>
        <v>2035.6114094715888</v>
      </c>
      <c r="R57" s="36">
        <f t="shared" si="8"/>
        <v>2961.1116535847068</v>
      </c>
      <c r="S57" s="36">
        <f t="shared" si="8"/>
        <v>3405.6619221091369</v>
      </c>
      <c r="T57" s="36">
        <f t="shared" si="8"/>
        <v>3665.2010740977198</v>
      </c>
      <c r="U57" s="36">
        <f t="shared" si="8"/>
        <v>3776.5512449769021</v>
      </c>
      <c r="V57" s="36">
        <f t="shared" si="8"/>
        <v>3851.0348142862499</v>
      </c>
      <c r="W57" s="36">
        <f t="shared" si="8"/>
        <v>3888.5017580746489</v>
      </c>
      <c r="X57" s="36">
        <f t="shared" si="8"/>
        <v>3888.9395702448205</v>
      </c>
      <c r="Y57" s="36">
        <f t="shared" si="8"/>
        <v>3852.3357418831138</v>
      </c>
      <c r="Z57" s="36">
        <f t="shared" si="8"/>
        <v>3815.723621663476</v>
      </c>
    </row>
    <row r="58" spans="2:26" ht="16">
      <c r="B58" s="10"/>
      <c r="C58" s="536"/>
      <c r="D58" s="10"/>
      <c r="E58" s="90"/>
      <c r="F58" s="10"/>
      <c r="G58" s="10"/>
      <c r="H58" s="10"/>
      <c r="I58" s="10"/>
      <c r="J58" s="10"/>
      <c r="K58" s="10"/>
      <c r="L58" s="10"/>
      <c r="M58" s="36"/>
      <c r="N58" s="562"/>
      <c r="O58" s="562"/>
      <c r="P58" s="562"/>
      <c r="Q58" s="562"/>
      <c r="R58" s="562"/>
      <c r="S58" s="562"/>
      <c r="T58" s="562"/>
      <c r="U58" s="562"/>
      <c r="V58" s="562"/>
      <c r="W58" s="562"/>
      <c r="X58" s="562"/>
      <c r="Y58" s="562"/>
      <c r="Z58" s="562"/>
    </row>
    <row r="59" spans="2:26" ht="16">
      <c r="B59" s="10"/>
      <c r="C59" s="189" t="s">
        <v>396</v>
      </c>
      <c r="D59" s="10"/>
      <c r="E59" s="90"/>
      <c r="F59" s="10"/>
      <c r="G59" s="10"/>
      <c r="H59" s="10"/>
      <c r="I59" s="10"/>
      <c r="J59" s="10"/>
      <c r="K59" s="10"/>
      <c r="L59" s="10"/>
      <c r="M59" s="36"/>
      <c r="N59" s="562"/>
      <c r="O59" s="562"/>
      <c r="P59" s="562"/>
      <c r="Q59" s="562"/>
      <c r="R59" s="562"/>
      <c r="S59" s="562"/>
      <c r="T59" s="562"/>
      <c r="U59" s="562"/>
      <c r="V59" s="562"/>
      <c r="W59" s="562"/>
      <c r="X59" s="562"/>
      <c r="Y59" s="562"/>
      <c r="Z59" s="562"/>
    </row>
    <row r="60" spans="2:26" ht="16">
      <c r="B60" s="10"/>
      <c r="C60" s="42" t="s">
        <v>367</v>
      </c>
      <c r="D60" s="10"/>
      <c r="E60" s="90" t="s">
        <v>20</v>
      </c>
      <c r="F60" s="10"/>
      <c r="G60" s="10"/>
      <c r="H60" s="10"/>
      <c r="I60" s="10"/>
      <c r="J60" s="10"/>
      <c r="K60" s="10"/>
      <c r="L60" s="10"/>
      <c r="M60" s="36"/>
      <c r="N60" s="36">
        <f t="shared" ref="N60:Z60" si="9">N40*N13</f>
        <v>0</v>
      </c>
      <c r="O60" s="36">
        <f t="shared" si="9"/>
        <v>0</v>
      </c>
      <c r="P60" s="36">
        <f t="shared" si="9"/>
        <v>275.70600000000002</v>
      </c>
      <c r="Q60" s="36">
        <f t="shared" si="9"/>
        <v>1687.3207200000002</v>
      </c>
      <c r="R60" s="36">
        <f t="shared" si="9"/>
        <v>3155.2897464000002</v>
      </c>
      <c r="S60" s="36">
        <f t="shared" si="9"/>
        <v>4213.1723450112004</v>
      </c>
      <c r="T60" s="36">
        <f t="shared" si="9"/>
        <v>5013.6750905633289</v>
      </c>
      <c r="U60" s="36">
        <f t="shared" si="9"/>
        <v>5613.5255031842971</v>
      </c>
      <c r="V60" s="36">
        <f t="shared" si="9"/>
        <v>6032.6687407553918</v>
      </c>
      <c r="W60" s="36">
        <f t="shared" si="9"/>
        <v>6445.2254417360837</v>
      </c>
      <c r="X60" s="36">
        <f t="shared" si="9"/>
        <v>6881.6209143536298</v>
      </c>
      <c r="Y60" s="36">
        <f t="shared" si="9"/>
        <v>7089.44586596711</v>
      </c>
      <c r="Z60" s="36">
        <f t="shared" si="9"/>
        <v>7089.4458659671091</v>
      </c>
    </row>
    <row r="61" spans="2:26" ht="16">
      <c r="B61" s="10"/>
      <c r="C61" s="42" t="s">
        <v>368</v>
      </c>
      <c r="D61" s="10"/>
      <c r="E61" s="90" t="s">
        <v>20</v>
      </c>
      <c r="F61" s="10"/>
      <c r="G61" s="10"/>
      <c r="H61" s="10"/>
      <c r="I61" s="10"/>
      <c r="J61" s="10"/>
      <c r="K61" s="10"/>
      <c r="L61" s="10"/>
      <c r="M61" s="36"/>
      <c r="N61" s="36">
        <f>N45*N18</f>
        <v>0</v>
      </c>
      <c r="O61" s="36">
        <f t="shared" ref="O61:Z61" si="10">O45*O18</f>
        <v>0</v>
      </c>
      <c r="P61" s="36">
        <f t="shared" si="10"/>
        <v>111.02084350471324</v>
      </c>
      <c r="Q61" s="36">
        <f t="shared" si="10"/>
        <v>925.2779133961767</v>
      </c>
      <c r="R61" s="36">
        <f t="shared" si="10"/>
        <v>1739.6530964810154</v>
      </c>
      <c r="S61" s="36">
        <f t="shared" si="10"/>
        <v>2443.1922484695983</v>
      </c>
      <c r="T61" s="36">
        <f t="shared" si="10"/>
        <v>2887.7341795921425</v>
      </c>
      <c r="U61" s="36">
        <f t="shared" si="10"/>
        <v>3147.1260374807521</v>
      </c>
      <c r="V61" s="36">
        <f t="shared" si="10"/>
        <v>3221.5387388740742</v>
      </c>
      <c r="W61" s="36">
        <f t="shared" si="10"/>
        <v>3295.9681568442261</v>
      </c>
      <c r="X61" s="36">
        <f t="shared" si="10"/>
        <v>3333.3767744955603</v>
      </c>
      <c r="Y61" s="36">
        <f t="shared" si="10"/>
        <v>3333.7520843219254</v>
      </c>
      <c r="Z61" s="36">
        <f t="shared" si="10"/>
        <v>3297.0815760004793</v>
      </c>
    </row>
    <row r="62" spans="2:26" ht="16">
      <c r="B62" s="10"/>
      <c r="C62" s="536"/>
      <c r="D62" s="10"/>
      <c r="E62" s="43"/>
      <c r="F62" s="10"/>
      <c r="G62" s="10"/>
      <c r="H62" s="10"/>
      <c r="I62" s="10"/>
      <c r="J62" s="10"/>
      <c r="K62" s="10"/>
      <c r="L62" s="10"/>
      <c r="M62" s="36"/>
      <c r="N62" s="36"/>
      <c r="O62" s="36"/>
      <c r="P62" s="36"/>
      <c r="Q62" s="36"/>
      <c r="R62" s="36"/>
      <c r="S62" s="36"/>
      <c r="T62" s="36"/>
      <c r="U62" s="36"/>
      <c r="V62" s="36"/>
      <c r="W62" s="36"/>
      <c r="X62" s="10"/>
      <c r="Y62" s="10"/>
      <c r="Z62" s="10"/>
    </row>
    <row r="63" spans="2:26" ht="16">
      <c r="B63" s="10"/>
      <c r="C63" s="536" t="s">
        <v>369</v>
      </c>
      <c r="D63" s="10"/>
      <c r="E63" s="43"/>
      <c r="F63" s="10"/>
      <c r="G63" s="10"/>
      <c r="H63" s="10"/>
      <c r="I63" s="10"/>
      <c r="J63" s="10"/>
      <c r="K63" s="10"/>
      <c r="L63" s="10"/>
      <c r="M63" s="36"/>
      <c r="N63" s="36"/>
      <c r="O63" s="36"/>
      <c r="P63" s="36"/>
      <c r="Q63" s="36"/>
      <c r="R63" s="36"/>
      <c r="S63" s="36"/>
      <c r="T63" s="36"/>
      <c r="U63" s="36"/>
      <c r="V63" s="36"/>
      <c r="W63" s="36"/>
      <c r="X63" s="36"/>
      <c r="Y63" s="36"/>
      <c r="Z63" s="36"/>
    </row>
    <row r="64" spans="2:26" ht="16">
      <c r="B64" s="10"/>
      <c r="C64" s="42" t="s">
        <v>367</v>
      </c>
      <c r="D64" s="10"/>
      <c r="E64" s="43" t="s">
        <v>94</v>
      </c>
      <c r="F64" s="10"/>
      <c r="G64" s="10"/>
      <c r="H64" s="10"/>
      <c r="I64" s="10"/>
      <c r="J64" s="10"/>
      <c r="K64" s="10"/>
      <c r="L64" s="10"/>
      <c r="M64" s="36"/>
      <c r="N64" s="36">
        <f t="shared" ref="N64:Z64" si="11">N56*N35</f>
        <v>343439.99999999994</v>
      </c>
      <c r="O64" s="36">
        <f t="shared" si="11"/>
        <v>467078.40000000002</v>
      </c>
      <c r="P64" s="36">
        <f t="shared" si="11"/>
        <v>553838.21279999998</v>
      </c>
      <c r="Q64" s="36">
        <f t="shared" si="11"/>
        <v>631732.87756800011</v>
      </c>
      <c r="R64" s="36">
        <f t="shared" si="11"/>
        <v>666397.19443968008</v>
      </c>
      <c r="S64" s="36">
        <f t="shared" si="11"/>
        <v>685342.70145515527</v>
      </c>
      <c r="T64" s="36">
        <f t="shared" si="11"/>
        <v>704779.46987347351</v>
      </c>
      <c r="U64" s="36">
        <f t="shared" si="11"/>
        <v>742482.30655450979</v>
      </c>
      <c r="V64" s="36">
        <f t="shared" si="11"/>
        <v>772181.59881669015</v>
      </c>
      <c r="W64" s="36">
        <f t="shared" si="11"/>
        <v>805653.18021701043</v>
      </c>
      <c r="X64" s="36">
        <f t="shared" si="11"/>
        <v>825794.50972243561</v>
      </c>
      <c r="Y64" s="36">
        <f t="shared" si="11"/>
        <v>842310.39991688426</v>
      </c>
      <c r="Z64" s="36">
        <f t="shared" si="11"/>
        <v>843927.63588472456</v>
      </c>
    </row>
    <row r="65" spans="2:27" ht="16">
      <c r="B65" s="10"/>
      <c r="C65" s="42" t="s">
        <v>368</v>
      </c>
      <c r="D65" s="10"/>
      <c r="E65" s="43" t="s">
        <v>94</v>
      </c>
      <c r="F65" s="10"/>
      <c r="G65" s="10"/>
      <c r="H65" s="10"/>
      <c r="I65" s="10"/>
      <c r="J65" s="10"/>
      <c r="K65" s="10"/>
      <c r="L65" s="10"/>
      <c r="M65" s="36"/>
      <c r="N65" s="36">
        <f t="shared" ref="N65:Z65" si="12">N57*N35</f>
        <v>0</v>
      </c>
      <c r="O65" s="36">
        <f t="shared" si="12"/>
        <v>0</v>
      </c>
      <c r="P65" s="36">
        <f t="shared" si="12"/>
        <v>68832.922972922213</v>
      </c>
      <c r="Q65" s="36">
        <f t="shared" si="12"/>
        <v>195418.69530927253</v>
      </c>
      <c r="R65" s="36">
        <f t="shared" si="12"/>
        <v>284266.71874413185</v>
      </c>
      <c r="S65" s="36">
        <f t="shared" si="12"/>
        <v>326943.54452247714</v>
      </c>
      <c r="T65" s="36">
        <f t="shared" si="12"/>
        <v>351859.30311338109</v>
      </c>
      <c r="U65" s="36">
        <f t="shared" si="12"/>
        <v>362548.91951778263</v>
      </c>
      <c r="V65" s="36">
        <f t="shared" si="12"/>
        <v>369699.34217148001</v>
      </c>
      <c r="W65" s="36">
        <f t="shared" si="12"/>
        <v>373296.16877516627</v>
      </c>
      <c r="X65" s="36">
        <f t="shared" si="12"/>
        <v>373338.19874350278</v>
      </c>
      <c r="Y65" s="36">
        <f t="shared" si="12"/>
        <v>369824.23122077889</v>
      </c>
      <c r="Z65" s="36">
        <f t="shared" si="12"/>
        <v>366309.46767969371</v>
      </c>
    </row>
    <row r="66" spans="2:27" ht="16">
      <c r="B66" s="10"/>
      <c r="C66" s="536"/>
      <c r="D66" s="10"/>
      <c r="E66" s="43"/>
      <c r="F66" s="10"/>
      <c r="G66" s="10"/>
      <c r="H66" s="10"/>
      <c r="I66" s="10"/>
      <c r="J66" s="10"/>
      <c r="K66" s="10"/>
      <c r="L66" s="10"/>
      <c r="M66" s="36"/>
      <c r="N66" s="36"/>
      <c r="O66" s="36"/>
      <c r="P66" s="36"/>
      <c r="Q66" s="36"/>
      <c r="R66" s="36"/>
      <c r="S66" s="36"/>
      <c r="T66" s="36"/>
      <c r="U66" s="36"/>
      <c r="V66" s="36"/>
      <c r="W66" s="36"/>
      <c r="X66" s="36"/>
      <c r="Y66" s="36"/>
      <c r="Z66" s="36"/>
      <c r="AA66" s="701"/>
    </row>
    <row r="67" spans="2:27" ht="16">
      <c r="B67" s="10"/>
      <c r="C67" s="536" t="s">
        <v>370</v>
      </c>
      <c r="D67" s="10"/>
      <c r="E67" s="43"/>
      <c r="F67" s="10"/>
      <c r="G67" s="10"/>
      <c r="H67" s="10"/>
      <c r="I67" s="10"/>
      <c r="J67" s="10"/>
      <c r="K67" s="10"/>
      <c r="L67" s="10"/>
      <c r="M67" s="36"/>
      <c r="N67" s="36"/>
      <c r="O67" s="36"/>
      <c r="P67" s="36"/>
      <c r="Q67" s="36"/>
      <c r="R67" s="36"/>
      <c r="S67" s="36"/>
      <c r="T67" s="36"/>
      <c r="U67" s="36"/>
      <c r="V67" s="36"/>
      <c r="W67" s="36"/>
      <c r="X67" s="36"/>
      <c r="Y67" s="36"/>
      <c r="Z67" s="36"/>
    </row>
    <row r="68" spans="2:27" ht="16">
      <c r="B68" s="10"/>
      <c r="C68" s="42" t="s">
        <v>367</v>
      </c>
      <c r="D68" s="10"/>
      <c r="E68" s="43" t="s">
        <v>94</v>
      </c>
      <c r="F68" s="10"/>
      <c r="G68" s="10"/>
      <c r="H68" s="10"/>
      <c r="I68" s="10"/>
      <c r="J68" s="10"/>
      <c r="K68" s="10"/>
      <c r="L68" s="10"/>
      <c r="M68" s="36"/>
      <c r="N68" s="36">
        <f t="shared" ref="N68:Z68" si="13">N60*N50</f>
        <v>0</v>
      </c>
      <c r="O68" s="36">
        <f t="shared" si="13"/>
        <v>0</v>
      </c>
      <c r="P68" s="36">
        <f t="shared" si="13"/>
        <v>30603.366000000002</v>
      </c>
      <c r="Q68" s="36">
        <f t="shared" si="13"/>
        <v>187292.59992000001</v>
      </c>
      <c r="R68" s="36">
        <f t="shared" si="13"/>
        <v>350237.16185040004</v>
      </c>
      <c r="S68" s="36">
        <f t="shared" si="13"/>
        <v>467662.13029624324</v>
      </c>
      <c r="T68" s="36">
        <f t="shared" si="13"/>
        <v>556517.93505252956</v>
      </c>
      <c r="U68" s="36">
        <f t="shared" si="13"/>
        <v>623101.33085345698</v>
      </c>
      <c r="V68" s="36">
        <f t="shared" si="13"/>
        <v>669626.23022384848</v>
      </c>
      <c r="W68" s="36">
        <f t="shared" si="13"/>
        <v>715420.02403270523</v>
      </c>
      <c r="X68" s="36">
        <f t="shared" si="13"/>
        <v>763859.92149325286</v>
      </c>
      <c r="Y68" s="36">
        <f t="shared" si="13"/>
        <v>786928.49112234917</v>
      </c>
      <c r="Z68" s="36">
        <f t="shared" si="13"/>
        <v>786928.49112234905</v>
      </c>
      <c r="AA68" s="701"/>
    </row>
    <row r="69" spans="2:27" ht="16">
      <c r="B69" s="10"/>
      <c r="C69" s="42" t="s">
        <v>368</v>
      </c>
      <c r="D69" s="10"/>
      <c r="E69" s="43" t="s">
        <v>94</v>
      </c>
      <c r="F69" s="10"/>
      <c r="G69" s="10"/>
      <c r="H69" s="10"/>
      <c r="I69" s="10"/>
      <c r="J69" s="10"/>
      <c r="K69" s="10"/>
      <c r="L69" s="10"/>
      <c r="M69" s="36"/>
      <c r="N69" s="36">
        <f t="shared" ref="N69:Z69" si="14">N61*N50</f>
        <v>0</v>
      </c>
      <c r="O69" s="36">
        <f t="shared" si="14"/>
        <v>0</v>
      </c>
      <c r="P69" s="36">
        <f t="shared" si="14"/>
        <v>12323.313629023171</v>
      </c>
      <c r="Q69" s="36">
        <f t="shared" si="14"/>
        <v>102705.84838697562</v>
      </c>
      <c r="R69" s="36">
        <f t="shared" si="14"/>
        <v>193101.4937093927</v>
      </c>
      <c r="S69" s="36">
        <f t="shared" si="14"/>
        <v>271194.33958012541</v>
      </c>
      <c r="T69" s="36">
        <f t="shared" si="14"/>
        <v>320538.4939347278</v>
      </c>
      <c r="U69" s="36">
        <f t="shared" si="14"/>
        <v>349330.99016036349</v>
      </c>
      <c r="V69" s="36">
        <f t="shared" si="14"/>
        <v>357590.80001502222</v>
      </c>
      <c r="W69" s="36">
        <f t="shared" si="14"/>
        <v>365852.46540970908</v>
      </c>
      <c r="X69" s="36">
        <f t="shared" si="14"/>
        <v>370004.8219690072</v>
      </c>
      <c r="Y69" s="36">
        <f t="shared" si="14"/>
        <v>370046.48135973373</v>
      </c>
      <c r="Z69" s="36">
        <f t="shared" si="14"/>
        <v>365976.05493605323</v>
      </c>
    </row>
    <row r="70" spans="2:27" ht="16">
      <c r="B70" s="10"/>
      <c r="C70" s="536"/>
      <c r="D70" s="10"/>
      <c r="E70" s="43"/>
      <c r="F70" s="10"/>
      <c r="G70" s="10"/>
      <c r="H70" s="10"/>
      <c r="I70" s="10"/>
      <c r="J70" s="10"/>
      <c r="K70" s="10"/>
      <c r="L70" s="10"/>
      <c r="M70" s="36"/>
      <c r="N70" s="36"/>
      <c r="O70" s="36"/>
      <c r="P70" s="36"/>
      <c r="Q70" s="36"/>
      <c r="R70" s="36"/>
      <c r="S70" s="36"/>
      <c r="T70" s="36"/>
      <c r="U70" s="36"/>
      <c r="V70" s="36"/>
      <c r="W70" s="36"/>
      <c r="X70" s="36"/>
      <c r="Y70" s="36"/>
      <c r="Z70" s="36"/>
    </row>
    <row r="71" spans="2:27" ht="16">
      <c r="B71" s="10"/>
      <c r="C71" s="189" t="s">
        <v>137</v>
      </c>
      <c r="D71" s="10"/>
      <c r="E71" s="90" t="s">
        <v>94</v>
      </c>
      <c r="F71" s="10"/>
      <c r="G71" s="10"/>
      <c r="H71" s="91">
        <f>Model!G60</f>
        <v>59215</v>
      </c>
      <c r="I71" s="91">
        <f>Model!H60</f>
        <v>22334</v>
      </c>
      <c r="J71" s="91">
        <f>Model!I60</f>
        <v>0</v>
      </c>
      <c r="K71" s="91">
        <f>Model!J60</f>
        <v>0</v>
      </c>
      <c r="L71" s="91">
        <f>Model!K60</f>
        <v>27963</v>
      </c>
      <c r="M71" s="91">
        <f>Model!L60</f>
        <v>169117</v>
      </c>
      <c r="N71" s="91">
        <f t="shared" ref="N71:Z71" si="15">SUM(N64:N69)</f>
        <v>343439.99999999994</v>
      </c>
      <c r="O71" s="91">
        <f t="shared" si="15"/>
        <v>467078.40000000002</v>
      </c>
      <c r="P71" s="91">
        <f t="shared" si="15"/>
        <v>665597.81540194538</v>
      </c>
      <c r="Q71" s="91">
        <f t="shared" si="15"/>
        <v>1117150.0211842484</v>
      </c>
      <c r="R71" s="91">
        <f t="shared" si="15"/>
        <v>1494002.5687436045</v>
      </c>
      <c r="S71" s="91">
        <f t="shared" si="15"/>
        <v>1751142.715854001</v>
      </c>
      <c r="T71" s="91">
        <f t="shared" si="15"/>
        <v>1933695.2019741121</v>
      </c>
      <c r="U71" s="91">
        <f t="shared" si="15"/>
        <v>2077463.5470861129</v>
      </c>
      <c r="V71" s="91">
        <f t="shared" si="15"/>
        <v>2169097.971227041</v>
      </c>
      <c r="W71" s="91">
        <f t="shared" si="15"/>
        <v>2260221.838434591</v>
      </c>
      <c r="X71" s="91">
        <f t="shared" si="15"/>
        <v>2332997.4519281983</v>
      </c>
      <c r="Y71" s="91">
        <f t="shared" si="15"/>
        <v>2369109.6036197459</v>
      </c>
      <c r="Z71" s="91">
        <f t="shared" si="15"/>
        <v>2363141.6496228208</v>
      </c>
    </row>
    <row r="72" spans="2:27" ht="16">
      <c r="B72" s="10"/>
      <c r="C72" s="189"/>
      <c r="D72" s="10"/>
      <c r="E72" s="90"/>
      <c r="F72" s="10"/>
      <c r="G72" s="10"/>
      <c r="H72" s="91"/>
      <c r="I72" s="91"/>
      <c r="J72" s="91"/>
      <c r="K72" s="91"/>
      <c r="L72" s="91"/>
      <c r="M72" s="91"/>
      <c r="N72" s="91"/>
      <c r="O72" s="91"/>
      <c r="P72" s="91"/>
      <c r="Q72" s="91"/>
      <c r="R72" s="91"/>
      <c r="S72" s="91"/>
      <c r="T72" s="91"/>
      <c r="U72" s="91"/>
      <c r="V72" s="91"/>
      <c r="W72" s="91"/>
      <c r="X72" s="91"/>
      <c r="Y72" s="91"/>
      <c r="Z72" s="91"/>
    </row>
    <row r="73" spans="2:27" ht="16">
      <c r="B73" s="10"/>
      <c r="C73" s="92" t="s">
        <v>412</v>
      </c>
      <c r="D73" s="10"/>
      <c r="E73" s="357" t="s">
        <v>15</v>
      </c>
      <c r="F73" s="10"/>
      <c r="G73" s="10"/>
      <c r="H73" s="91"/>
      <c r="I73" s="91"/>
      <c r="J73" s="91"/>
      <c r="K73" s="91"/>
      <c r="L73" s="91"/>
      <c r="M73" s="91"/>
      <c r="N73" s="658">
        <v>0.77</v>
      </c>
      <c r="O73" s="658">
        <v>0.78</v>
      </c>
      <c r="P73" s="658">
        <v>0.8</v>
      </c>
      <c r="Q73" s="658">
        <v>0.82</v>
      </c>
      <c r="R73" s="658">
        <v>0.85</v>
      </c>
      <c r="S73" s="658">
        <v>0.85</v>
      </c>
      <c r="T73" s="658">
        <v>0.85</v>
      </c>
      <c r="U73" s="658">
        <v>0.85</v>
      </c>
      <c r="V73" s="658">
        <v>0.85</v>
      </c>
      <c r="W73" s="658">
        <v>0.85</v>
      </c>
      <c r="X73" s="658">
        <v>0.85</v>
      </c>
      <c r="Y73" s="658">
        <v>0.85</v>
      </c>
      <c r="Z73" s="658">
        <v>0.85</v>
      </c>
    </row>
    <row r="74" spans="2:27" ht="16">
      <c r="B74" s="10"/>
      <c r="C74" s="189"/>
      <c r="D74" s="10"/>
      <c r="E74" s="90"/>
      <c r="F74" s="10"/>
      <c r="G74" s="10"/>
      <c r="H74" s="91"/>
      <c r="I74" s="91"/>
      <c r="J74" s="91"/>
      <c r="K74" s="91"/>
      <c r="L74" s="91"/>
      <c r="M74" s="91"/>
      <c r="N74" s="91"/>
      <c r="O74" s="91"/>
      <c r="P74" s="91"/>
      <c r="Q74" s="91"/>
      <c r="R74" s="91"/>
      <c r="S74" s="91"/>
      <c r="T74" s="91"/>
      <c r="U74" s="91"/>
      <c r="V74" s="91"/>
      <c r="W74" s="91"/>
      <c r="X74" s="91"/>
      <c r="Y74" s="91"/>
      <c r="Z74" s="91"/>
    </row>
    <row r="75" spans="2:27" ht="16">
      <c r="B75" s="10"/>
      <c r="C75" s="189" t="s">
        <v>413</v>
      </c>
      <c r="D75" s="10"/>
      <c r="E75" s="90" t="s">
        <v>94</v>
      </c>
      <c r="F75" s="10"/>
      <c r="G75" s="10"/>
      <c r="H75" s="91"/>
      <c r="I75" s="91"/>
      <c r="J75" s="91"/>
      <c r="K75" s="91"/>
      <c r="L75" s="91"/>
      <c r="M75" s="91"/>
      <c r="N75" s="91">
        <f>N71*N73</f>
        <v>264448.8</v>
      </c>
      <c r="O75" s="91">
        <f t="shared" ref="O75:Z75" si="16">O71*O73</f>
        <v>364321.152</v>
      </c>
      <c r="P75" s="91">
        <f t="shared" si="16"/>
        <v>532478.25232155633</v>
      </c>
      <c r="Q75" s="91">
        <f t="shared" si="16"/>
        <v>916063.01737108361</v>
      </c>
      <c r="R75" s="91">
        <f t="shared" si="16"/>
        <v>1269902.1834320638</v>
      </c>
      <c r="S75" s="91">
        <f t="shared" si="16"/>
        <v>1488471.3084759009</v>
      </c>
      <c r="T75" s="91">
        <f t="shared" si="16"/>
        <v>1643640.9216779952</v>
      </c>
      <c r="U75" s="91">
        <f t="shared" si="16"/>
        <v>1765844.0150231959</v>
      </c>
      <c r="V75" s="91">
        <f t="shared" si="16"/>
        <v>1843733.2755429847</v>
      </c>
      <c r="W75" s="91">
        <f t="shared" si="16"/>
        <v>1921188.5626694022</v>
      </c>
      <c r="X75" s="91">
        <f t="shared" si="16"/>
        <v>1983047.8341389685</v>
      </c>
      <c r="Y75" s="91">
        <f t="shared" si="16"/>
        <v>2013743.163076784</v>
      </c>
      <c r="Z75" s="91">
        <f t="shared" si="16"/>
        <v>2008670.4021793976</v>
      </c>
    </row>
    <row r="76" spans="2:27" ht="16">
      <c r="B76" s="10"/>
      <c r="C76" s="189"/>
      <c r="D76" s="10"/>
      <c r="E76" s="90"/>
      <c r="F76" s="10"/>
      <c r="G76" s="10"/>
      <c r="H76" s="91"/>
      <c r="I76" s="91"/>
      <c r="J76" s="91"/>
      <c r="K76" s="91"/>
      <c r="L76" s="91"/>
      <c r="M76" s="91"/>
      <c r="N76" s="91"/>
      <c r="O76" s="91"/>
      <c r="P76" s="91"/>
      <c r="Q76" s="91"/>
      <c r="R76" s="91"/>
      <c r="S76" s="91"/>
      <c r="T76" s="91"/>
      <c r="U76" s="91"/>
      <c r="V76" s="91"/>
      <c r="W76" s="91"/>
      <c r="X76" s="91"/>
      <c r="Y76" s="91"/>
      <c r="Z76" s="91"/>
    </row>
    <row r="77" spans="2:27">
      <c r="C77" s="578" t="s">
        <v>409</v>
      </c>
      <c r="D77" s="577"/>
      <c r="E77" s="577"/>
      <c r="F77" s="577"/>
      <c r="G77" s="577"/>
      <c r="H77" s="577"/>
      <c r="I77" s="577"/>
      <c r="J77" s="577"/>
      <c r="K77" s="577"/>
      <c r="L77" s="577"/>
      <c r="M77" s="577"/>
      <c r="N77" s="577"/>
      <c r="O77" s="577"/>
      <c r="P77" s="577"/>
      <c r="Q77" s="577"/>
      <c r="R77" s="577"/>
      <c r="S77" s="577"/>
      <c r="T77" s="577"/>
      <c r="U77" s="577"/>
      <c r="V77" s="577"/>
      <c r="W77" s="577"/>
      <c r="X77" s="577"/>
      <c r="Y77" s="577"/>
      <c r="Z77" s="577"/>
    </row>
    <row r="79" spans="2:27" ht="16">
      <c r="C79" s="188" t="s">
        <v>93</v>
      </c>
    </row>
    <row r="80" spans="2:27" ht="16">
      <c r="C80" s="42" t="s">
        <v>367</v>
      </c>
      <c r="E80" s="576" t="s">
        <v>15</v>
      </c>
      <c r="N80" s="556">
        <f>N64/N71</f>
        <v>1</v>
      </c>
      <c r="O80" s="556">
        <f t="shared" ref="O80:Z80" si="17">O64/O71</f>
        <v>1</v>
      </c>
      <c r="P80" s="556">
        <f t="shared" si="17"/>
        <v>0.83209139210522298</v>
      </c>
      <c r="Q80" s="556">
        <f t="shared" si="17"/>
        <v>0.56548616174068012</v>
      </c>
      <c r="R80" s="556">
        <f t="shared" si="17"/>
        <v>0.44604822533879113</v>
      </c>
      <c r="S80" s="556">
        <f t="shared" si="17"/>
        <v>0.39136884461237409</v>
      </c>
      <c r="T80" s="556">
        <f t="shared" si="17"/>
        <v>0.36447288546507389</v>
      </c>
      <c r="U80" s="556">
        <f t="shared" si="17"/>
        <v>0.35739847642377581</v>
      </c>
      <c r="V80" s="556">
        <f t="shared" si="17"/>
        <v>0.3559920340434754</v>
      </c>
      <c r="W80" s="556">
        <f t="shared" si="17"/>
        <v>0.35644871955356316</v>
      </c>
      <c r="X80" s="556">
        <f t="shared" si="17"/>
        <v>0.35396288540303589</v>
      </c>
      <c r="Y80" s="556">
        <f t="shared" si="17"/>
        <v>0.35553880606871213</v>
      </c>
      <c r="Z80" s="556">
        <f t="shared" si="17"/>
        <v>0.35712105366998342</v>
      </c>
    </row>
    <row r="81" spans="3:26" ht="16">
      <c r="C81" s="42" t="s">
        <v>368</v>
      </c>
      <c r="E81" s="576" t="s">
        <v>15</v>
      </c>
      <c r="N81" s="556">
        <f>N65/N71</f>
        <v>0</v>
      </c>
      <c r="O81" s="556">
        <f t="shared" ref="O81:Z81" si="18">O65/O71</f>
        <v>0</v>
      </c>
      <c r="P81" s="556">
        <f t="shared" si="18"/>
        <v>0.10341518764053478</v>
      </c>
      <c r="Q81" s="556">
        <f t="shared" si="18"/>
        <v>0.17492609909465567</v>
      </c>
      <c r="R81" s="556">
        <f t="shared" si="18"/>
        <v>0.19027190762007098</v>
      </c>
      <c r="S81" s="556">
        <f t="shared" si="18"/>
        <v>0.18670296918834089</v>
      </c>
      <c r="T81" s="556">
        <f t="shared" si="18"/>
        <v>0.18196213278812889</v>
      </c>
      <c r="U81" s="556">
        <f t="shared" si="18"/>
        <v>0.17451517742696385</v>
      </c>
      <c r="V81" s="556">
        <f t="shared" si="18"/>
        <v>0.17043920886724362</v>
      </c>
      <c r="W81" s="556">
        <f t="shared" si="18"/>
        <v>0.16515908413384228</v>
      </c>
      <c r="X81" s="556">
        <f t="shared" si="18"/>
        <v>0.16002512065966579</v>
      </c>
      <c r="Y81" s="556">
        <f t="shared" si="18"/>
        <v>0.15610262634355415</v>
      </c>
      <c r="Z81" s="556">
        <f t="shared" si="18"/>
        <v>0.15500952629655529</v>
      </c>
    </row>
    <row r="82" spans="3:26" ht="16">
      <c r="C82" s="536"/>
    </row>
    <row r="83" spans="3:26" ht="16">
      <c r="C83" s="189" t="s">
        <v>363</v>
      </c>
    </row>
    <row r="84" spans="3:26" ht="16">
      <c r="C84" s="42" t="s">
        <v>367</v>
      </c>
      <c r="E84" s="576" t="s">
        <v>15</v>
      </c>
      <c r="N84" s="556">
        <f>N68/N71</f>
        <v>0</v>
      </c>
      <c r="O84" s="556">
        <f t="shared" ref="O84:Z84" si="19">O68/O71</f>
        <v>0</v>
      </c>
      <c r="P84" s="556">
        <f t="shared" si="19"/>
        <v>4.59787656927916E-2</v>
      </c>
      <c r="Q84" s="556">
        <f t="shared" si="19"/>
        <v>0.1676521473109388</v>
      </c>
      <c r="R84" s="556">
        <f t="shared" si="19"/>
        <v>0.23442875479453512</v>
      </c>
      <c r="S84" s="556">
        <f t="shared" si="19"/>
        <v>0.2670611173277061</v>
      </c>
      <c r="T84" s="556">
        <f t="shared" si="19"/>
        <v>0.28780023577882369</v>
      </c>
      <c r="U84" s="556">
        <f t="shared" si="19"/>
        <v>0.29993370123265456</v>
      </c>
      <c r="V84" s="556">
        <f t="shared" si="19"/>
        <v>0.3087118420220763</v>
      </c>
      <c r="W84" s="556">
        <f t="shared" si="19"/>
        <v>0.31652646296356407</v>
      </c>
      <c r="X84" s="556">
        <f t="shared" si="19"/>
        <v>0.32741566899780816</v>
      </c>
      <c r="Y84" s="556">
        <f t="shared" si="19"/>
        <v>0.33216212956969432</v>
      </c>
      <c r="Z84" s="556">
        <f t="shared" si="19"/>
        <v>0.33300098250477289</v>
      </c>
    </row>
    <row r="85" spans="3:26" ht="16">
      <c r="C85" s="42" t="s">
        <v>368</v>
      </c>
      <c r="E85" s="576" t="s">
        <v>15</v>
      </c>
      <c r="N85" s="556">
        <f>N69/N71</f>
        <v>0</v>
      </c>
      <c r="O85" s="556">
        <f t="shared" ref="O85:Z85" si="20">O69/O71</f>
        <v>0</v>
      </c>
      <c r="P85" s="556">
        <f t="shared" si="20"/>
        <v>1.8514654561450582E-2</v>
      </c>
      <c r="Q85" s="556">
        <f t="shared" si="20"/>
        <v>9.1935591853725282E-2</v>
      </c>
      <c r="R85" s="556">
        <f t="shared" si="20"/>
        <v>0.12925111224660291</v>
      </c>
      <c r="S85" s="556">
        <f t="shared" si="20"/>
        <v>0.15486706887157897</v>
      </c>
      <c r="T85" s="556">
        <f t="shared" si="20"/>
        <v>0.16576474596797344</v>
      </c>
      <c r="U85" s="556">
        <f t="shared" si="20"/>
        <v>0.16815264491660578</v>
      </c>
      <c r="V85" s="556">
        <f t="shared" si="20"/>
        <v>0.16485691506720465</v>
      </c>
      <c r="W85" s="556">
        <f t="shared" si="20"/>
        <v>0.16186573334903054</v>
      </c>
      <c r="X85" s="556">
        <f t="shared" si="20"/>
        <v>0.15859632493949019</v>
      </c>
      <c r="Y85" s="556">
        <f t="shared" si="20"/>
        <v>0.15619643801803948</v>
      </c>
      <c r="Z85" s="556">
        <f t="shared" si="20"/>
        <v>0.15486843752868829</v>
      </c>
    </row>
    <row r="87" spans="3:26" ht="16">
      <c r="C87" t="s">
        <v>408</v>
      </c>
      <c r="E87" s="90" t="s">
        <v>94</v>
      </c>
      <c r="H87" s="579"/>
      <c r="I87" s="493">
        <f>SUM(Model!H100:H102)-SUM(Model!G100:G102)+SUM(Model!H115:H116)-SUM(Model!G115:G116)</f>
        <v>66970</v>
      </c>
      <c r="J87" s="493">
        <f>SUM(Model!I100:I102)-SUM(Model!H100:H102)+SUM(Model!I115:I116)-SUM(Model!H115:H116)</f>
        <v>-37772</v>
      </c>
      <c r="K87" s="493">
        <f>SUM(Model!J100:J102)-SUM(Model!I100:I102)+SUM(Model!J115:J116)-SUM(Model!I115:I116)</f>
        <v>-83601</v>
      </c>
      <c r="L87" s="493">
        <f>SUM(Model!K100:K102)-SUM(Model!J100:J102)+SUM(Model!K115:K116)-SUM(Model!J115:J116)</f>
        <v>94345</v>
      </c>
      <c r="M87" s="493">
        <f>SUM(Model!L100:L102)-SUM(Model!K100:K102)+SUM(Model!L115:L116)-SUM(Model!K115:K116)</f>
        <v>-7307</v>
      </c>
      <c r="N87" s="493">
        <f>SUM(Model!M100:M102)-SUM(Model!L100:L102)+SUM(Model!M115:M116)-SUM(Model!L115:L116)</f>
        <v>-23429.739999999998</v>
      </c>
      <c r="O87" s="493">
        <f>SUM(Model!N100:N102)-SUM(Model!M100:M102)+SUM(Model!N115:N116)-SUM(Model!M115:M116)</f>
        <v>-1013.5026000000071</v>
      </c>
      <c r="P87" s="493">
        <f>SUM(Model!O100:O102)-SUM(Model!N100:N102)+SUM(Model!O115:O116)-SUM(Model!N115:N116)</f>
        <v>-1003.3675739999962</v>
      </c>
      <c r="Q87" s="493">
        <f>SUM(Model!P100:P102)-SUM(Model!O100:O102)+SUM(Model!P115:P116)-SUM(Model!O115:O116)</f>
        <v>-993.33389825998893</v>
      </c>
      <c r="R87" s="493">
        <f>SUM(Model!Q100:Q102)-SUM(Model!P100:P102)+SUM(Model!Q115:Q116)-SUM(Model!P115:P116)</f>
        <v>-983.40055927739741</v>
      </c>
      <c r="S87" s="493">
        <f>SUM(Model!R100:R102)-SUM(Model!Q100:Q102)+SUM(Model!R115:R116)-SUM(Model!Q115:Q116)</f>
        <v>-973.56655368462816</v>
      </c>
      <c r="T87" s="493">
        <f>SUM(Model!S100:S102)-SUM(Model!R100:R102)+SUM(Model!S115:S116)-SUM(Model!R115:R116)</f>
        <v>-963.83088814777875</v>
      </c>
      <c r="U87" s="493">
        <f>SUM(Model!T100:T102)-SUM(Model!S100:S102)+SUM(Model!T115:T116)-SUM(Model!S115:S116)</f>
        <v>-954.19257926630235</v>
      </c>
      <c r="V87" s="493">
        <f>SUM(Model!U100:U102)-SUM(Model!T100:T102)+SUM(Model!U115:U116)-SUM(Model!T115:T116)</f>
        <v>-944.65065347364725</v>
      </c>
      <c r="W87" s="493">
        <f>SUM(Model!V100:V102)-SUM(Model!U100:U102)+SUM(Model!V115:V116)-SUM(Model!U115:U116)</f>
        <v>-935.20414693889325</v>
      </c>
      <c r="X87" s="493">
        <f>SUM(Model!W100:W102)-SUM(Model!V100:V102)+SUM(Model!W115:W116)-SUM(Model!V115:V116)</f>
        <v>-92585.210546951363</v>
      </c>
      <c r="Y87" s="493">
        <f>SUM(Model!X100:X102)-SUM(Model!W100:W102)+SUM(Model!X115:X116)-SUM(Model!W115:W116)</f>
        <v>0</v>
      </c>
      <c r="Z87" s="493">
        <f>SUM(Model!Y100:Y102)-SUM(Model!X100:X102)+SUM(Model!Y115:Y116)-SUM(Model!X115:X116)</f>
        <v>0</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A765A-D812-4F8B-B5EB-6049D5D6150A}">
  <dimension ref="B2:I33"/>
  <sheetViews>
    <sheetView showGridLines="0" zoomScale="51" workbookViewId="0">
      <selection activeCell="I26" sqref="I26"/>
    </sheetView>
  </sheetViews>
  <sheetFormatPr defaultRowHeight="14.5"/>
  <cols>
    <col min="2" max="2" width="3.81640625" customWidth="1"/>
    <col min="3" max="3" width="47.26953125" bestFit="1" customWidth="1"/>
    <col min="9" max="9" width="10.7265625" bestFit="1" customWidth="1"/>
  </cols>
  <sheetData>
    <row r="2" spans="2:9" ht="16">
      <c r="B2" s="10"/>
      <c r="C2" s="10"/>
      <c r="D2" s="384"/>
      <c r="E2" s="384"/>
      <c r="F2" s="384"/>
      <c r="G2" s="10"/>
      <c r="H2" s="10"/>
      <c r="I2" s="10"/>
    </row>
    <row r="3" spans="2:9" ht="18.5">
      <c r="B3" s="105" t="str">
        <f>Company_Name&amp;" - Q2 Financial Results"</f>
        <v>Avadel Pharmaceuticals, PLC - Q2 Financial Results</v>
      </c>
      <c r="C3" s="385"/>
      <c r="D3" s="386"/>
      <c r="E3" s="386"/>
      <c r="F3" s="386"/>
      <c r="G3" s="385"/>
      <c r="H3" s="385"/>
      <c r="I3" s="385"/>
    </row>
    <row r="4" spans="2:9" ht="18.5">
      <c r="B4" s="387" t="s">
        <v>362</v>
      </c>
      <c r="C4" s="385"/>
      <c r="D4" s="386"/>
      <c r="E4" s="386"/>
      <c r="F4" s="386"/>
      <c r="G4" s="385"/>
      <c r="H4" s="385"/>
      <c r="I4" s="385"/>
    </row>
    <row r="5" spans="2:9" ht="18.5">
      <c r="B5" s="385"/>
      <c r="C5" s="385"/>
      <c r="D5" s="386"/>
      <c r="E5" s="386"/>
      <c r="F5" s="386"/>
      <c r="G5" s="385"/>
      <c r="H5" s="385"/>
      <c r="I5" s="385"/>
    </row>
    <row r="6" spans="2:9" ht="18.5">
      <c r="B6" s="388"/>
      <c r="C6" s="388"/>
      <c r="D6" s="389"/>
      <c r="E6" s="389"/>
      <c r="F6" s="389"/>
      <c r="G6" s="388"/>
      <c r="H6" s="388"/>
      <c r="I6" s="388"/>
    </row>
    <row r="7" spans="2:9" ht="18.5">
      <c r="B7" s="390" t="s">
        <v>483</v>
      </c>
      <c r="C7" s="391"/>
      <c r="D7" s="392"/>
      <c r="E7" s="392"/>
      <c r="F7" s="392"/>
      <c r="G7" s="406" t="s">
        <v>302</v>
      </c>
      <c r="H7" s="391"/>
      <c r="I7" s="393" t="s">
        <v>287</v>
      </c>
    </row>
    <row r="8" spans="2:9" ht="18.5">
      <c r="B8" s="385"/>
      <c r="C8" s="105" t="s">
        <v>129</v>
      </c>
      <c r="D8" s="386"/>
      <c r="E8" s="386"/>
      <c r="F8" s="386"/>
      <c r="G8" s="656" t="s">
        <v>94</v>
      </c>
      <c r="H8" s="385"/>
      <c r="I8" s="396">
        <v>68129</v>
      </c>
    </row>
    <row r="9" spans="2:9" ht="18.5">
      <c r="B9" s="385"/>
      <c r="C9" s="394" t="s">
        <v>288</v>
      </c>
      <c r="D9" s="386"/>
      <c r="E9" s="386"/>
      <c r="F9" s="386"/>
      <c r="G9" s="656" t="s">
        <v>15</v>
      </c>
      <c r="H9" s="385"/>
      <c r="I9" s="395">
        <f>I8/41504-1</f>
        <v>0.64150443330763296</v>
      </c>
    </row>
    <row r="10" spans="2:9" ht="18.5">
      <c r="B10" s="385"/>
      <c r="C10" s="385" t="s">
        <v>130</v>
      </c>
      <c r="D10" s="386"/>
      <c r="E10" s="386"/>
      <c r="F10" s="386"/>
      <c r="G10" s="656" t="s">
        <v>94</v>
      </c>
      <c r="H10" s="385"/>
      <c r="I10" s="396">
        <v>8884</v>
      </c>
    </row>
    <row r="11" spans="2:9" ht="18.5">
      <c r="B11" s="385"/>
      <c r="C11" s="394" t="s">
        <v>289</v>
      </c>
      <c r="D11" s="386"/>
      <c r="E11" s="386"/>
      <c r="F11" s="386"/>
      <c r="G11" s="656" t="s">
        <v>15</v>
      </c>
      <c r="H11" s="385"/>
      <c r="I11" s="395">
        <f>+I10/I8</f>
        <v>0.13039968295439533</v>
      </c>
    </row>
    <row r="12" spans="2:9" ht="18.5">
      <c r="B12" s="385"/>
      <c r="C12" s="385"/>
      <c r="D12" s="386"/>
      <c r="E12" s="386"/>
      <c r="F12" s="386"/>
      <c r="G12" s="385"/>
      <c r="H12" s="385"/>
      <c r="I12" s="385"/>
    </row>
    <row r="13" spans="2:9" ht="18.5">
      <c r="B13" s="385"/>
      <c r="C13" s="385" t="s">
        <v>131</v>
      </c>
      <c r="D13" s="386"/>
      <c r="E13" s="386"/>
      <c r="F13" s="386"/>
      <c r="G13" s="656" t="s">
        <v>94</v>
      </c>
      <c r="H13" s="385"/>
      <c r="I13" s="397">
        <v>-3170</v>
      </c>
    </row>
    <row r="14" spans="2:9" ht="18.5">
      <c r="B14" s="385"/>
      <c r="C14" s="385"/>
      <c r="D14" s="386"/>
      <c r="E14" s="386"/>
      <c r="F14" s="386"/>
      <c r="G14" s="385"/>
      <c r="H14" s="385"/>
      <c r="I14" s="385"/>
    </row>
    <row r="15" spans="2:9" ht="18.5">
      <c r="B15" s="385"/>
      <c r="C15" s="105" t="s">
        <v>290</v>
      </c>
      <c r="D15" s="386"/>
      <c r="E15" s="386"/>
      <c r="F15" s="386"/>
      <c r="G15" s="657" t="s">
        <v>94</v>
      </c>
      <c r="H15" s="385"/>
      <c r="I15" s="398">
        <f>I10+I13</f>
        <v>5714</v>
      </c>
    </row>
    <row r="16" spans="2:9" ht="18.5">
      <c r="B16" s="385"/>
      <c r="C16" s="385"/>
      <c r="D16" s="386"/>
      <c r="E16" s="386"/>
      <c r="F16" s="386"/>
      <c r="G16" s="385"/>
      <c r="H16" s="385"/>
      <c r="I16" s="385"/>
    </row>
    <row r="17" spans="2:9" ht="18.5">
      <c r="B17" s="385"/>
      <c r="C17" s="105" t="s">
        <v>132</v>
      </c>
      <c r="D17" s="386"/>
      <c r="E17" s="386"/>
      <c r="F17" s="386"/>
      <c r="G17" s="385"/>
      <c r="H17" s="385"/>
      <c r="I17" s="385"/>
    </row>
    <row r="18" spans="2:9" ht="18.5">
      <c r="B18" s="385"/>
      <c r="C18" s="399" t="s">
        <v>144</v>
      </c>
      <c r="D18" s="386"/>
      <c r="E18" s="386"/>
      <c r="F18" s="386"/>
      <c r="G18" s="656" t="s">
        <v>94</v>
      </c>
      <c r="H18" s="385"/>
      <c r="I18" s="400">
        <v>1893</v>
      </c>
    </row>
    <row r="19" spans="2:9" ht="18.5">
      <c r="B19" s="385"/>
      <c r="C19" s="399" t="s">
        <v>291</v>
      </c>
      <c r="D19" s="386"/>
      <c r="E19" s="386"/>
      <c r="F19" s="386"/>
      <c r="G19" s="656" t="s">
        <v>94</v>
      </c>
      <c r="H19" s="385"/>
      <c r="I19" s="400">
        <v>0</v>
      </c>
    </row>
    <row r="20" spans="2:9" ht="18.5">
      <c r="B20" s="385"/>
      <c r="C20" s="399" t="s">
        <v>292</v>
      </c>
      <c r="D20" s="386"/>
      <c r="E20" s="386"/>
      <c r="F20" s="386"/>
      <c r="G20" s="656" t="s">
        <v>94</v>
      </c>
      <c r="H20" s="385"/>
      <c r="I20" s="400">
        <v>0</v>
      </c>
    </row>
    <row r="21" spans="2:9" ht="18.5">
      <c r="B21" s="385"/>
      <c r="C21" s="401" t="s">
        <v>293</v>
      </c>
      <c r="D21" s="386"/>
      <c r="E21" s="386"/>
      <c r="F21" s="386"/>
      <c r="G21" s="657" t="s">
        <v>94</v>
      </c>
      <c r="H21" s="385"/>
      <c r="I21" s="402">
        <f>SUM(I18:I20)</f>
        <v>1893</v>
      </c>
    </row>
    <row r="22" spans="2:9" ht="18.5">
      <c r="B22" s="385"/>
      <c r="C22" s="385"/>
      <c r="D22" s="386"/>
      <c r="E22" s="386"/>
      <c r="F22" s="386"/>
      <c r="G22" s="385"/>
      <c r="H22" s="385"/>
      <c r="I22" s="385"/>
    </row>
    <row r="23" spans="2:9" ht="18.5">
      <c r="B23" s="385"/>
      <c r="C23" s="105" t="s">
        <v>128</v>
      </c>
      <c r="D23" s="386"/>
      <c r="E23" s="386"/>
      <c r="F23" s="386"/>
      <c r="G23" s="385"/>
      <c r="H23" s="385"/>
      <c r="I23" s="385"/>
    </row>
    <row r="24" spans="2:9" ht="18.5">
      <c r="B24" s="385"/>
      <c r="C24" s="399" t="s">
        <v>294</v>
      </c>
      <c r="D24" s="386"/>
      <c r="E24" s="386"/>
      <c r="F24" s="386"/>
      <c r="G24" s="656" t="s">
        <v>94</v>
      </c>
      <c r="H24" s="385"/>
      <c r="I24" s="400">
        <v>-6534</v>
      </c>
    </row>
    <row r="25" spans="2:9" ht="18.5">
      <c r="B25" s="385"/>
      <c r="C25" s="399" t="s">
        <v>295</v>
      </c>
      <c r="D25" s="386"/>
      <c r="E25" s="386"/>
      <c r="F25" s="386"/>
      <c r="G25" s="656" t="s">
        <v>94</v>
      </c>
      <c r="H25" s="385"/>
      <c r="I25" s="400">
        <v>-3361</v>
      </c>
    </row>
    <row r="26" spans="2:9" ht="18.5">
      <c r="B26" s="385"/>
      <c r="C26" s="399" t="s">
        <v>296</v>
      </c>
      <c r="D26" s="386"/>
      <c r="E26" s="386"/>
      <c r="F26" s="386"/>
      <c r="G26" s="656" t="s">
        <v>94</v>
      </c>
      <c r="H26" s="385"/>
      <c r="I26" s="400">
        <v>-2404</v>
      </c>
    </row>
    <row r="27" spans="2:9" ht="18.5">
      <c r="B27" s="385"/>
      <c r="C27" s="399" t="s">
        <v>297</v>
      </c>
      <c r="D27" s="386"/>
      <c r="E27" s="386"/>
      <c r="F27" s="386"/>
      <c r="G27" s="656" t="s">
        <v>94</v>
      </c>
      <c r="H27" s="385"/>
      <c r="I27" s="400">
        <v>2778</v>
      </c>
    </row>
    <row r="28" spans="2:9" ht="18.5">
      <c r="B28" s="385"/>
      <c r="C28" s="399" t="s">
        <v>298</v>
      </c>
      <c r="D28" s="386"/>
      <c r="E28" s="386"/>
      <c r="F28" s="386"/>
      <c r="G28" s="656" t="s">
        <v>94</v>
      </c>
      <c r="H28" s="385"/>
      <c r="I28" s="400">
        <v>2077</v>
      </c>
    </row>
    <row r="29" spans="2:9" ht="18.5">
      <c r="B29" s="385"/>
      <c r="C29" s="401" t="s">
        <v>299</v>
      </c>
      <c r="D29" s="386"/>
      <c r="E29" s="386"/>
      <c r="F29" s="386"/>
      <c r="G29" s="657" t="s">
        <v>94</v>
      </c>
      <c r="H29" s="385"/>
      <c r="I29" s="402">
        <f>SUM(I24:I28)</f>
        <v>-7444</v>
      </c>
    </row>
    <row r="30" spans="2:9" ht="18.5">
      <c r="B30" s="385"/>
      <c r="C30" s="385"/>
      <c r="D30" s="386"/>
      <c r="E30" s="386"/>
      <c r="F30" s="386"/>
      <c r="G30" s="385"/>
      <c r="H30" s="385"/>
      <c r="I30" s="403"/>
    </row>
    <row r="31" spans="2:9" ht="18.5">
      <c r="B31" s="385"/>
      <c r="C31" s="105" t="s">
        <v>300</v>
      </c>
      <c r="D31" s="386"/>
      <c r="E31" s="386"/>
      <c r="F31" s="386"/>
      <c r="G31" s="656" t="s">
        <v>94</v>
      </c>
      <c r="H31" s="385"/>
      <c r="I31" s="404">
        <v>-181</v>
      </c>
    </row>
    <row r="32" spans="2:9" ht="18.5">
      <c r="B32" s="385"/>
      <c r="C32" s="385"/>
      <c r="D32" s="386"/>
      <c r="E32" s="386"/>
      <c r="F32" s="386"/>
      <c r="G32" s="385"/>
      <c r="H32" s="385"/>
      <c r="I32" s="385"/>
    </row>
    <row r="33" spans="2:9" ht="18.5">
      <c r="B33" s="385"/>
      <c r="C33" s="105" t="s">
        <v>301</v>
      </c>
      <c r="D33" s="386"/>
      <c r="E33" s="386"/>
      <c r="F33" s="386"/>
      <c r="G33" s="657" t="s">
        <v>94</v>
      </c>
      <c r="H33" s="385"/>
      <c r="I33" s="405">
        <f>+I15+I21+I29+I31</f>
        <v>-18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747AD-3225-4CD2-8B50-FF4DFDA060D4}">
  <dimension ref="B2:AH181"/>
  <sheetViews>
    <sheetView showGridLines="0" topLeftCell="A32" zoomScale="42" zoomScaleNormal="55" workbookViewId="0">
      <selection activeCell="N45" sqref="N45"/>
    </sheetView>
  </sheetViews>
  <sheetFormatPr defaultColWidth="8.7265625" defaultRowHeight="16"/>
  <cols>
    <col min="1" max="1" width="8.7265625" style="10"/>
    <col min="2" max="2" width="4.453125" style="10" customWidth="1"/>
    <col min="3" max="3" width="71.6328125" style="10" bestFit="1" customWidth="1"/>
    <col min="4" max="4" width="8.1796875" style="10" bestFit="1" customWidth="1"/>
    <col min="5" max="5" width="9.81640625" style="10" bestFit="1" customWidth="1"/>
    <col min="6" max="6" width="8.26953125" style="10" bestFit="1" customWidth="1"/>
    <col min="7" max="7" width="10.36328125" style="10" bestFit="1" customWidth="1"/>
    <col min="8" max="9" width="14.36328125" style="10" bestFit="1" customWidth="1"/>
    <col min="10" max="12" width="13.08984375" style="10" bestFit="1" customWidth="1"/>
    <col min="13" max="13" width="19.54296875" style="10" bestFit="1" customWidth="1"/>
    <col min="14" max="16" width="13.7265625" style="10" bestFit="1" customWidth="1"/>
    <col min="17" max="18" width="14.6328125" style="10" bestFit="1" customWidth="1"/>
    <col min="19" max="26" width="15.36328125" style="10" bestFit="1" customWidth="1"/>
    <col min="27" max="27" width="8.7265625" style="10"/>
    <col min="28" max="28" width="23.26953125" style="10" bestFit="1" customWidth="1"/>
    <col min="29" max="33" width="8.7265625" style="10"/>
    <col min="34" max="34" width="17.26953125" style="10" bestFit="1" customWidth="1"/>
    <col min="35" max="16384" width="8.7265625" style="10"/>
  </cols>
  <sheetData>
    <row r="2" spans="2:26">
      <c r="B2" s="1"/>
      <c r="C2" s="1"/>
      <c r="D2" s="1"/>
      <c r="E2" s="1"/>
      <c r="F2" s="1"/>
      <c r="G2" s="1"/>
      <c r="H2" s="2"/>
      <c r="I2" s="2"/>
      <c r="J2" s="3" t="s">
        <v>0</v>
      </c>
      <c r="K2" s="2"/>
      <c r="L2" s="2"/>
      <c r="M2" s="2"/>
      <c r="N2" s="4"/>
      <c r="O2" s="2"/>
      <c r="P2" s="2"/>
      <c r="Q2" s="2"/>
      <c r="R2" s="3" t="s">
        <v>1</v>
      </c>
      <c r="S2" s="2"/>
      <c r="T2" s="2"/>
      <c r="U2" s="2"/>
      <c r="V2" s="2"/>
      <c r="W2" s="2"/>
      <c r="X2" s="2"/>
      <c r="Y2" s="2"/>
      <c r="Z2" s="2"/>
    </row>
    <row r="3" spans="2:26">
      <c r="B3" s="5" t="str">
        <f>Ticker&amp;"- Risk-Adjusted Net Present Value Calculation"</f>
        <v>AVDL- Risk-Adjusted Net Present Value Calculation</v>
      </c>
      <c r="C3" s="1"/>
      <c r="D3" s="1"/>
      <c r="E3" s="6" t="s">
        <v>2</v>
      </c>
      <c r="F3" s="7"/>
      <c r="G3" s="1"/>
      <c r="H3" s="8">
        <v>43646</v>
      </c>
      <c r="I3" s="8">
        <v>44012</v>
      </c>
      <c r="J3" s="8">
        <v>44377</v>
      </c>
      <c r="K3" s="8">
        <v>44742</v>
      </c>
      <c r="L3" s="8">
        <v>45107</v>
      </c>
      <c r="M3" s="8">
        <v>45473</v>
      </c>
      <c r="N3" s="9">
        <v>45838</v>
      </c>
      <c r="O3" s="8">
        <v>46203</v>
      </c>
      <c r="P3" s="8">
        <v>46568</v>
      </c>
      <c r="Q3" s="8">
        <v>46934</v>
      </c>
      <c r="R3" s="8">
        <v>47299</v>
      </c>
      <c r="S3" s="8">
        <f t="shared" ref="S3:Z3" si="0">EOMONTH(R3,12)</f>
        <v>47664</v>
      </c>
      <c r="T3" s="8">
        <f t="shared" si="0"/>
        <v>48029</v>
      </c>
      <c r="U3" s="8">
        <f t="shared" si="0"/>
        <v>48395</v>
      </c>
      <c r="V3" s="8">
        <f t="shared" si="0"/>
        <v>48760</v>
      </c>
      <c r="W3" s="8">
        <f t="shared" si="0"/>
        <v>49125</v>
      </c>
      <c r="X3" s="8">
        <f t="shared" si="0"/>
        <v>49490</v>
      </c>
      <c r="Y3" s="8">
        <f t="shared" si="0"/>
        <v>49856</v>
      </c>
      <c r="Z3" s="8">
        <f t="shared" si="0"/>
        <v>50221</v>
      </c>
    </row>
    <row r="4" spans="2:26">
      <c r="B4" s="45"/>
      <c r="E4" s="46"/>
      <c r="F4" s="46"/>
      <c r="G4" s="46"/>
      <c r="H4" s="46"/>
      <c r="I4" s="46"/>
      <c r="J4" s="46"/>
      <c r="K4" s="46"/>
      <c r="L4" s="46"/>
      <c r="M4" s="46"/>
      <c r="N4" s="46"/>
      <c r="O4" s="46"/>
      <c r="P4" s="46"/>
    </row>
    <row r="5" spans="2:26">
      <c r="B5" s="45"/>
      <c r="E5" s="46"/>
      <c r="F5" s="46"/>
      <c r="G5" s="46"/>
      <c r="H5" s="46"/>
      <c r="I5" s="46"/>
      <c r="J5" s="46"/>
      <c r="K5" s="46"/>
      <c r="L5" s="46"/>
      <c r="M5" s="46"/>
      <c r="N5" s="46"/>
      <c r="O5" s="46"/>
      <c r="P5" s="46"/>
    </row>
    <row r="6" spans="2:26">
      <c r="B6" s="45"/>
      <c r="C6" s="47" t="s">
        <v>95</v>
      </c>
      <c r="D6" s="485" t="s">
        <v>96</v>
      </c>
      <c r="F6" s="27" t="s">
        <v>390</v>
      </c>
      <c r="H6" s="485" t="s">
        <v>96</v>
      </c>
      <c r="I6" s="45"/>
      <c r="J6" s="48" t="s">
        <v>97</v>
      </c>
      <c r="K6" s="48"/>
      <c r="L6" s="48"/>
      <c r="M6" s="48"/>
      <c r="O6" s="45"/>
      <c r="P6" s="509" t="s">
        <v>371</v>
      </c>
      <c r="Q6" s="58"/>
      <c r="R6" s="58"/>
      <c r="T6" s="510" t="s">
        <v>411</v>
      </c>
      <c r="U6" s="58"/>
      <c r="V6" s="58"/>
    </row>
    <row r="7" spans="2:26">
      <c r="B7" s="45"/>
      <c r="C7" s="47" t="s">
        <v>189</v>
      </c>
      <c r="D7" s="532" t="s">
        <v>397</v>
      </c>
      <c r="F7" s="27"/>
      <c r="I7" s="45"/>
      <c r="J7" s="12"/>
      <c r="K7" s="12"/>
      <c r="L7" s="12"/>
      <c r="M7" s="12"/>
      <c r="O7" s="45"/>
    </row>
    <row r="8" spans="2:26">
      <c r="B8" s="45"/>
      <c r="C8" s="27" t="s">
        <v>437</v>
      </c>
      <c r="D8" s="532" t="s">
        <v>397</v>
      </c>
      <c r="F8" s="27" t="s">
        <v>501</v>
      </c>
      <c r="H8" s="670">
        <v>3.85E-2</v>
      </c>
      <c r="I8" s="45"/>
      <c r="J8" s="12" t="s">
        <v>98</v>
      </c>
      <c r="K8" s="12"/>
      <c r="L8" s="12"/>
      <c r="M8" s="50">
        <f>PubComps!S37</f>
        <v>14.299153513558895</v>
      </c>
      <c r="O8" s="45"/>
      <c r="P8" s="27" t="s">
        <v>372</v>
      </c>
      <c r="R8" s="667">
        <f>NPV(Discount_Rate,N63:Z63)</f>
        <v>4622619.3925892944</v>
      </c>
      <c r="T8" s="10" t="s">
        <v>373</v>
      </c>
      <c r="V8" s="664">
        <f>(1+0.7+0.7+0.8)/4</f>
        <v>0.8</v>
      </c>
    </row>
    <row r="9" spans="2:26">
      <c r="B9" s="45"/>
      <c r="C9" s="47" t="s">
        <v>487</v>
      </c>
      <c r="D9" s="532" t="s">
        <v>504</v>
      </c>
      <c r="F9" s="27" t="s">
        <v>502</v>
      </c>
      <c r="H9" s="670">
        <v>0.12</v>
      </c>
      <c r="I9" s="45"/>
      <c r="J9" s="12" t="s">
        <v>99</v>
      </c>
      <c r="K9" s="12"/>
      <c r="L9" s="12"/>
      <c r="M9" s="50">
        <f>PubComps!S41</f>
        <v>0</v>
      </c>
      <c r="O9" s="45"/>
      <c r="P9" s="12" t="s">
        <v>458</v>
      </c>
      <c r="R9" s="10">
        <v>0.97</v>
      </c>
      <c r="T9" s="42" t="s">
        <v>374</v>
      </c>
      <c r="V9" s="662">
        <f>NPV(Discount_Rate,N59:Z59)*V8</f>
        <v>4622619.3925892934</v>
      </c>
    </row>
    <row r="10" spans="2:26">
      <c r="B10" s="45"/>
      <c r="H10" s="604"/>
      <c r="I10" s="45"/>
      <c r="J10" s="12"/>
      <c r="K10" s="12"/>
      <c r="L10" s="12"/>
      <c r="M10" s="51"/>
      <c r="P10" s="12" t="s">
        <v>459</v>
      </c>
      <c r="R10" s="10">
        <v>0.97</v>
      </c>
      <c r="T10" s="512" t="s">
        <v>375</v>
      </c>
      <c r="U10" s="513"/>
      <c r="V10" s="663">
        <f>Diluted*1000</f>
        <v>96420</v>
      </c>
    </row>
    <row r="11" spans="2:26">
      <c r="B11" s="45"/>
      <c r="I11" s="27"/>
      <c r="J11" s="12" t="s">
        <v>100</v>
      </c>
      <c r="K11" s="12"/>
      <c r="L11" s="52"/>
      <c r="M11" s="548">
        <f>INDEX(M12:M14,MATCH(Scenario,J12:J14,0),1)</f>
        <v>9</v>
      </c>
      <c r="O11" s="27"/>
      <c r="P11" s="12" t="s">
        <v>460</v>
      </c>
      <c r="R11" s="10">
        <v>0.98</v>
      </c>
      <c r="T11" s="27" t="s">
        <v>376</v>
      </c>
      <c r="V11" s="665">
        <f>V9/V10</f>
        <v>47.942536741228928</v>
      </c>
      <c r="X11" s="681"/>
    </row>
    <row r="12" spans="2:26">
      <c r="B12" s="45"/>
      <c r="I12" s="12"/>
      <c r="J12" s="10" t="s">
        <v>101</v>
      </c>
      <c r="K12" s="12"/>
      <c r="L12" s="52"/>
      <c r="M12" s="549">
        <v>10</v>
      </c>
      <c r="O12" s="12"/>
      <c r="P12" s="12" t="s">
        <v>461</v>
      </c>
      <c r="R12" s="10">
        <v>0.98</v>
      </c>
      <c r="S12" s="12"/>
      <c r="T12" s="10" t="s">
        <v>127</v>
      </c>
      <c r="V12" s="672">
        <f>V11/$G$15-1</f>
        <v>2.187668666305115</v>
      </c>
      <c r="X12" s="676"/>
    </row>
    <row r="13" spans="2:26">
      <c r="B13" s="45"/>
      <c r="C13" s="10" t="s">
        <v>3</v>
      </c>
      <c r="E13" s="11" t="s">
        <v>4</v>
      </c>
      <c r="G13" s="484" t="str">
        <f>Company_Name</f>
        <v>Avadel Pharmaceuticals, PLC</v>
      </c>
      <c r="H13" s="12"/>
      <c r="I13" s="12"/>
      <c r="J13" s="10" t="s">
        <v>96</v>
      </c>
      <c r="K13" s="12"/>
      <c r="L13" s="52"/>
      <c r="M13" s="549">
        <v>9</v>
      </c>
      <c r="O13" s="12"/>
      <c r="P13" s="66" t="s">
        <v>462</v>
      </c>
      <c r="R13" s="513">
        <f>IF(Vali="approved",0.95,1)</f>
        <v>0.95</v>
      </c>
    </row>
    <row r="14" spans="2:26">
      <c r="B14" s="45"/>
      <c r="C14" s="10" t="s">
        <v>6</v>
      </c>
      <c r="E14" s="11" t="s">
        <v>4</v>
      </c>
      <c r="G14" s="486" t="str">
        <f>Ticker</f>
        <v>AVDL</v>
      </c>
      <c r="H14" s="49"/>
      <c r="I14" s="12"/>
      <c r="J14" s="10" t="s">
        <v>102</v>
      </c>
      <c r="K14" s="12"/>
      <c r="L14" s="52"/>
      <c r="M14" s="549">
        <v>8</v>
      </c>
      <c r="O14" s="12"/>
      <c r="P14" s="27" t="s">
        <v>377</v>
      </c>
      <c r="R14" s="667">
        <f>R8*R9*R10*R11*R12*R13</f>
        <v>3968326.1794592524</v>
      </c>
      <c r="S14" s="55"/>
      <c r="T14" s="510" t="s">
        <v>410</v>
      </c>
      <c r="U14" s="58"/>
      <c r="V14" s="666"/>
    </row>
    <row r="15" spans="2:26">
      <c r="B15" s="45"/>
      <c r="C15" s="10" t="s">
        <v>8</v>
      </c>
      <c r="E15" s="11" t="s">
        <v>9</v>
      </c>
      <c r="G15" s="487">
        <v>15.04</v>
      </c>
      <c r="H15" s="12"/>
      <c r="I15" s="12"/>
      <c r="J15" s="12"/>
      <c r="K15" s="12"/>
      <c r="L15" s="52"/>
      <c r="M15" s="54"/>
      <c r="N15" s="12"/>
      <c r="O15" s="12"/>
      <c r="S15" s="12"/>
      <c r="V15" s="575"/>
    </row>
    <row r="16" spans="2:26">
      <c r="B16" s="45"/>
      <c r="C16" s="12" t="s">
        <v>11</v>
      </c>
      <c r="E16" s="11" t="s">
        <v>12</v>
      </c>
      <c r="G16" s="533">
        <f>Diluted</f>
        <v>96.42</v>
      </c>
      <c r="H16" s="12"/>
      <c r="I16" s="12"/>
      <c r="J16" s="12"/>
      <c r="K16" s="12"/>
      <c r="L16" s="52"/>
      <c r="M16" s="54"/>
      <c r="N16" s="12"/>
      <c r="O16" s="12"/>
      <c r="P16" s="512" t="s">
        <v>378</v>
      </c>
      <c r="R16" s="500">
        <f>Diluted*Units</f>
        <v>96420</v>
      </c>
      <c r="S16" s="12"/>
      <c r="T16" s="42" t="s">
        <v>374</v>
      </c>
      <c r="V16" s="662">
        <f>NPV(Discount_Rate,N83:Z83)+NPV(Discount_Rate,P106:Z106)+NPV(Discount_Rate,P128:Z128)+NPV(Discount_Rate,P150:Z150)</f>
        <v>4638512.7220516689</v>
      </c>
    </row>
    <row r="17" spans="2:24">
      <c r="B17" s="45"/>
      <c r="C17" s="12"/>
      <c r="E17" s="12"/>
      <c r="G17" s="12"/>
      <c r="H17" s="12"/>
      <c r="J17" s="12" t="s">
        <v>103</v>
      </c>
      <c r="K17" s="12"/>
      <c r="L17" s="12"/>
      <c r="M17" s="56">
        <f>M11*(Z65/Units)</f>
        <v>11473.067861173282</v>
      </c>
      <c r="O17" s="12"/>
      <c r="P17" s="27" t="s">
        <v>379</v>
      </c>
      <c r="R17" s="668">
        <f>R14/R16</f>
        <v>41.156670602149475</v>
      </c>
      <c r="S17" s="514"/>
      <c r="T17" s="512" t="s">
        <v>375</v>
      </c>
      <c r="U17" s="513"/>
      <c r="V17" s="663">
        <f>Diluted*1000</f>
        <v>96420</v>
      </c>
    </row>
    <row r="18" spans="2:24">
      <c r="B18" s="45"/>
      <c r="C18" s="12" t="s">
        <v>14</v>
      </c>
      <c r="E18" s="11" t="s">
        <v>15</v>
      </c>
      <c r="G18" s="489">
        <f>Tax_Rate</f>
        <v>0.12</v>
      </c>
      <c r="H18" s="12"/>
      <c r="J18" s="12" t="s">
        <v>105</v>
      </c>
      <c r="K18" s="12"/>
      <c r="L18" s="12"/>
      <c r="M18" s="61">
        <f>(Drivers!R29*(1+Discount_Rate)^0.5*Discount_Rate - M17) / (Drivers!R29*(1+Discount_Rate)^0.5 + M17)</f>
        <v>-0.99999044723049224</v>
      </c>
      <c r="O18" s="12"/>
      <c r="P18" s="10" t="s">
        <v>127</v>
      </c>
      <c r="R18" s="672">
        <f>R17/$G$15-1</f>
        <v>1.7364807581216408</v>
      </c>
      <c r="T18" s="27" t="s">
        <v>376</v>
      </c>
      <c r="V18" s="665">
        <f>V16/V17</f>
        <v>48.107371106115629</v>
      </c>
      <c r="X18" s="681"/>
    </row>
    <row r="19" spans="2:24">
      <c r="B19" s="45"/>
      <c r="C19" s="12" t="s">
        <v>16</v>
      </c>
      <c r="E19" s="11" t="s">
        <v>15</v>
      </c>
      <c r="G19" s="534">
        <v>0.1</v>
      </c>
      <c r="H19" s="12"/>
      <c r="J19" s="12"/>
      <c r="K19" s="12"/>
      <c r="L19" s="12"/>
      <c r="M19" s="12"/>
      <c r="O19" s="12"/>
      <c r="P19" s="12"/>
      <c r="Q19" s="55"/>
      <c r="T19" s="10" t="s">
        <v>127</v>
      </c>
      <c r="V19" s="672">
        <f>V18/$G$15-1</f>
        <v>2.1986283980130072</v>
      </c>
      <c r="X19" s="676"/>
    </row>
    <row r="20" spans="2:24">
      <c r="B20" s="45"/>
      <c r="C20" s="12"/>
      <c r="E20" s="11"/>
      <c r="G20" s="53"/>
      <c r="H20" s="12"/>
      <c r="J20" s="63" t="s">
        <v>108</v>
      </c>
      <c r="K20" s="12"/>
      <c r="L20" s="52"/>
      <c r="M20" s="64">
        <f>M17/((1+Discount_Rate)^12)</f>
        <v>3655.6729942520542</v>
      </c>
      <c r="O20" s="12"/>
      <c r="P20" s="12"/>
      <c r="Q20" s="55"/>
    </row>
    <row r="21" spans="2:24">
      <c r="B21" s="45"/>
      <c r="C21" s="57" t="s">
        <v>104</v>
      </c>
      <c r="D21" s="58"/>
      <c r="E21" s="59"/>
      <c r="F21" s="58"/>
      <c r="G21" s="60">
        <f>G15*G16</f>
        <v>1450.1568</v>
      </c>
      <c r="H21" s="12"/>
      <c r="J21" s="65" t="s">
        <v>110</v>
      </c>
      <c r="K21" s="66"/>
      <c r="L21" s="66"/>
      <c r="M21" s="67">
        <f>NPV(Discount_Rate,H63:Z63)/Units</f>
        <v>2391.5721761832037</v>
      </c>
      <c r="O21" s="12"/>
      <c r="P21" s="12"/>
      <c r="Q21" s="55"/>
    </row>
    <row r="22" spans="2:24">
      <c r="B22" s="45"/>
      <c r="C22" s="63" t="s">
        <v>106</v>
      </c>
      <c r="E22" s="11"/>
      <c r="G22" s="535">
        <f>-Model!L99/Units</f>
        <v>-51.371000000000002</v>
      </c>
      <c r="H22" s="12"/>
      <c r="J22" s="68" t="s">
        <v>112</v>
      </c>
      <c r="K22" s="69"/>
      <c r="L22" s="69"/>
      <c r="M22" s="70">
        <f>SUM(M20:M21)</f>
        <v>6047.2451704352579</v>
      </c>
      <c r="O22" s="12"/>
      <c r="P22" s="12"/>
      <c r="Q22" s="55"/>
    </row>
    <row r="23" spans="2:24">
      <c r="B23" s="45"/>
      <c r="C23" s="63" t="s">
        <v>107</v>
      </c>
      <c r="E23" s="11"/>
      <c r="G23" s="535">
        <v>0</v>
      </c>
      <c r="H23" s="12"/>
      <c r="J23" s="63"/>
      <c r="K23" s="12"/>
      <c r="L23" s="12"/>
      <c r="M23" s="71"/>
      <c r="O23" s="12"/>
      <c r="P23" s="12"/>
      <c r="Q23" s="55"/>
    </row>
    <row r="24" spans="2:24">
      <c r="B24" s="45"/>
      <c r="C24" s="63" t="s">
        <v>109</v>
      </c>
      <c r="E24" s="11"/>
      <c r="G24" s="535">
        <v>0</v>
      </c>
      <c r="H24" s="12"/>
      <c r="J24" s="72" t="s">
        <v>115</v>
      </c>
      <c r="K24" s="12"/>
      <c r="L24" s="12"/>
      <c r="M24" s="671">
        <f>M20/M22</f>
        <v>0.60451873393929767</v>
      </c>
      <c r="O24" s="12"/>
      <c r="P24" s="12"/>
      <c r="Q24" s="55"/>
    </row>
    <row r="25" spans="2:24">
      <c r="B25" s="45"/>
      <c r="C25" s="63" t="s">
        <v>111</v>
      </c>
      <c r="E25" s="11"/>
      <c r="G25" s="535">
        <v>0</v>
      </c>
      <c r="H25" s="12"/>
      <c r="J25" s="12"/>
      <c r="K25" s="12"/>
      <c r="L25" s="12"/>
      <c r="M25" s="12"/>
      <c r="O25" s="12"/>
      <c r="P25" s="12"/>
      <c r="Q25" s="64"/>
    </row>
    <row r="26" spans="2:24">
      <c r="B26" s="45"/>
      <c r="C26" s="63" t="s">
        <v>113</v>
      </c>
      <c r="E26" s="11"/>
      <c r="G26" s="535">
        <v>0</v>
      </c>
      <c r="H26" s="12"/>
      <c r="J26" s="12" t="s">
        <v>118</v>
      </c>
      <c r="K26" s="12"/>
      <c r="L26" s="12"/>
      <c r="M26" s="550">
        <f t="shared" ref="M26:M32" si="1">-G22</f>
        <v>51.371000000000002</v>
      </c>
      <c r="O26" s="12"/>
      <c r="P26" s="12"/>
      <c r="Q26" s="55"/>
    </row>
    <row r="27" spans="2:24">
      <c r="B27" s="45"/>
      <c r="C27" s="63" t="s">
        <v>114</v>
      </c>
      <c r="E27" s="11"/>
      <c r="G27" s="535">
        <v>0</v>
      </c>
      <c r="H27" s="12"/>
      <c r="J27" s="75" t="s">
        <v>119</v>
      </c>
      <c r="K27" s="12"/>
      <c r="L27" s="12"/>
      <c r="M27" s="550">
        <f t="shared" si="1"/>
        <v>0</v>
      </c>
      <c r="O27" s="12"/>
      <c r="P27" s="12"/>
      <c r="Q27" s="55"/>
    </row>
    <row r="28" spans="2:24">
      <c r="B28" s="45"/>
      <c r="C28" s="63" t="s">
        <v>116</v>
      </c>
      <c r="E28" s="11"/>
      <c r="G28" s="535">
        <v>0</v>
      </c>
      <c r="H28" s="12"/>
      <c r="J28" s="75" t="s">
        <v>120</v>
      </c>
      <c r="K28" s="12"/>
      <c r="L28" s="12"/>
      <c r="M28" s="550">
        <f t="shared" si="1"/>
        <v>0</v>
      </c>
      <c r="O28" s="12"/>
      <c r="P28" s="12"/>
      <c r="Q28" s="55"/>
    </row>
    <row r="29" spans="2:24">
      <c r="B29" s="45"/>
      <c r="C29" s="73" t="s">
        <v>117</v>
      </c>
      <c r="D29" s="73"/>
      <c r="E29" s="73"/>
      <c r="F29" s="73"/>
      <c r="G29" s="74">
        <f>SUM(G21:G28)</f>
        <v>1398.7857999999999</v>
      </c>
      <c r="H29" s="12"/>
      <c r="J29" s="75" t="s">
        <v>121</v>
      </c>
      <c r="K29" s="12"/>
      <c r="L29" s="12"/>
      <c r="M29" s="550">
        <f t="shared" si="1"/>
        <v>0</v>
      </c>
      <c r="O29" s="12"/>
      <c r="P29" s="12"/>
      <c r="Q29" s="55"/>
    </row>
    <row r="30" spans="2:24">
      <c r="B30" s="45"/>
      <c r="C30" s="12"/>
      <c r="E30" s="11"/>
      <c r="G30" s="53"/>
      <c r="H30" s="12"/>
      <c r="J30" s="75" t="s">
        <v>122</v>
      </c>
      <c r="K30" s="12"/>
      <c r="L30" s="12"/>
      <c r="M30" s="550">
        <f t="shared" si="1"/>
        <v>0</v>
      </c>
      <c r="O30" s="12"/>
      <c r="P30" s="12"/>
      <c r="Q30" s="55"/>
    </row>
    <row r="31" spans="2:24">
      <c r="B31" s="45"/>
      <c r="C31" s="12"/>
      <c r="E31" s="11"/>
      <c r="G31" s="53"/>
      <c r="H31" s="12"/>
      <c r="J31" s="75" t="s">
        <v>123</v>
      </c>
      <c r="K31" s="12"/>
      <c r="L31" s="12"/>
      <c r="M31" s="550">
        <f t="shared" si="1"/>
        <v>0</v>
      </c>
      <c r="O31" s="12"/>
      <c r="P31" s="12"/>
      <c r="Q31" s="55"/>
    </row>
    <row r="32" spans="2:24">
      <c r="B32" s="45"/>
      <c r="C32" s="12"/>
      <c r="E32" s="11"/>
      <c r="G32" s="53"/>
      <c r="H32" s="12"/>
      <c r="J32" s="75" t="s">
        <v>124</v>
      </c>
      <c r="K32" s="12"/>
      <c r="L32" s="12"/>
      <c r="M32" s="550">
        <f t="shared" si="1"/>
        <v>0</v>
      </c>
      <c r="O32" s="12"/>
      <c r="P32" s="12"/>
      <c r="Q32" s="55"/>
    </row>
    <row r="33" spans="2:26">
      <c r="B33" s="45"/>
      <c r="C33" s="12"/>
      <c r="E33" s="11"/>
      <c r="G33" s="53"/>
      <c r="H33" s="12"/>
      <c r="J33" s="63"/>
      <c r="K33" s="12"/>
      <c r="L33" s="12"/>
      <c r="M33" s="76"/>
      <c r="O33" s="12"/>
      <c r="P33" s="12"/>
      <c r="Q33" s="55"/>
    </row>
    <row r="34" spans="2:26">
      <c r="B34" s="45"/>
      <c r="C34" s="12"/>
      <c r="E34" s="11"/>
      <c r="G34" s="53"/>
      <c r="H34" s="12"/>
      <c r="J34" s="77" t="s">
        <v>125</v>
      </c>
      <c r="K34" s="78"/>
      <c r="L34" s="78"/>
      <c r="M34" s="79">
        <f>M22+SUM(M26:M32)</f>
        <v>6098.616170435258</v>
      </c>
      <c r="O34" s="12"/>
      <c r="P34" s="12"/>
      <c r="Q34" s="55"/>
    </row>
    <row r="35" spans="2:26">
      <c r="B35" s="45"/>
      <c r="C35" s="12"/>
      <c r="E35" s="11"/>
      <c r="G35" s="53"/>
      <c r="H35" s="12"/>
      <c r="J35" s="80"/>
      <c r="K35" s="12"/>
      <c r="L35" s="12"/>
      <c r="M35" s="81"/>
      <c r="O35" s="12"/>
      <c r="P35" s="12"/>
      <c r="Q35" s="55"/>
    </row>
    <row r="36" spans="2:26">
      <c r="B36" s="45"/>
      <c r="C36" s="12"/>
      <c r="E36" s="11"/>
      <c r="G36" s="53"/>
      <c r="H36" s="12"/>
      <c r="J36" s="12" t="s">
        <v>11</v>
      </c>
      <c r="K36" s="12"/>
      <c r="L36" s="12"/>
      <c r="M36" s="82">
        <f>_xlfn.SINGLE(Diluted)</f>
        <v>96.42</v>
      </c>
      <c r="O36" s="12"/>
      <c r="P36" s="12"/>
      <c r="Q36" s="55"/>
    </row>
    <row r="37" spans="2:26">
      <c r="B37" s="45"/>
      <c r="C37" s="12"/>
      <c r="E37" s="11"/>
      <c r="G37" s="53"/>
      <c r="H37" s="12"/>
      <c r="J37" s="12"/>
      <c r="K37" s="12"/>
      <c r="L37" s="12"/>
      <c r="M37" s="36"/>
      <c r="O37" s="12"/>
      <c r="P37" s="12"/>
      <c r="Q37" s="55"/>
    </row>
    <row r="38" spans="2:26">
      <c r="B38" s="45"/>
      <c r="C38" s="12"/>
      <c r="E38" s="11"/>
      <c r="G38" s="53"/>
      <c r="H38" s="12"/>
      <c r="J38" s="83" t="s">
        <v>126</v>
      </c>
      <c r="K38" s="84"/>
      <c r="L38" s="84"/>
      <c r="M38" s="85">
        <f>M34/M36</f>
        <v>63.250530703539283</v>
      </c>
      <c r="O38" s="12"/>
      <c r="P38" s="12"/>
      <c r="Q38" s="55"/>
    </row>
    <row r="39" spans="2:26">
      <c r="B39" s="45"/>
      <c r="C39" s="12"/>
      <c r="E39" s="11"/>
      <c r="G39" s="53"/>
      <c r="H39" s="12"/>
      <c r="J39" s="86" t="s">
        <v>127</v>
      </c>
      <c r="K39" s="87"/>
      <c r="L39" s="87"/>
      <c r="M39" s="88">
        <f>M38/G15-1</f>
        <v>3.2054874137991547</v>
      </c>
      <c r="O39" s="12"/>
      <c r="P39" s="12"/>
      <c r="Q39" s="55"/>
    </row>
    <row r="40" spans="2:26">
      <c r="B40" s="45"/>
      <c r="C40" s="12"/>
      <c r="E40" s="11"/>
      <c r="G40" s="53"/>
      <c r="H40" s="12"/>
      <c r="J40" s="94"/>
      <c r="K40" s="94"/>
      <c r="L40" s="94"/>
      <c r="M40" s="508"/>
      <c r="O40" s="12"/>
      <c r="P40" s="12"/>
      <c r="Q40" s="55"/>
    </row>
    <row r="41" spans="2:26">
      <c r="B41" s="515"/>
      <c r="C41" s="515"/>
      <c r="D41" s="515"/>
      <c r="E41" s="515"/>
      <c r="F41" s="515"/>
      <c r="G41" s="515"/>
      <c r="H41" s="2"/>
      <c r="I41" s="2"/>
      <c r="J41" s="3" t="s">
        <v>0</v>
      </c>
      <c r="K41" s="2"/>
      <c r="L41" s="2"/>
      <c r="M41" s="2"/>
      <c r="N41" s="4"/>
      <c r="O41" s="2"/>
      <c r="P41" s="2"/>
      <c r="Q41" s="2"/>
      <c r="R41" s="3" t="s">
        <v>1</v>
      </c>
      <c r="S41" s="2"/>
      <c r="T41" s="2"/>
      <c r="U41" s="2"/>
      <c r="V41" s="2"/>
      <c r="W41" s="2"/>
      <c r="X41" s="2"/>
      <c r="Y41" s="2"/>
      <c r="Z41" s="2"/>
    </row>
    <row r="42" spans="2:26">
      <c r="B42" s="516" t="str">
        <f>"Free Cash Flow - "&amp;Company_Name</f>
        <v>Free Cash Flow - Avadel Pharmaceuticals, PLC</v>
      </c>
      <c r="C42" s="515"/>
      <c r="D42" s="515"/>
      <c r="E42" s="517" t="s">
        <v>2</v>
      </c>
      <c r="F42" s="518"/>
      <c r="G42" s="518"/>
      <c r="H42" s="8">
        <f t="shared" ref="H42:Z42" si="2">H3</f>
        <v>43646</v>
      </c>
      <c r="I42" s="8">
        <f t="shared" si="2"/>
        <v>44012</v>
      </c>
      <c r="J42" s="8">
        <f t="shared" si="2"/>
        <v>44377</v>
      </c>
      <c r="K42" s="8">
        <f t="shared" si="2"/>
        <v>44742</v>
      </c>
      <c r="L42" s="8">
        <f t="shared" si="2"/>
        <v>45107</v>
      </c>
      <c r="M42" s="8">
        <f t="shared" si="2"/>
        <v>45473</v>
      </c>
      <c r="N42" s="9">
        <f t="shared" si="2"/>
        <v>45838</v>
      </c>
      <c r="O42" s="8">
        <f t="shared" si="2"/>
        <v>46203</v>
      </c>
      <c r="P42" s="8">
        <f t="shared" si="2"/>
        <v>46568</v>
      </c>
      <c r="Q42" s="8">
        <f t="shared" si="2"/>
        <v>46934</v>
      </c>
      <c r="R42" s="8">
        <f t="shared" si="2"/>
        <v>47299</v>
      </c>
      <c r="S42" s="8">
        <f t="shared" si="2"/>
        <v>47664</v>
      </c>
      <c r="T42" s="8">
        <f t="shared" si="2"/>
        <v>48029</v>
      </c>
      <c r="U42" s="8">
        <f t="shared" si="2"/>
        <v>48395</v>
      </c>
      <c r="V42" s="8">
        <f t="shared" si="2"/>
        <v>48760</v>
      </c>
      <c r="W42" s="8">
        <f t="shared" si="2"/>
        <v>49125</v>
      </c>
      <c r="X42" s="8">
        <f t="shared" si="2"/>
        <v>49490</v>
      </c>
      <c r="Y42" s="8">
        <f t="shared" si="2"/>
        <v>49856</v>
      </c>
      <c r="Z42" s="8">
        <f t="shared" si="2"/>
        <v>50221</v>
      </c>
    </row>
    <row r="43" spans="2:26">
      <c r="B43" s="519"/>
      <c r="C43" s="568" t="s">
        <v>399</v>
      </c>
      <c r="D43" s="566"/>
      <c r="E43" s="566"/>
      <c r="F43" s="566"/>
      <c r="G43" s="566"/>
      <c r="H43" s="566"/>
      <c r="I43" s="566"/>
      <c r="J43" s="566"/>
      <c r="K43" s="566"/>
      <c r="L43" s="566"/>
      <c r="M43" s="566"/>
      <c r="N43" s="566"/>
      <c r="O43" s="566"/>
      <c r="P43" s="566"/>
      <c r="Q43" s="566"/>
      <c r="R43" s="566"/>
      <c r="S43" s="35"/>
      <c r="T43" s="567"/>
      <c r="U43" s="567"/>
      <c r="V43" s="567"/>
      <c r="W43" s="567"/>
      <c r="X43" s="35"/>
      <c r="Y43" s="35"/>
      <c r="Z43" s="35"/>
    </row>
    <row r="44" spans="2:26">
      <c r="B44" s="519"/>
      <c r="C44" s="520"/>
      <c r="D44" s="519"/>
      <c r="E44" s="519"/>
      <c r="F44" s="519"/>
      <c r="G44" s="519"/>
      <c r="H44" s="519"/>
      <c r="I44" s="519"/>
      <c r="J44" s="519"/>
      <c r="K44" s="519"/>
      <c r="L44" s="519"/>
      <c r="M44" s="519"/>
      <c r="N44" s="519"/>
      <c r="O44" s="519"/>
      <c r="P44" s="519"/>
      <c r="Q44" s="519"/>
      <c r="R44" s="519"/>
      <c r="T44" s="93"/>
      <c r="U44" s="93"/>
      <c r="V44" s="93"/>
      <c r="W44" s="93"/>
    </row>
    <row r="45" spans="2:26">
      <c r="B45" s="519"/>
      <c r="C45" s="564" t="s">
        <v>212</v>
      </c>
      <c r="D45" s="519"/>
      <c r="E45" s="521" t="s">
        <v>380</v>
      </c>
      <c r="F45" s="519"/>
      <c r="G45" s="519"/>
      <c r="H45" s="511">
        <f>Drivers!H71</f>
        <v>59215</v>
      </c>
      <c r="I45" s="511">
        <f>Drivers!I71</f>
        <v>22334</v>
      </c>
      <c r="J45" s="511">
        <f>Drivers!J71</f>
        <v>0</v>
      </c>
      <c r="K45" s="511">
        <f>Drivers!K71</f>
        <v>0</v>
      </c>
      <c r="L45" s="511">
        <f>Drivers!L71</f>
        <v>27963</v>
      </c>
      <c r="M45" s="511">
        <f>Drivers!M71</f>
        <v>169117</v>
      </c>
      <c r="N45" s="511">
        <f>Drivers!N71</f>
        <v>343439.99999999994</v>
      </c>
      <c r="O45" s="511">
        <f>Drivers!O71</f>
        <v>467078.40000000002</v>
      </c>
      <c r="P45" s="511">
        <f>Drivers!P71</f>
        <v>665597.81540194538</v>
      </c>
      <c r="Q45" s="511">
        <f>Drivers!Q71</f>
        <v>1117150.0211842484</v>
      </c>
      <c r="R45" s="511">
        <f>Drivers!R71</f>
        <v>1494002.5687436045</v>
      </c>
      <c r="S45" s="511">
        <f>Drivers!S71</f>
        <v>1751142.715854001</v>
      </c>
      <c r="T45" s="511">
        <f>Drivers!T71</f>
        <v>1933695.2019741121</v>
      </c>
      <c r="U45" s="511">
        <f>Drivers!U71</f>
        <v>2077463.5470861129</v>
      </c>
      <c r="V45" s="511">
        <f>Drivers!V71</f>
        <v>2169097.971227041</v>
      </c>
      <c r="W45" s="511">
        <f>Drivers!W71</f>
        <v>2260221.838434591</v>
      </c>
      <c r="X45" s="511">
        <f>Drivers!X71</f>
        <v>2332997.4519281983</v>
      </c>
      <c r="Y45" s="511">
        <f>Drivers!Y71</f>
        <v>2369109.6036197459</v>
      </c>
      <c r="Z45" s="511">
        <f>Drivers!Z71</f>
        <v>2363141.6496228208</v>
      </c>
    </row>
    <row r="46" spans="2:26">
      <c r="B46" s="519"/>
      <c r="C46" s="565"/>
      <c r="D46" s="519"/>
      <c r="E46" s="519"/>
      <c r="F46" s="519"/>
      <c r="G46" s="519"/>
      <c r="H46" s="511"/>
      <c r="I46" s="511"/>
      <c r="J46" s="511"/>
      <c r="K46" s="511"/>
      <c r="L46" s="511"/>
      <c r="M46" s="511"/>
      <c r="N46" s="511"/>
      <c r="O46" s="511"/>
      <c r="P46" s="511"/>
      <c r="Q46" s="511"/>
      <c r="R46" s="511"/>
      <c r="S46" s="511"/>
      <c r="T46" s="511"/>
      <c r="U46" s="511"/>
      <c r="V46" s="511"/>
      <c r="W46" s="511"/>
      <c r="X46" s="511"/>
      <c r="Y46" s="511"/>
      <c r="Z46" s="511"/>
    </row>
    <row r="47" spans="2:26">
      <c r="B47" s="519"/>
      <c r="C47" s="522" t="s">
        <v>178</v>
      </c>
      <c r="D47" s="519"/>
      <c r="E47" s="523" t="s">
        <v>380</v>
      </c>
      <c r="F47" s="519"/>
      <c r="G47" s="519"/>
      <c r="H47" s="524">
        <f>Model!G66</f>
        <v>-12125</v>
      </c>
      <c r="I47" s="524">
        <f>Model!H66</f>
        <v>-5742</v>
      </c>
      <c r="J47" s="524">
        <f>Model!I66</f>
        <v>0</v>
      </c>
      <c r="K47" s="524">
        <f>Model!J66</f>
        <v>0</v>
      </c>
      <c r="L47" s="524">
        <f>Model!K66</f>
        <v>-846</v>
      </c>
      <c r="M47" s="524">
        <f>Model!L66</f>
        <v>-15277</v>
      </c>
      <c r="N47" s="524">
        <f>-N45*0.09</f>
        <v>-30909.599999999995</v>
      </c>
      <c r="O47" s="524">
        <f t="shared" ref="O47:Z47" si="3">-O45*0.09</f>
        <v>-42037.056000000004</v>
      </c>
      <c r="P47" s="524">
        <f t="shared" si="3"/>
        <v>-59903.803386175081</v>
      </c>
      <c r="Q47" s="524">
        <f t="shared" si="3"/>
        <v>-100543.50190658236</v>
      </c>
      <c r="R47" s="524">
        <f t="shared" si="3"/>
        <v>-134460.23118692439</v>
      </c>
      <c r="S47" s="524">
        <f t="shared" si="3"/>
        <v>-157602.84442686007</v>
      </c>
      <c r="T47" s="524">
        <f t="shared" si="3"/>
        <v>-174032.56817767007</v>
      </c>
      <c r="U47" s="524">
        <f t="shared" si="3"/>
        <v>-186971.71923775016</v>
      </c>
      <c r="V47" s="524">
        <f t="shared" si="3"/>
        <v>-195218.81741043369</v>
      </c>
      <c r="W47" s="524">
        <f t="shared" si="3"/>
        <v>-203419.96545911318</v>
      </c>
      <c r="X47" s="524">
        <f t="shared" si="3"/>
        <v>-209969.77067353783</v>
      </c>
      <c r="Y47" s="524">
        <f t="shared" si="3"/>
        <v>-213219.86432577713</v>
      </c>
      <c r="Z47" s="524">
        <f t="shared" si="3"/>
        <v>-212682.74846605386</v>
      </c>
    </row>
    <row r="48" spans="2:26">
      <c r="B48" s="519"/>
      <c r="C48" s="522" t="s">
        <v>179</v>
      </c>
      <c r="D48" s="519"/>
      <c r="E48" s="523" t="s">
        <v>380</v>
      </c>
      <c r="F48" s="519"/>
      <c r="G48" s="519"/>
      <c r="H48" s="524">
        <f>-Model!G71</f>
        <v>-30183</v>
      </c>
      <c r="I48" s="524">
        <f>-Model!H71</f>
        <v>-32405</v>
      </c>
      <c r="J48" s="524">
        <f>-Model!I71</f>
        <v>-68495</v>
      </c>
      <c r="K48" s="524">
        <f>-Model!J71</f>
        <v>-74516</v>
      </c>
      <c r="L48" s="524">
        <f>-Model!K71</f>
        <v>-151705</v>
      </c>
      <c r="M48" s="524">
        <f>-Model!L71</f>
        <v>-181043</v>
      </c>
      <c r="N48" s="524">
        <f>-Model!M71</f>
        <v>-111068.49599999998</v>
      </c>
      <c r="O48" s="524">
        <f>-Model!N71</f>
        <v>-145728.4608</v>
      </c>
      <c r="P48" s="524">
        <f>-Model!O71</f>
        <v>-202341.73588219137</v>
      </c>
      <c r="Q48" s="524">
        <f>-Model!P71</f>
        <v>-329782.68625359004</v>
      </c>
      <c r="R48" s="524">
        <f>-Model!Q71</f>
        <v>-431766.7423669016</v>
      </c>
      <c r="S48" s="524">
        <f>-Model!R71</f>
        <v>-476310.81871228811</v>
      </c>
      <c r="T48" s="524">
        <f>-Model!S71</f>
        <v>-493092.27650339837</v>
      </c>
      <c r="U48" s="524">
        <f>-Model!T71</f>
        <v>-494436.32420649461</v>
      </c>
      <c r="V48" s="524">
        <f>-Model!U71</f>
        <v>-479370.65164117573</v>
      </c>
      <c r="W48" s="524">
        <f>-Model!V71</f>
        <v>-461085.25504065625</v>
      </c>
      <c r="X48" s="524">
        <f>-X45*Model!$V$23</f>
        <v>-559919.38846276724</v>
      </c>
      <c r="Y48" s="524">
        <f>-Y45*Model!$V$23</f>
        <v>-568586.30486873863</v>
      </c>
      <c r="Z48" s="524">
        <f>-Z45*Model!$V$23</f>
        <v>-567153.99590947665</v>
      </c>
    </row>
    <row r="49" spans="2:26">
      <c r="B49" s="519"/>
      <c r="C49" s="525" t="s">
        <v>180</v>
      </c>
      <c r="D49" s="519"/>
      <c r="E49" s="523" t="s">
        <v>380</v>
      </c>
      <c r="F49" s="519"/>
      <c r="G49" s="519"/>
      <c r="H49" s="526">
        <f>-Model!G70</f>
        <v>-32917</v>
      </c>
      <c r="I49" s="526">
        <f>-Model!H70</f>
        <v>-20442</v>
      </c>
      <c r="J49" s="526">
        <f>-Model!I70</f>
        <v>-17104</v>
      </c>
      <c r="K49" s="526">
        <f>-Model!J70</f>
        <v>-20700</v>
      </c>
      <c r="L49" s="526">
        <f>-Model!K70</f>
        <v>-13261</v>
      </c>
      <c r="M49" s="526">
        <f>-Model!L70</f>
        <v>-15196</v>
      </c>
      <c r="N49" s="526">
        <f>-Model!M70</f>
        <v>-5288.9759999999997</v>
      </c>
      <c r="O49" s="526">
        <f>-Model!N70</f>
        <v>-5464.8172800000002</v>
      </c>
      <c r="P49" s="526">
        <f>-Model!O70</f>
        <v>-5324.7825232155637</v>
      </c>
      <c r="Q49" s="526">
        <f>-Model!P70</f>
        <v>-4580.3150868554185</v>
      </c>
      <c r="R49" s="526">
        <f>-Model!Q70</f>
        <v>-3809.7065502961914</v>
      </c>
      <c r="S49" s="526">
        <f>-Model!R70</f>
        <v>-2232.7069627138512</v>
      </c>
      <c r="T49" s="526">
        <f>-Model!S70</f>
        <v>-2465.4613825169931</v>
      </c>
      <c r="U49" s="526">
        <f>-Model!T70</f>
        <v>-2648.766022534794</v>
      </c>
      <c r="V49" s="526">
        <f>-Model!U70</f>
        <v>-2765.5999133144769</v>
      </c>
      <c r="W49" s="526">
        <f>-Model!V70</f>
        <v>-2881.7828440041035</v>
      </c>
      <c r="X49" s="526">
        <f>-X45*Model!$V$21</f>
        <v>-3499.4961778922975</v>
      </c>
      <c r="Y49" s="526">
        <f>-Y45*Model!$V$21</f>
        <v>-3553.6644054296189</v>
      </c>
      <c r="Z49" s="526">
        <f>-Z45*Model!$V$21</f>
        <v>-3544.7124744342314</v>
      </c>
    </row>
    <row r="50" spans="2:26">
      <c r="B50" s="519"/>
      <c r="C50" s="564" t="s">
        <v>381</v>
      </c>
      <c r="D50" s="519"/>
      <c r="E50" s="521" t="s">
        <v>380</v>
      </c>
      <c r="F50" s="519"/>
      <c r="G50" s="519"/>
      <c r="H50" s="527">
        <f>SUM(H45:H49)</f>
        <v>-16010</v>
      </c>
      <c r="I50" s="527">
        <f t="shared" ref="I50:Z50" si="4">SUM(I45:I49)</f>
        <v>-36255</v>
      </c>
      <c r="J50" s="527">
        <f t="shared" si="4"/>
        <v>-85599</v>
      </c>
      <c r="K50" s="527">
        <f t="shared" si="4"/>
        <v>-95216</v>
      </c>
      <c r="L50" s="527">
        <f t="shared" si="4"/>
        <v>-137849</v>
      </c>
      <c r="M50" s="527">
        <f t="shared" si="4"/>
        <v>-42399</v>
      </c>
      <c r="N50" s="527">
        <f t="shared" si="4"/>
        <v>196172.92799999999</v>
      </c>
      <c r="O50" s="527">
        <f t="shared" si="4"/>
        <v>273848.06592000002</v>
      </c>
      <c r="P50" s="527">
        <f t="shared" si="4"/>
        <v>398027.4936103634</v>
      </c>
      <c r="Q50" s="527">
        <f t="shared" si="4"/>
        <v>682243.51793722052</v>
      </c>
      <c r="R50" s="527">
        <f t="shared" si="4"/>
        <v>923965.88863948244</v>
      </c>
      <c r="S50" s="527">
        <f t="shared" si="4"/>
        <v>1114996.3457521391</v>
      </c>
      <c r="T50" s="527">
        <f t="shared" si="4"/>
        <v>1264104.8959105269</v>
      </c>
      <c r="U50" s="527">
        <f t="shared" si="4"/>
        <v>1393406.7376193332</v>
      </c>
      <c r="V50" s="527">
        <f t="shared" si="4"/>
        <v>1491742.9022621172</v>
      </c>
      <c r="W50" s="527">
        <f t="shared" si="4"/>
        <v>1592834.8350908174</v>
      </c>
      <c r="X50" s="527">
        <f t="shared" si="4"/>
        <v>1559608.7966140013</v>
      </c>
      <c r="Y50" s="527">
        <f t="shared" si="4"/>
        <v>1583749.7700198006</v>
      </c>
      <c r="Z50" s="527">
        <f t="shared" si="4"/>
        <v>1579760.192772856</v>
      </c>
    </row>
    <row r="51" spans="2:26">
      <c r="B51" s="519"/>
      <c r="C51" s="565"/>
      <c r="D51" s="519"/>
      <c r="E51" s="519"/>
      <c r="F51" s="519"/>
      <c r="G51" s="519"/>
      <c r="H51" s="527"/>
      <c r="I51" s="527"/>
      <c r="J51" s="527"/>
      <c r="K51" s="527"/>
      <c r="L51" s="527"/>
      <c r="M51" s="527"/>
      <c r="N51" s="527"/>
      <c r="O51" s="527"/>
      <c r="P51" s="527"/>
      <c r="Q51" s="527"/>
      <c r="R51" s="527"/>
      <c r="S51" s="527"/>
      <c r="T51" s="527"/>
      <c r="U51" s="527"/>
      <c r="V51" s="527"/>
      <c r="W51" s="527"/>
      <c r="X51" s="527"/>
      <c r="Y51" s="527"/>
      <c r="Z51" s="527"/>
    </row>
    <row r="52" spans="2:26">
      <c r="B52" s="519"/>
      <c r="C52" s="525" t="s">
        <v>382</v>
      </c>
      <c r="D52" s="519"/>
      <c r="E52" s="523" t="s">
        <v>380</v>
      </c>
      <c r="F52" s="519"/>
      <c r="G52" s="519"/>
      <c r="H52" s="526">
        <f t="shared" ref="H52:Z52" si="5">H50*-Tax_Rate</f>
        <v>1921.1999999999998</v>
      </c>
      <c r="I52" s="526">
        <f t="shared" si="5"/>
        <v>4350.5999999999995</v>
      </c>
      <c r="J52" s="526">
        <f t="shared" si="5"/>
        <v>10271.879999999999</v>
      </c>
      <c r="K52" s="526">
        <f t="shared" si="5"/>
        <v>11425.92</v>
      </c>
      <c r="L52" s="526">
        <f t="shared" si="5"/>
        <v>16541.88</v>
      </c>
      <c r="M52" s="526">
        <f t="shared" si="5"/>
        <v>5087.88</v>
      </c>
      <c r="N52" s="526">
        <f t="shared" si="5"/>
        <v>-23540.751359999998</v>
      </c>
      <c r="O52" s="526">
        <f t="shared" si="5"/>
        <v>-32861.767910399998</v>
      </c>
      <c r="P52" s="526">
        <f t="shared" si="5"/>
        <v>-47763.299233243604</v>
      </c>
      <c r="Q52" s="526">
        <f t="shared" si="5"/>
        <v>-81869.222152466464</v>
      </c>
      <c r="R52" s="526">
        <f t="shared" si="5"/>
        <v>-110875.90663673788</v>
      </c>
      <c r="S52" s="526">
        <f t="shared" si="5"/>
        <v>-133799.56149025669</v>
      </c>
      <c r="T52" s="526">
        <f t="shared" si="5"/>
        <v>-151692.58750926322</v>
      </c>
      <c r="U52" s="526">
        <f t="shared" si="5"/>
        <v>-167208.80851431997</v>
      </c>
      <c r="V52" s="526">
        <f t="shared" si="5"/>
        <v>-179009.14827145406</v>
      </c>
      <c r="W52" s="526">
        <f t="shared" si="5"/>
        <v>-191140.18021089808</v>
      </c>
      <c r="X52" s="526">
        <f t="shared" si="5"/>
        <v>-187153.05559368015</v>
      </c>
      <c r="Y52" s="526">
        <f t="shared" si="5"/>
        <v>-190049.97240237606</v>
      </c>
      <c r="Z52" s="526">
        <f t="shared" si="5"/>
        <v>-189571.22313274271</v>
      </c>
    </row>
    <row r="53" spans="2:26">
      <c r="B53" s="519"/>
      <c r="C53" s="564" t="s">
        <v>383</v>
      </c>
      <c r="D53" s="519"/>
      <c r="E53" s="521" t="s">
        <v>380</v>
      </c>
      <c r="F53" s="519"/>
      <c r="G53" s="519"/>
      <c r="H53" s="527">
        <f>SUM(H50:H52)</f>
        <v>-14088.8</v>
      </c>
      <c r="I53" s="527">
        <f t="shared" ref="I53:Z53" si="6">SUM(I50:I52)</f>
        <v>-31904.400000000001</v>
      </c>
      <c r="J53" s="527">
        <f t="shared" si="6"/>
        <v>-75327.12</v>
      </c>
      <c r="K53" s="527">
        <f t="shared" si="6"/>
        <v>-83790.080000000002</v>
      </c>
      <c r="L53" s="527">
        <f t="shared" si="6"/>
        <v>-121307.12</v>
      </c>
      <c r="M53" s="527">
        <f t="shared" si="6"/>
        <v>-37311.120000000003</v>
      </c>
      <c r="N53" s="527">
        <f t="shared" si="6"/>
        <v>172632.17663999999</v>
      </c>
      <c r="O53" s="527">
        <f t="shared" si="6"/>
        <v>240986.29800960002</v>
      </c>
      <c r="P53" s="527">
        <f t="shared" si="6"/>
        <v>350264.19437711977</v>
      </c>
      <c r="Q53" s="527">
        <f t="shared" si="6"/>
        <v>600374.2957847541</v>
      </c>
      <c r="R53" s="527">
        <f t="shared" si="6"/>
        <v>813089.98200274457</v>
      </c>
      <c r="S53" s="527">
        <f t="shared" si="6"/>
        <v>981196.78426188242</v>
      </c>
      <c r="T53" s="527">
        <f t="shared" si="6"/>
        <v>1112412.3084012636</v>
      </c>
      <c r="U53" s="527">
        <f t="shared" si="6"/>
        <v>1226197.9291050131</v>
      </c>
      <c r="V53" s="527">
        <f t="shared" si="6"/>
        <v>1312733.7539906632</v>
      </c>
      <c r="W53" s="527">
        <f t="shared" si="6"/>
        <v>1401694.6548799193</v>
      </c>
      <c r="X53" s="527">
        <f t="shared" si="6"/>
        <v>1372455.7410203211</v>
      </c>
      <c r="Y53" s="527">
        <f t="shared" si="6"/>
        <v>1393699.7976174245</v>
      </c>
      <c r="Z53" s="527">
        <f t="shared" si="6"/>
        <v>1390188.9696401132</v>
      </c>
    </row>
    <row r="54" spans="2:26">
      <c r="B54" s="519"/>
      <c r="C54" s="565"/>
      <c r="D54" s="519"/>
      <c r="E54" s="519"/>
      <c r="F54" s="519"/>
      <c r="G54" s="519"/>
      <c r="H54" s="527"/>
      <c r="I54" s="527"/>
      <c r="J54" s="527"/>
      <c r="K54" s="527"/>
      <c r="L54" s="527"/>
      <c r="M54" s="527"/>
      <c r="N54" s="527"/>
      <c r="O54" s="527"/>
      <c r="P54" s="527"/>
      <c r="Q54" s="527"/>
      <c r="R54" s="527"/>
      <c r="S54" s="527"/>
      <c r="T54" s="527"/>
      <c r="U54" s="527"/>
      <c r="V54" s="527"/>
      <c r="W54" s="527"/>
      <c r="X54" s="527"/>
      <c r="Y54" s="527"/>
      <c r="Z54" s="527"/>
    </row>
    <row r="55" spans="2:26">
      <c r="B55" s="519"/>
      <c r="C55" s="522" t="s">
        <v>408</v>
      </c>
      <c r="D55" s="519"/>
      <c r="E55" s="523" t="s">
        <v>380</v>
      </c>
      <c r="F55" s="519"/>
      <c r="G55" s="519"/>
      <c r="H55" s="527"/>
      <c r="I55" s="527">
        <f>Drivers!I87</f>
        <v>66970</v>
      </c>
      <c r="J55" s="527">
        <f>Drivers!J87</f>
        <v>-37772</v>
      </c>
      <c r="K55" s="527">
        <f>Drivers!K87</f>
        <v>-83601</v>
      </c>
      <c r="L55" s="527">
        <f>Drivers!L87</f>
        <v>94345</v>
      </c>
      <c r="M55" s="527">
        <f>Drivers!M87</f>
        <v>-7307</v>
      </c>
      <c r="N55" s="527">
        <f>Drivers!N87</f>
        <v>-23429.739999999998</v>
      </c>
      <c r="O55" s="527">
        <f>Drivers!O87</f>
        <v>-1013.5026000000071</v>
      </c>
      <c r="P55" s="527">
        <f>Drivers!P87</f>
        <v>-1003.3675739999962</v>
      </c>
      <c r="Q55" s="527">
        <f>Drivers!Q87</f>
        <v>-993.33389825998893</v>
      </c>
      <c r="R55" s="527">
        <f>Drivers!R87</f>
        <v>-983.40055927739741</v>
      </c>
      <c r="S55" s="527">
        <f>Drivers!S87</f>
        <v>-973.56655368462816</v>
      </c>
      <c r="T55" s="527">
        <f>Drivers!T87</f>
        <v>-963.83088814777875</v>
      </c>
      <c r="U55" s="527">
        <f>Drivers!U87</f>
        <v>-954.19257926630235</v>
      </c>
      <c r="V55" s="527">
        <f>Drivers!V87</f>
        <v>-944.65065347364725</v>
      </c>
      <c r="W55" s="527">
        <f>Drivers!W87</f>
        <v>-935.20414693889325</v>
      </c>
      <c r="X55" s="527">
        <f>W55*(W55/V55)</f>
        <v>-925.85210546948701</v>
      </c>
      <c r="Y55" s="527">
        <f t="shared" ref="Y55:Z55" si="7">X55*(X55/W55)</f>
        <v>-916.59358441477502</v>
      </c>
      <c r="Z55" s="527">
        <f t="shared" si="7"/>
        <v>-907.42764857061036</v>
      </c>
    </row>
    <row r="56" spans="2:26">
      <c r="B56" s="519"/>
      <c r="C56" s="522" t="s">
        <v>500</v>
      </c>
      <c r="D56" s="519"/>
      <c r="E56" s="523" t="s">
        <v>380</v>
      </c>
      <c r="F56" s="519"/>
      <c r="G56" s="519"/>
      <c r="H56" s="527">
        <v>0</v>
      </c>
      <c r="I56" s="527">
        <v>0</v>
      </c>
      <c r="J56" s="527">
        <v>0</v>
      </c>
      <c r="K56" s="527">
        <v>0</v>
      </c>
      <c r="L56" s="527">
        <v>0</v>
      </c>
      <c r="M56" s="527">
        <v>0</v>
      </c>
      <c r="N56" s="527">
        <f>SUM(Drivers!N68:N69)*RoyaltyJ</f>
        <v>0</v>
      </c>
      <c r="O56" s="527">
        <f>SUM(Drivers!O68:O69)*RoyaltyJ</f>
        <v>0</v>
      </c>
      <c r="P56" s="527">
        <f>SUM(Drivers!P68:P69)*RoyaltyJ</f>
        <v>1652.6771657173922</v>
      </c>
      <c r="Q56" s="527">
        <f>SUM(Drivers!Q68:Q69)*RoyaltyJ</f>
        <v>11164.940259818562</v>
      </c>
      <c r="R56" s="527">
        <f>SUM(Drivers!R68:R69)*RoyaltyJ</f>
        <v>20918.538239052021</v>
      </c>
      <c r="S56" s="527">
        <f>SUM(Drivers!S68:S69)*RoyaltyJ</f>
        <v>28445.974090240194</v>
      </c>
      <c r="T56" s="527">
        <f>SUM(Drivers!T68:T69)*RoyaltyJ</f>
        <v>33766.672516009407</v>
      </c>
      <c r="U56" s="527">
        <f>SUM(Drivers!U68:U69)*RoyaltyJ</f>
        <v>37438.644359032085</v>
      </c>
      <c r="V56" s="527">
        <f>SUM(Drivers!V68:V69)*RoyaltyJ</f>
        <v>39547.855664196526</v>
      </c>
      <c r="W56" s="527">
        <f>SUM(Drivers!W68:W69)*RoyaltyJ</f>
        <v>41628.990843532956</v>
      </c>
      <c r="X56" s="527">
        <f>SUM(Drivers!X68:X69)*RoyaltyJ</f>
        <v>43653.792623297013</v>
      </c>
      <c r="Y56" s="527">
        <f>SUM(Drivers!Y68:Y69)*RoyaltyJ</f>
        <v>44543.536440560194</v>
      </c>
      <c r="Z56" s="527">
        <f>SUM(Drivers!Z68:Z69)*RoyaltyJ</f>
        <v>44386.825023248493</v>
      </c>
    </row>
    <row r="57" spans="2:26">
      <c r="B57" s="519"/>
      <c r="C57" s="522" t="s">
        <v>384</v>
      </c>
      <c r="D57" s="519"/>
      <c r="E57" s="523" t="s">
        <v>380</v>
      </c>
      <c r="F57" s="519"/>
      <c r="G57" s="519"/>
      <c r="H57" s="527">
        <f>Model!G160</f>
        <v>-29</v>
      </c>
      <c r="I57" s="527">
        <f>Model!H160</f>
        <v>-98</v>
      </c>
      <c r="J57" s="527">
        <f>Model!I160</f>
        <v>-26</v>
      </c>
      <c r="K57" s="527">
        <f>Model!J160</f>
        <v>-716</v>
      </c>
      <c r="L57" s="527">
        <f>Model!K160</f>
        <v>0</v>
      </c>
      <c r="M57" s="527">
        <f>Model!L160</f>
        <v>0</v>
      </c>
      <c r="N57" s="527">
        <f>Model!M160</f>
        <v>0</v>
      </c>
      <c r="O57" s="527">
        <f>Model!N160</f>
        <v>0</v>
      </c>
      <c r="P57" s="527">
        <f>Model!O160</f>
        <v>0</v>
      </c>
      <c r="Q57" s="527">
        <f>Model!P160</f>
        <v>0</v>
      </c>
      <c r="R57" s="527">
        <f>Model!Q160</f>
        <v>0</v>
      </c>
      <c r="S57" s="527">
        <f>Model!R160</f>
        <v>0</v>
      </c>
      <c r="T57" s="527">
        <f>Model!S160</f>
        <v>0</v>
      </c>
      <c r="U57" s="527">
        <f>Model!T160</f>
        <v>0</v>
      </c>
      <c r="V57" s="527">
        <f>Model!U160</f>
        <v>0</v>
      </c>
      <c r="W57" s="527">
        <f>Model!V160</f>
        <v>0</v>
      </c>
      <c r="X57" s="527">
        <f>Model!W160</f>
        <v>0</v>
      </c>
      <c r="Y57" s="527">
        <f>Model!X160</f>
        <v>0</v>
      </c>
      <c r="Z57" s="527">
        <f>Model!Y160</f>
        <v>0</v>
      </c>
    </row>
    <row r="58" spans="2:26">
      <c r="B58" s="519"/>
      <c r="C58" s="525" t="s">
        <v>385</v>
      </c>
      <c r="D58" s="519"/>
      <c r="E58" s="523" t="s">
        <v>380</v>
      </c>
      <c r="F58" s="519"/>
      <c r="G58" s="519"/>
      <c r="H58" s="528">
        <f>Model!G143</f>
        <v>2486</v>
      </c>
      <c r="I58" s="528">
        <f>Model!H143</f>
        <v>1690</v>
      </c>
      <c r="J58" s="528">
        <f>Model!I143</f>
        <v>815</v>
      </c>
      <c r="K58" s="528">
        <f>Model!J143</f>
        <v>1493</v>
      </c>
      <c r="L58" s="528">
        <f>Model!K143</f>
        <v>1766</v>
      </c>
      <c r="M58" s="528">
        <f>Model!L143</f>
        <v>2681</v>
      </c>
      <c r="N58" s="528">
        <f>Model!M143</f>
        <v>324.45000000000027</v>
      </c>
      <c r="O58" s="528">
        <f>Model!N143</f>
        <v>308.22750000000025</v>
      </c>
      <c r="P58" s="528">
        <f>Model!O143</f>
        <v>292.81612500000023</v>
      </c>
      <c r="Q58" s="528">
        <f>Model!P143</f>
        <v>278.1753187500002</v>
      </c>
      <c r="R58" s="528">
        <f>Model!Q143</f>
        <v>264.26655281250021</v>
      </c>
      <c r="S58" s="528">
        <f>Model!R143</f>
        <v>251.0532251718752</v>
      </c>
      <c r="T58" s="528">
        <f>Model!S143</f>
        <v>238.50056391328141</v>
      </c>
      <c r="U58" s="528">
        <f>Model!T143</f>
        <v>226.57553571761733</v>
      </c>
      <c r="V58" s="528">
        <f>Model!U143</f>
        <v>215.24675893173645</v>
      </c>
      <c r="W58" s="528">
        <f>Model!V143</f>
        <v>204.4844209851496</v>
      </c>
      <c r="X58" s="528">
        <f>W58*(W58/V58)</f>
        <v>194.26019993589208</v>
      </c>
      <c r="Y58" s="528">
        <f t="shared" ref="Y58:Z58" si="8">X58*(X58/W58)</f>
        <v>184.54718993909745</v>
      </c>
      <c r="Z58" s="528">
        <f t="shared" si="8"/>
        <v>175.31983044214255</v>
      </c>
    </row>
    <row r="59" spans="2:26">
      <c r="B59" s="519"/>
      <c r="C59" s="564" t="s">
        <v>386</v>
      </c>
      <c r="D59" s="519"/>
      <c r="E59" s="521" t="s">
        <v>380</v>
      </c>
      <c r="F59" s="519"/>
      <c r="G59" s="519"/>
      <c r="H59" s="527">
        <f t="shared" ref="H59:Z59" si="9">SUM(H53:H58)</f>
        <v>-11631.8</v>
      </c>
      <c r="I59" s="527">
        <f t="shared" si="9"/>
        <v>36657.599999999999</v>
      </c>
      <c r="J59" s="527">
        <f t="shared" si="9"/>
        <v>-112310.12</v>
      </c>
      <c r="K59" s="527">
        <f t="shared" si="9"/>
        <v>-166614.08000000002</v>
      </c>
      <c r="L59" s="527">
        <f t="shared" si="9"/>
        <v>-25196.119999999995</v>
      </c>
      <c r="M59" s="527">
        <f t="shared" si="9"/>
        <v>-41937.120000000003</v>
      </c>
      <c r="N59" s="527">
        <f t="shared" si="9"/>
        <v>149526.88664000001</v>
      </c>
      <c r="O59" s="527">
        <f t="shared" si="9"/>
        <v>240281.02290960003</v>
      </c>
      <c r="P59" s="527">
        <f t="shared" si="9"/>
        <v>351206.32009383722</v>
      </c>
      <c r="Q59" s="527">
        <f t="shared" si="9"/>
        <v>610824.07746506261</v>
      </c>
      <c r="R59" s="527">
        <f t="shared" si="9"/>
        <v>833289.38623533177</v>
      </c>
      <c r="S59" s="527">
        <f t="shared" si="9"/>
        <v>1008920.2450236098</v>
      </c>
      <c r="T59" s="527">
        <f t="shared" si="9"/>
        <v>1145453.6505930384</v>
      </c>
      <c r="U59" s="527">
        <f t="shared" si="9"/>
        <v>1262908.9564204966</v>
      </c>
      <c r="V59" s="527">
        <f t="shared" si="9"/>
        <v>1351552.2057603179</v>
      </c>
      <c r="W59" s="527">
        <f t="shared" si="9"/>
        <v>1442592.9259974987</v>
      </c>
      <c r="X59" s="527">
        <f t="shared" si="9"/>
        <v>1415377.9417380847</v>
      </c>
      <c r="Y59" s="527">
        <f t="shared" si="9"/>
        <v>1437511.2876635089</v>
      </c>
      <c r="Z59" s="527">
        <f t="shared" si="9"/>
        <v>1433843.6868452332</v>
      </c>
    </row>
    <row r="60" spans="2:26">
      <c r="B60" s="519"/>
      <c r="C60" s="529" t="s">
        <v>387</v>
      </c>
      <c r="D60" s="519"/>
      <c r="E60" s="523" t="s">
        <v>15</v>
      </c>
      <c r="F60" s="519"/>
      <c r="G60" s="519"/>
      <c r="H60" s="530">
        <f t="shared" ref="H60:Z60" si="10">H59/H45</f>
        <v>-0.19643333614793548</v>
      </c>
      <c r="I60" s="530">
        <f t="shared" si="10"/>
        <v>1.6413360795200143</v>
      </c>
      <c r="J60" s="530" t="e">
        <f t="shared" si="10"/>
        <v>#DIV/0!</v>
      </c>
      <c r="K60" s="530" t="e">
        <f t="shared" si="10"/>
        <v>#DIV/0!</v>
      </c>
      <c r="L60" s="530">
        <f t="shared" si="10"/>
        <v>-0.90105210456674878</v>
      </c>
      <c r="M60" s="530">
        <f t="shared" si="10"/>
        <v>-0.24797696269446598</v>
      </c>
      <c r="N60" s="530">
        <f t="shared" si="10"/>
        <v>0.43537994013510378</v>
      </c>
      <c r="O60" s="530">
        <f t="shared" si="10"/>
        <v>0.51443402844062158</v>
      </c>
      <c r="P60" s="530">
        <f t="shared" si="10"/>
        <v>0.52765545794610003</v>
      </c>
      <c r="Q60" s="530">
        <f t="shared" si="10"/>
        <v>0.54676996453667981</v>
      </c>
      <c r="R60" s="530">
        <f t="shared" si="10"/>
        <v>0.55775632764547012</v>
      </c>
      <c r="S60" s="530">
        <f t="shared" si="10"/>
        <v>0.57614963982623058</v>
      </c>
      <c r="T60" s="530">
        <f t="shared" si="10"/>
        <v>0.59236515114876598</v>
      </c>
      <c r="U60" s="530">
        <f t="shared" si="10"/>
        <v>0.60790908133713106</v>
      </c>
      <c r="V60" s="530">
        <f t="shared" si="10"/>
        <v>0.62309412653950147</v>
      </c>
      <c r="W60" s="530">
        <f t="shared" si="10"/>
        <v>0.63825280397990725</v>
      </c>
      <c r="X60" s="530">
        <f t="shared" si="10"/>
        <v>0.60667787723826672</v>
      </c>
      <c r="Y60" s="530">
        <f t="shared" si="10"/>
        <v>0.60677280842859505</v>
      </c>
      <c r="Z60" s="530">
        <f t="shared" si="10"/>
        <v>0.60675316990586992</v>
      </c>
    </row>
    <row r="61" spans="2:26">
      <c r="B61" s="519"/>
      <c r="C61" s="529"/>
      <c r="D61" s="519"/>
      <c r="E61" s="523"/>
      <c r="F61" s="519"/>
      <c r="G61" s="519"/>
      <c r="H61" s="530"/>
      <c r="I61" s="530"/>
      <c r="J61" s="530"/>
      <c r="K61" s="530"/>
      <c r="L61" s="530"/>
      <c r="M61" s="530"/>
      <c r="N61" s="530"/>
      <c r="O61" s="530"/>
      <c r="P61" s="530"/>
      <c r="Q61" s="530"/>
      <c r="R61" s="530"/>
      <c r="S61" s="530"/>
      <c r="T61" s="530"/>
      <c r="U61" s="530"/>
      <c r="V61" s="530"/>
      <c r="W61" s="530"/>
      <c r="X61" s="530"/>
      <c r="Y61" s="530"/>
      <c r="Z61" s="530"/>
    </row>
    <row r="62" spans="2:26">
      <c r="B62" s="519"/>
      <c r="C62" s="525" t="s">
        <v>373</v>
      </c>
      <c r="D62" s="519"/>
      <c r="E62" s="523" t="s">
        <v>15</v>
      </c>
      <c r="F62" s="519"/>
      <c r="G62" s="519"/>
      <c r="H62" s="581">
        <v>1</v>
      </c>
      <c r="I62" s="581">
        <v>1</v>
      </c>
      <c r="J62" s="581">
        <v>1</v>
      </c>
      <c r="K62" s="581">
        <v>1</v>
      </c>
      <c r="L62" s="581">
        <v>1</v>
      </c>
      <c r="M62" s="581">
        <v>1</v>
      </c>
      <c r="N62" s="581">
        <v>0.8</v>
      </c>
      <c r="O62" s="581">
        <v>0.8</v>
      </c>
      <c r="P62" s="581">
        <v>0.8</v>
      </c>
      <c r="Q62" s="581">
        <v>0.8</v>
      </c>
      <c r="R62" s="581">
        <v>0.8</v>
      </c>
      <c r="S62" s="581">
        <v>0.8</v>
      </c>
      <c r="T62" s="581">
        <v>0.8</v>
      </c>
      <c r="U62" s="581">
        <v>0.8</v>
      </c>
      <c r="V62" s="581">
        <v>0.8</v>
      </c>
      <c r="W62" s="581">
        <v>0.8</v>
      </c>
      <c r="X62" s="581">
        <v>0.8</v>
      </c>
      <c r="Y62" s="581">
        <v>0.8</v>
      </c>
      <c r="Z62" s="581">
        <v>0.8</v>
      </c>
    </row>
    <row r="63" spans="2:26">
      <c r="B63" s="519"/>
      <c r="C63" s="564" t="s">
        <v>388</v>
      </c>
      <c r="D63" s="519"/>
      <c r="E63" s="521" t="s">
        <v>380</v>
      </c>
      <c r="F63" s="519"/>
      <c r="G63" s="519"/>
      <c r="H63" s="527">
        <f>H59*H62</f>
        <v>-11631.8</v>
      </c>
      <c r="I63" s="527">
        <f t="shared" ref="I63:Z63" si="11">I59*I62</f>
        <v>36657.599999999999</v>
      </c>
      <c r="J63" s="527">
        <f t="shared" si="11"/>
        <v>-112310.12</v>
      </c>
      <c r="K63" s="527">
        <f t="shared" si="11"/>
        <v>-166614.08000000002</v>
      </c>
      <c r="L63" s="527">
        <f t="shared" si="11"/>
        <v>-25196.119999999995</v>
      </c>
      <c r="M63" s="527">
        <f t="shared" si="11"/>
        <v>-41937.120000000003</v>
      </c>
      <c r="N63" s="527">
        <f t="shared" si="11"/>
        <v>119621.50931200001</v>
      </c>
      <c r="O63" s="527">
        <f t="shared" si="11"/>
        <v>192224.81832768003</v>
      </c>
      <c r="P63" s="527">
        <f t="shared" si="11"/>
        <v>280965.05607506976</v>
      </c>
      <c r="Q63" s="527">
        <f t="shared" si="11"/>
        <v>488659.26197205012</v>
      </c>
      <c r="R63" s="527">
        <f t="shared" si="11"/>
        <v>666631.50898826541</v>
      </c>
      <c r="S63" s="527">
        <f t="shared" si="11"/>
        <v>807136.19601888792</v>
      </c>
      <c r="T63" s="527">
        <f t="shared" si="11"/>
        <v>916362.92047443078</v>
      </c>
      <c r="U63" s="527">
        <f t="shared" si="11"/>
        <v>1010327.1651363974</v>
      </c>
      <c r="V63" s="527">
        <f t="shared" si="11"/>
        <v>1081241.7646082544</v>
      </c>
      <c r="W63" s="527">
        <f t="shared" si="11"/>
        <v>1154074.3407979989</v>
      </c>
      <c r="X63" s="527">
        <f t="shared" si="11"/>
        <v>1132302.3533904678</v>
      </c>
      <c r="Y63" s="527">
        <f t="shared" si="11"/>
        <v>1150009.0301308071</v>
      </c>
      <c r="Z63" s="527">
        <f t="shared" si="11"/>
        <v>1147074.9494761867</v>
      </c>
    </row>
    <row r="64" spans="2:26">
      <c r="B64" s="519"/>
      <c r="C64" s="529"/>
      <c r="D64" s="519"/>
      <c r="E64" s="523"/>
      <c r="F64" s="519"/>
      <c r="G64" s="519"/>
      <c r="H64" s="530"/>
      <c r="I64" s="530"/>
      <c r="J64" s="530"/>
      <c r="K64" s="530"/>
      <c r="L64" s="530"/>
      <c r="M64" s="530"/>
      <c r="N64" s="530"/>
      <c r="O64" s="530"/>
      <c r="P64" s="530"/>
      <c r="Q64" s="530"/>
      <c r="R64" s="530"/>
      <c r="S64" s="530"/>
      <c r="T64" s="530"/>
      <c r="U64" s="530"/>
      <c r="V64" s="530"/>
      <c r="W64" s="530"/>
      <c r="X64" s="530"/>
      <c r="Y64" s="530"/>
      <c r="Z64" s="530"/>
    </row>
    <row r="65" spans="2:34">
      <c r="B65" s="519"/>
      <c r="C65" s="564" t="s">
        <v>181</v>
      </c>
      <c r="D65" s="519"/>
      <c r="E65" s="521" t="s">
        <v>380</v>
      </c>
      <c r="F65" s="519"/>
      <c r="G65" s="519"/>
      <c r="H65" s="582">
        <f>Model!G87</f>
        <v>-24083</v>
      </c>
      <c r="I65" s="582">
        <f>Model!H87</f>
        <v>48657</v>
      </c>
      <c r="J65" s="582">
        <f>Model!I87</f>
        <v>-84053</v>
      </c>
      <c r="K65" s="582">
        <f>Model!J87</f>
        <v>-96795</v>
      </c>
      <c r="L65" s="582">
        <f>Model!K87</f>
        <v>-135168</v>
      </c>
      <c r="M65" s="582">
        <f>Model!L87</f>
        <v>-42074.55</v>
      </c>
      <c r="N65" s="582">
        <f>Model!M87</f>
        <v>108732.2355</v>
      </c>
      <c r="O65" s="582">
        <f>Model!N87</f>
        <v>159006.05644500002</v>
      </c>
      <c r="P65" s="582">
        <f>Model!O87</f>
        <v>247804.53466886678</v>
      </c>
      <c r="Q65" s="582">
        <f>Model!P87</f>
        <v>458254.78798968234</v>
      </c>
      <c r="R65" s="582">
        <f>Model!Q87</f>
        <v>670628.36575460841</v>
      </c>
      <c r="S65" s="582">
        <f>Model!R87</f>
        <v>821935.35687694279</v>
      </c>
      <c r="T65" s="582">
        <f>Model!S87</f>
        <v>942827.91446081433</v>
      </c>
      <c r="U65" s="582">
        <f>Model!T87</f>
        <v>1049399.4233290437</v>
      </c>
      <c r="V65" s="582">
        <f>Model!U87</f>
        <v>1133018.4075912877</v>
      </c>
      <c r="W65" s="582">
        <f>Model!V87</f>
        <v>1219265.724215748</v>
      </c>
      <c r="X65" s="582">
        <f>X45*(W65/W45)</f>
        <v>1258524.1764537746</v>
      </c>
      <c r="Y65" s="582">
        <f t="shared" ref="Y65:Z65" si="12">Y45*(X65/X45)</f>
        <v>1278004.7017882606</v>
      </c>
      <c r="Z65" s="582">
        <f t="shared" si="12"/>
        <v>1274785.3179081425</v>
      </c>
    </row>
    <row r="66" spans="2:34">
      <c r="B66" s="519"/>
      <c r="C66" s="531"/>
      <c r="D66" s="519"/>
      <c r="E66" s="521"/>
      <c r="F66" s="519"/>
      <c r="G66" s="519"/>
      <c r="H66" s="527"/>
      <c r="I66" s="527"/>
      <c r="J66" s="527"/>
      <c r="K66" s="527"/>
      <c r="L66" s="527"/>
      <c r="M66" s="527"/>
      <c r="N66" s="527"/>
      <c r="O66" s="527"/>
      <c r="P66" s="527"/>
      <c r="Q66" s="527"/>
      <c r="R66" s="527"/>
      <c r="S66" s="527"/>
      <c r="T66" s="527"/>
      <c r="U66" s="527"/>
      <c r="V66" s="527"/>
      <c r="W66" s="527"/>
      <c r="X66" s="527"/>
      <c r="Y66" s="527"/>
      <c r="Z66" s="527"/>
    </row>
    <row r="67" spans="2:34">
      <c r="B67" s="519"/>
      <c r="C67" s="568" t="s">
        <v>400</v>
      </c>
      <c r="D67" s="566"/>
      <c r="E67" s="566"/>
      <c r="F67" s="566"/>
      <c r="G67" s="566"/>
      <c r="H67" s="566"/>
      <c r="I67" s="566"/>
      <c r="J67" s="566"/>
      <c r="K67" s="566"/>
      <c r="L67" s="566"/>
      <c r="M67" s="566"/>
      <c r="N67" s="566"/>
      <c r="O67" s="566"/>
      <c r="P67" s="566"/>
      <c r="Q67" s="566"/>
      <c r="R67" s="566"/>
      <c r="S67" s="35"/>
      <c r="T67" s="567"/>
      <c r="U67" s="567"/>
      <c r="V67" s="567"/>
      <c r="W67" s="567"/>
      <c r="X67" s="35"/>
      <c r="Y67" s="35"/>
      <c r="Z67" s="35"/>
    </row>
    <row r="68" spans="2:34">
      <c r="B68" s="519"/>
      <c r="C68" s="546"/>
      <c r="D68" s="519"/>
      <c r="E68" s="523"/>
      <c r="F68" s="519"/>
      <c r="G68" s="519"/>
      <c r="H68" s="547"/>
      <c r="I68" s="547"/>
      <c r="J68" s="547"/>
      <c r="K68" s="547"/>
      <c r="L68" s="547"/>
      <c r="M68" s="547"/>
      <c r="N68" s="547"/>
      <c r="O68" s="547"/>
      <c r="P68" s="547"/>
      <c r="Q68" s="547"/>
      <c r="R68" s="547"/>
      <c r="S68" s="547"/>
      <c r="T68" s="547"/>
      <c r="U68" s="547"/>
      <c r="V68" s="547"/>
      <c r="W68" s="547"/>
      <c r="X68" s="547"/>
      <c r="Y68" s="547"/>
      <c r="Z68" s="547"/>
    </row>
    <row r="69" spans="2:34">
      <c r="B69" s="519"/>
      <c r="C69" s="564" t="s">
        <v>212</v>
      </c>
      <c r="D69" s="519"/>
      <c r="E69" s="521" t="s">
        <v>380</v>
      </c>
      <c r="F69" s="519"/>
      <c r="G69" s="519"/>
      <c r="H69" s="511"/>
      <c r="I69" s="511"/>
      <c r="J69" s="511"/>
      <c r="K69" s="511"/>
      <c r="L69" s="511"/>
      <c r="M69" s="511"/>
      <c r="N69" s="511">
        <f>Drivers!N64</f>
        <v>343439.99999999994</v>
      </c>
      <c r="O69" s="511">
        <f>Drivers!O64</f>
        <v>467078.40000000002</v>
      </c>
      <c r="P69" s="511">
        <f>Drivers!P64</f>
        <v>553838.21279999998</v>
      </c>
      <c r="Q69" s="511">
        <f>Drivers!Q64</f>
        <v>631732.87756800011</v>
      </c>
      <c r="R69" s="511">
        <f>Drivers!R64</f>
        <v>666397.19443968008</v>
      </c>
      <c r="S69" s="511">
        <f>Drivers!S64</f>
        <v>685342.70145515527</v>
      </c>
      <c r="T69" s="511">
        <f>Drivers!T64</f>
        <v>704779.46987347351</v>
      </c>
      <c r="U69" s="511">
        <f>Drivers!U64</f>
        <v>742482.30655450979</v>
      </c>
      <c r="V69" s="511">
        <f>Drivers!V64</f>
        <v>772181.59881669015</v>
      </c>
      <c r="W69" s="511">
        <f>Drivers!W64</f>
        <v>805653.18021701043</v>
      </c>
      <c r="X69" s="511">
        <f>Drivers!X64</f>
        <v>825794.50972243561</v>
      </c>
      <c r="Y69" s="511">
        <f>Drivers!Y64</f>
        <v>842310.39991688426</v>
      </c>
      <c r="Z69" s="511">
        <f>Drivers!Z64</f>
        <v>843927.63588472456</v>
      </c>
    </row>
    <row r="70" spans="2:34">
      <c r="B70" s="519"/>
      <c r="C70" s="565"/>
      <c r="D70" s="519"/>
      <c r="E70" s="519"/>
      <c r="F70" s="519"/>
      <c r="G70" s="519"/>
      <c r="H70" s="511"/>
      <c r="I70" s="511"/>
      <c r="J70" s="511"/>
      <c r="K70" s="511"/>
      <c r="L70" s="511"/>
      <c r="M70" s="511"/>
      <c r="N70" s="511"/>
      <c r="O70" s="511"/>
      <c r="P70" s="511"/>
      <c r="Q70" s="511"/>
      <c r="R70" s="511"/>
      <c r="S70" s="511"/>
      <c r="T70" s="511"/>
      <c r="U70" s="511"/>
      <c r="V70" s="511"/>
      <c r="W70" s="511"/>
      <c r="X70" s="511"/>
      <c r="Y70" s="511"/>
      <c r="Z70" s="511"/>
    </row>
    <row r="71" spans="2:34">
      <c r="B71" s="519"/>
      <c r="C71" s="522" t="s">
        <v>178</v>
      </c>
      <c r="D71" s="519"/>
      <c r="E71" s="523" t="s">
        <v>380</v>
      </c>
      <c r="F71" s="519"/>
      <c r="G71" s="519"/>
      <c r="H71" s="524"/>
      <c r="I71" s="524"/>
      <c r="J71" s="524"/>
      <c r="K71" s="524"/>
      <c r="L71" s="524"/>
      <c r="M71" s="524"/>
      <c r="N71" s="524">
        <f>N47*Drivers!N80</f>
        <v>-30909.599999999995</v>
      </c>
      <c r="O71" s="524">
        <f>O47*Drivers!O80</f>
        <v>-42037.056000000004</v>
      </c>
      <c r="P71" s="524">
        <f>P47*Drivers!P80</f>
        <v>-49845.439151999992</v>
      </c>
      <c r="Q71" s="524">
        <f>Q47*Drivers!Q80</f>
        <v>-56855.958981120013</v>
      </c>
      <c r="R71" s="524">
        <f>R47*Drivers!R80</f>
        <v>-59975.747499571196</v>
      </c>
      <c r="S71" s="524">
        <f>S47*Drivers!S80</f>
        <v>-61680.843130963971</v>
      </c>
      <c r="T71" s="524">
        <f>T47*Drivers!T80</f>
        <v>-63430.152288612604</v>
      </c>
      <c r="U71" s="524">
        <f>U47*Drivers!U80</f>
        <v>-66823.407589905881</v>
      </c>
      <c r="V71" s="524">
        <f>V47*Drivers!V80</f>
        <v>-69496.343893502126</v>
      </c>
      <c r="W71" s="524">
        <f>W47*Drivers!W80</f>
        <v>-72508.786219530943</v>
      </c>
      <c r="X71" s="524">
        <f>X47*Drivers!X80</f>
        <v>-74321.505875019197</v>
      </c>
      <c r="Y71" s="524">
        <f>Y47*Drivers!Y80</f>
        <v>-75807.935992519589</v>
      </c>
      <c r="Z71" s="524">
        <f>Z47*Drivers!Z80</f>
        <v>-75953.4872296252</v>
      </c>
    </row>
    <row r="72" spans="2:34">
      <c r="B72" s="519"/>
      <c r="C72" s="522" t="s">
        <v>179</v>
      </c>
      <c r="D72" s="519"/>
      <c r="E72" s="523" t="s">
        <v>380</v>
      </c>
      <c r="F72" s="519"/>
      <c r="G72" s="519"/>
      <c r="H72" s="524"/>
      <c r="I72" s="524"/>
      <c r="J72" s="524"/>
      <c r="K72" s="524"/>
      <c r="L72" s="524"/>
      <c r="M72" s="524"/>
      <c r="N72" s="524">
        <f>NPV!N$48*Drivers!N80</f>
        <v>-111068.49599999998</v>
      </c>
      <c r="O72" s="524">
        <f>NPV!O$48*Drivers!O80</f>
        <v>-145728.4608</v>
      </c>
      <c r="P72" s="524">
        <f>NPV!P$48*Drivers!P80</f>
        <v>-168366.81669119996</v>
      </c>
      <c r="Q72" s="524">
        <f>NPV!Q$48*Drivers!Q80</f>
        <v>-186487.54545807358</v>
      </c>
      <c r="R72" s="524">
        <f>NPV!R$48*Drivers!R80</f>
        <v>-192588.7891930675</v>
      </c>
      <c r="S72" s="524">
        <f>NPV!S$48*Drivers!S80</f>
        <v>-186413.21479580217</v>
      </c>
      <c r="T72" s="524">
        <f>NPV!T$48*Drivers!T80</f>
        <v>-179718.76481773568</v>
      </c>
      <c r="U72" s="524">
        <f>NPV!U$48*Drivers!U80</f>
        <v>-176710.78895997323</v>
      </c>
      <c r="V72" s="524">
        <f>NPV!V$48*Drivers!V80</f>
        <v>-170652.13333848841</v>
      </c>
      <c r="W72" s="524">
        <f>NPV!W$48*Drivers!W80</f>
        <v>-164353.24876427001</v>
      </c>
      <c r="X72" s="524">
        <f>NPV!X$48*Drivers!X80</f>
        <v>-198190.68233338441</v>
      </c>
      <c r="Y72" s="524">
        <f>NPV!Y$48*Drivers!Y80</f>
        <v>-202154.4959800521</v>
      </c>
      <c r="Z72" s="524">
        <f>NPV!Z$48*Drivers!Z80</f>
        <v>-202542.63261233378</v>
      </c>
    </row>
    <row r="73" spans="2:34">
      <c r="B73" s="519"/>
      <c r="C73" s="525" t="s">
        <v>180</v>
      </c>
      <c r="D73" s="519"/>
      <c r="E73" s="523" t="s">
        <v>380</v>
      </c>
      <c r="F73" s="519"/>
      <c r="G73" s="519"/>
      <c r="H73" s="524"/>
      <c r="I73" s="524"/>
      <c r="J73" s="524"/>
      <c r="K73" s="524"/>
      <c r="L73" s="524"/>
      <c r="M73" s="524"/>
      <c r="N73" s="526">
        <f>N$49*Drivers!N80</f>
        <v>-5288.9759999999997</v>
      </c>
      <c r="O73" s="526">
        <f>O$49*Drivers!O80</f>
        <v>-5464.8172800000002</v>
      </c>
      <c r="P73" s="526">
        <f>P$49*Drivers!P80</f>
        <v>-4430.7057024000005</v>
      </c>
      <c r="Q73" s="526">
        <f>Q$49*Drivers!Q80</f>
        <v>-2590.1047980288004</v>
      </c>
      <c r="R73" s="526">
        <f>R$49*Drivers!R80</f>
        <v>-1699.3128458211841</v>
      </c>
      <c r="S73" s="526">
        <f>S$49*Drivers!S80</f>
        <v>-873.81194435532291</v>
      </c>
      <c r="T73" s="526">
        <f>T$49*Drivers!T80</f>
        <v>-898.59382408867873</v>
      </c>
      <c r="U73" s="526">
        <f>U$49*Drivers!U80</f>
        <v>-946.66494085700003</v>
      </c>
      <c r="V73" s="526">
        <f>V$49*Drivers!V80</f>
        <v>-984.53153849127989</v>
      </c>
      <c r="W73" s="526">
        <f>W$49*Drivers!W80</f>
        <v>-1027.2078047766884</v>
      </c>
      <c r="X73" s="526">
        <f>X$49*Drivers!X80</f>
        <v>-1238.6917645836534</v>
      </c>
      <c r="Y73" s="526">
        <f>Y$49*Drivers!Y80</f>
        <v>-1263.4655998753265</v>
      </c>
      <c r="Z73" s="526">
        <f>Z$49*Drivers!Z80</f>
        <v>-1265.8914538270869</v>
      </c>
    </row>
    <row r="74" spans="2:34">
      <c r="B74" s="519"/>
      <c r="C74" s="564" t="s">
        <v>381</v>
      </c>
      <c r="D74" s="519"/>
      <c r="E74" s="521" t="s">
        <v>380</v>
      </c>
      <c r="F74" s="519"/>
      <c r="G74" s="519"/>
      <c r="H74" s="527"/>
      <c r="I74" s="527"/>
      <c r="J74" s="527"/>
      <c r="K74" s="527"/>
      <c r="L74" s="527"/>
      <c r="M74" s="527"/>
      <c r="N74" s="527">
        <f t="shared" ref="N74:Z74" si="13">SUM(N69:N73)</f>
        <v>196172.92799999999</v>
      </c>
      <c r="O74" s="527">
        <f t="shared" si="13"/>
        <v>273848.06592000002</v>
      </c>
      <c r="P74" s="527">
        <f t="shared" si="13"/>
        <v>331195.25125440001</v>
      </c>
      <c r="Q74" s="527">
        <f t="shared" si="13"/>
        <v>385799.26833077765</v>
      </c>
      <c r="R74" s="527">
        <f t="shared" si="13"/>
        <v>412133.34490122023</v>
      </c>
      <c r="S74" s="527">
        <f t="shared" si="13"/>
        <v>436374.83158403385</v>
      </c>
      <c r="T74" s="527">
        <f t="shared" si="13"/>
        <v>460731.95894303662</v>
      </c>
      <c r="U74" s="527">
        <f t="shared" si="13"/>
        <v>498001.44506377366</v>
      </c>
      <c r="V74" s="527">
        <f t="shared" si="13"/>
        <v>531048.59004620835</v>
      </c>
      <c r="W74" s="527">
        <f t="shared" si="13"/>
        <v>567763.93742843275</v>
      </c>
      <c r="X74" s="527">
        <f t="shared" si="13"/>
        <v>552043.62974944827</v>
      </c>
      <c r="Y74" s="527">
        <f t="shared" si="13"/>
        <v>563084.50234443729</v>
      </c>
      <c r="Z74" s="527">
        <f t="shared" si="13"/>
        <v>564165.62458893855</v>
      </c>
      <c r="AC74" s="572"/>
      <c r="AD74" s="112"/>
      <c r="AE74" s="112"/>
      <c r="AF74" s="112"/>
      <c r="AG74" s="112"/>
    </row>
    <row r="75" spans="2:34">
      <c r="B75" s="519"/>
      <c r="C75" s="565"/>
      <c r="D75" s="519"/>
      <c r="E75" s="519"/>
      <c r="F75" s="519"/>
      <c r="G75" s="519"/>
      <c r="H75" s="527"/>
      <c r="I75" s="527"/>
      <c r="J75" s="527"/>
      <c r="K75" s="527"/>
      <c r="L75" s="527"/>
      <c r="M75" s="527"/>
      <c r="N75" s="527"/>
      <c r="O75" s="527"/>
      <c r="P75" s="527"/>
      <c r="Q75" s="527"/>
      <c r="R75" s="527"/>
      <c r="S75" s="527"/>
      <c r="T75" s="527"/>
      <c r="U75" s="527"/>
      <c r="V75" s="527"/>
      <c r="W75" s="527"/>
      <c r="X75" s="527"/>
      <c r="Y75" s="527"/>
      <c r="Z75" s="527"/>
      <c r="AB75" s="574"/>
      <c r="AC75" s="575"/>
      <c r="AD75" s="575"/>
      <c r="AE75" s="575"/>
      <c r="AF75" s="575"/>
      <c r="AG75" s="575"/>
      <c r="AH75" s="575"/>
    </row>
    <row r="76" spans="2:34">
      <c r="B76" s="519"/>
      <c r="C76" s="525" t="s">
        <v>382</v>
      </c>
      <c r="D76" s="519"/>
      <c r="E76" s="523" t="s">
        <v>380</v>
      </c>
      <c r="F76" s="519"/>
      <c r="G76" s="519"/>
      <c r="H76" s="524"/>
      <c r="I76" s="524"/>
      <c r="J76" s="524"/>
      <c r="K76" s="524"/>
      <c r="L76" s="524"/>
      <c r="M76" s="524"/>
      <c r="N76" s="526">
        <f t="shared" ref="N76:Z76" si="14">N74*-Tax_Rate</f>
        <v>-23540.751359999998</v>
      </c>
      <c r="O76" s="526">
        <f t="shared" si="14"/>
        <v>-32861.767910399998</v>
      </c>
      <c r="P76" s="526">
        <f t="shared" si="14"/>
        <v>-39743.430150528002</v>
      </c>
      <c r="Q76" s="526">
        <f t="shared" si="14"/>
        <v>-46295.912199693317</v>
      </c>
      <c r="R76" s="526">
        <f t="shared" si="14"/>
        <v>-49456.001388146426</v>
      </c>
      <c r="S76" s="526">
        <f t="shared" si="14"/>
        <v>-52364.979790084057</v>
      </c>
      <c r="T76" s="526">
        <f t="shared" si="14"/>
        <v>-55287.835073164395</v>
      </c>
      <c r="U76" s="526">
        <f t="shared" si="14"/>
        <v>-59760.173407652837</v>
      </c>
      <c r="V76" s="526">
        <f t="shared" si="14"/>
        <v>-63725.830805545003</v>
      </c>
      <c r="W76" s="526">
        <f t="shared" si="14"/>
        <v>-68131.672491411926</v>
      </c>
      <c r="X76" s="526">
        <f t="shared" si="14"/>
        <v>-66245.235569933793</v>
      </c>
      <c r="Y76" s="526">
        <f t="shared" si="14"/>
        <v>-67570.140281332468</v>
      </c>
      <c r="Z76" s="526">
        <f t="shared" si="14"/>
        <v>-67699.874950672616</v>
      </c>
      <c r="AB76" s="574"/>
    </row>
    <row r="77" spans="2:34">
      <c r="B77" s="519"/>
      <c r="C77" s="564" t="s">
        <v>383</v>
      </c>
      <c r="D77" s="519"/>
      <c r="E77" s="521" t="s">
        <v>380</v>
      </c>
      <c r="F77" s="519"/>
      <c r="G77" s="519"/>
      <c r="H77" s="527"/>
      <c r="I77" s="527"/>
      <c r="J77" s="527"/>
      <c r="K77" s="527"/>
      <c r="L77" s="527"/>
      <c r="M77" s="527"/>
      <c r="N77" s="527">
        <f t="shared" ref="N77:O77" si="15">SUM(N74:N76)</f>
        <v>172632.17663999999</v>
      </c>
      <c r="O77" s="527">
        <f t="shared" si="15"/>
        <v>240986.29800960002</v>
      </c>
      <c r="P77" s="527">
        <f t="shared" ref="P77" si="16">SUM(P74:P76)</f>
        <v>291451.82110387203</v>
      </c>
      <c r="Q77" s="527">
        <f t="shared" ref="Q77" si="17">SUM(Q74:Q76)</f>
        <v>339503.35613108432</v>
      </c>
      <c r="R77" s="527">
        <f t="shared" ref="R77" si="18">SUM(R74:R76)</f>
        <v>362677.34351307381</v>
      </c>
      <c r="S77" s="527">
        <f t="shared" ref="S77" si="19">SUM(S74:S76)</f>
        <v>384009.85179394978</v>
      </c>
      <c r="T77" s="527">
        <f t="shared" ref="T77" si="20">SUM(T74:T76)</f>
        <v>405444.12386987224</v>
      </c>
      <c r="U77" s="527">
        <f t="shared" ref="U77" si="21">SUM(U74:U76)</f>
        <v>438241.27165612084</v>
      </c>
      <c r="V77" s="527">
        <f t="shared" ref="V77" si="22">SUM(V74:V76)</f>
        <v>467322.75924066338</v>
      </c>
      <c r="W77" s="527">
        <f t="shared" ref="W77" si="23">SUM(W74:W76)</f>
        <v>499632.26493702084</v>
      </c>
      <c r="X77" s="527">
        <f t="shared" ref="X77" si="24">SUM(X74:X76)</f>
        <v>485798.39417951449</v>
      </c>
      <c r="Y77" s="527">
        <f t="shared" ref="Y77" si="25">SUM(Y74:Y76)</f>
        <v>495514.36206310481</v>
      </c>
      <c r="Z77" s="527">
        <f t="shared" ref="Z77" si="26">SUM(Z74:Z76)</f>
        <v>496465.74963826593</v>
      </c>
      <c r="AB77" s="574"/>
    </row>
    <row r="78" spans="2:34">
      <c r="B78" s="519"/>
      <c r="C78" s="565"/>
      <c r="D78" s="519"/>
      <c r="E78" s="519"/>
      <c r="F78" s="519"/>
      <c r="G78" s="519"/>
      <c r="H78" s="527"/>
      <c r="I78" s="527"/>
      <c r="J78" s="527"/>
      <c r="K78" s="527"/>
      <c r="L78" s="527"/>
      <c r="M78" s="527"/>
      <c r="N78" s="527"/>
      <c r="O78" s="527"/>
      <c r="P78" s="527"/>
      <c r="Q78" s="527"/>
      <c r="R78" s="527"/>
      <c r="S78" s="527"/>
      <c r="T78" s="527"/>
      <c r="U78" s="527"/>
      <c r="V78" s="527"/>
      <c r="W78" s="527"/>
      <c r="X78" s="527"/>
      <c r="Y78" s="527"/>
      <c r="Z78" s="527"/>
      <c r="AB78" s="574"/>
    </row>
    <row r="79" spans="2:34">
      <c r="B79" s="519"/>
      <c r="C79" s="522" t="s">
        <v>500</v>
      </c>
      <c r="D79" s="519"/>
      <c r="E79" s="519"/>
      <c r="F79" s="519"/>
      <c r="G79" s="519"/>
      <c r="H79" s="527"/>
      <c r="I79" s="527"/>
      <c r="J79" s="527"/>
      <c r="K79" s="527"/>
      <c r="L79" s="527"/>
      <c r="M79" s="527"/>
      <c r="N79" s="569">
        <f t="shared" ref="N79:Z79" si="27">IF(Legal="Trial",-N69*RoyaltyJ,0)</f>
        <v>-13222.439999999997</v>
      </c>
      <c r="O79" s="569">
        <f t="shared" si="27"/>
        <v>-17982.518400000001</v>
      </c>
      <c r="P79" s="569">
        <f t="shared" si="27"/>
        <v>-21322.771192799999</v>
      </c>
      <c r="Q79" s="569">
        <f t="shared" si="27"/>
        <v>-24321.715786368004</v>
      </c>
      <c r="R79" s="569">
        <f t="shared" si="27"/>
        <v>-25656.291985927684</v>
      </c>
      <c r="S79" s="569">
        <f t="shared" si="27"/>
        <v>-26385.694006023477</v>
      </c>
      <c r="T79" s="569">
        <f t="shared" si="27"/>
        <v>-27134.009590128731</v>
      </c>
      <c r="U79" s="569">
        <f t="shared" si="27"/>
        <v>-28585.568802348625</v>
      </c>
      <c r="V79" s="569">
        <f t="shared" si="27"/>
        <v>-29728.991554442571</v>
      </c>
      <c r="W79" s="569">
        <f t="shared" si="27"/>
        <v>-31017.647438354903</v>
      </c>
      <c r="X79" s="569">
        <f t="shared" si="27"/>
        <v>-31793.088624313772</v>
      </c>
      <c r="Y79" s="569">
        <f t="shared" si="27"/>
        <v>-32428.950396800043</v>
      </c>
      <c r="Z79" s="569">
        <f t="shared" si="27"/>
        <v>-32491.213981561894</v>
      </c>
      <c r="AB79" s="574"/>
    </row>
    <row r="80" spans="2:34">
      <c r="B80" s="519"/>
      <c r="C80" s="522" t="s">
        <v>408</v>
      </c>
      <c r="D80" s="519"/>
      <c r="E80" s="523" t="s">
        <v>380</v>
      </c>
      <c r="F80" s="519"/>
      <c r="G80" s="519"/>
      <c r="H80" s="527"/>
      <c r="I80" s="527"/>
      <c r="J80" s="527"/>
      <c r="K80" s="527"/>
      <c r="L80" s="527"/>
      <c r="M80" s="527"/>
      <c r="N80" s="569">
        <f>N$55*Drivers!N80</f>
        <v>-23429.739999999998</v>
      </c>
      <c r="O80" s="569">
        <f>O$55*Drivers!O80</f>
        <v>-1013.5026000000071</v>
      </c>
      <c r="P80" s="569">
        <f>P$55*Drivers!P80</f>
        <v>-834.89352144289717</v>
      </c>
      <c r="Q80" s="569">
        <f>Q$55*Drivers!Q80</f>
        <v>-561.7165734539484</v>
      </c>
      <c r="R80" s="569">
        <f>R$55*Drivers!R80</f>
        <v>-438.64407426285777</v>
      </c>
      <c r="S80" s="569">
        <f>S$55*Drivers!S80</f>
        <v>-381.02361726880378</v>
      </c>
      <c r="T80" s="569">
        <f>T$55*Drivers!T80</f>
        <v>-351.29022490358579</v>
      </c>
      <c r="U80" s="569">
        <f>U$55*Drivers!U80</f>
        <v>-341.02697404464936</v>
      </c>
      <c r="V80" s="569">
        <f>V$55*Drivers!V80</f>
        <v>-336.28810759058194</v>
      </c>
      <c r="W80" s="569">
        <f>W$55*Drivers!W80</f>
        <v>-333.35232069755085</v>
      </c>
      <c r="X80" s="569">
        <f>X$55*Drivers!X80</f>
        <v>-327.71728270845551</v>
      </c>
      <c r="Y80" s="569">
        <f>Y$55*Drivers!Y80</f>
        <v>-325.88458865307041</v>
      </c>
      <c r="Z80" s="569">
        <f>Z$55*Drivers!Z80</f>
        <v>-324.06151798681179</v>
      </c>
      <c r="AB80" s="574"/>
    </row>
    <row r="81" spans="2:33">
      <c r="B81" s="519"/>
      <c r="C81" s="522" t="s">
        <v>384</v>
      </c>
      <c r="D81" s="519"/>
      <c r="E81" s="523" t="s">
        <v>380</v>
      </c>
      <c r="F81" s="519"/>
      <c r="G81" s="519"/>
      <c r="H81" s="527"/>
      <c r="I81" s="527"/>
      <c r="J81" s="527"/>
      <c r="K81" s="527"/>
      <c r="L81" s="527"/>
      <c r="M81" s="527"/>
      <c r="N81" s="527">
        <f>Model!M178</f>
        <v>0</v>
      </c>
      <c r="O81" s="527">
        <f>Model!N178</f>
        <v>0</v>
      </c>
      <c r="P81" s="527">
        <f>Model!O178</f>
        <v>0</v>
      </c>
      <c r="Q81" s="527">
        <f>Model!P178</f>
        <v>0</v>
      </c>
      <c r="R81" s="527">
        <f>Model!Q178</f>
        <v>0</v>
      </c>
      <c r="S81" s="527">
        <f>Model!R178</f>
        <v>0</v>
      </c>
      <c r="T81" s="527">
        <f>Model!S178</f>
        <v>0</v>
      </c>
      <c r="U81" s="527">
        <f>Model!T178</f>
        <v>0</v>
      </c>
      <c r="V81" s="527">
        <f>Model!U178</f>
        <v>0</v>
      </c>
      <c r="W81" s="527">
        <f>Model!V178</f>
        <v>0</v>
      </c>
      <c r="X81" s="527">
        <f>Model!W178</f>
        <v>0</v>
      </c>
      <c r="Y81" s="527">
        <f>Model!X178</f>
        <v>0</v>
      </c>
      <c r="Z81" s="527">
        <f>Model!Y178</f>
        <v>0</v>
      </c>
      <c r="AB81" s="574"/>
    </row>
    <row r="82" spans="2:33">
      <c r="B82" s="519"/>
      <c r="C82" s="525" t="s">
        <v>385</v>
      </c>
      <c r="D82" s="519"/>
      <c r="E82" s="523" t="s">
        <v>380</v>
      </c>
      <c r="F82" s="519"/>
      <c r="G82" s="519"/>
      <c r="H82" s="569"/>
      <c r="I82" s="569"/>
      <c r="J82" s="569"/>
      <c r="K82" s="569"/>
      <c r="L82" s="569"/>
      <c r="M82" s="569"/>
      <c r="N82" s="528">
        <f>N$58*Drivers!N80</f>
        <v>324.45000000000027</v>
      </c>
      <c r="O82" s="528">
        <f>O$58*Drivers!O80</f>
        <v>308.22750000000025</v>
      </c>
      <c r="P82" s="528">
        <f>P$58*Drivers!P80</f>
        <v>243.64977708210716</v>
      </c>
      <c r="Q82" s="528">
        <f>Q$58*Drivers!Q80</f>
        <v>157.30429329092786</v>
      </c>
      <c r="R82" s="528">
        <f>R$58*Drivers!R80</f>
        <v>117.87562689841563</v>
      </c>
      <c r="S82" s="528">
        <f>S$58*Drivers!S80</f>
        <v>98.254410671726987</v>
      </c>
      <c r="T82" s="528">
        <f>T$58*Drivers!T80</f>
        <v>86.926988714520945</v>
      </c>
      <c r="U82" s="528">
        <f>U$58*Drivers!U80</f>
        <v>80.977751260377232</v>
      </c>
      <c r="V82" s="528">
        <f>V$58*Drivers!V80</f>
        <v>76.626131533374462</v>
      </c>
      <c r="W82" s="528">
        <f>W$58*Drivers!W80</f>
        <v>72.888210028808331</v>
      </c>
      <c r="X82" s="528">
        <f>X$58*Drivers!X80</f>
        <v>68.760900888279011</v>
      </c>
      <c r="Y82" s="528">
        <f>Y$58*Drivers!Y80</f>
        <v>65.613687574282551</v>
      </c>
      <c r="Z82" s="528">
        <f>Z$58*Drivers!Z80</f>
        <v>62.610402576740782</v>
      </c>
      <c r="AB82" s="572"/>
      <c r="AC82" s="573"/>
      <c r="AD82" s="573"/>
      <c r="AE82" s="573"/>
      <c r="AF82" s="573"/>
      <c r="AG82" s="112"/>
    </row>
    <row r="83" spans="2:33">
      <c r="B83" s="519"/>
      <c r="C83" s="564" t="s">
        <v>386</v>
      </c>
      <c r="D83" s="519"/>
      <c r="E83" s="521" t="s">
        <v>380</v>
      </c>
      <c r="F83" s="519"/>
      <c r="G83" s="519"/>
      <c r="H83" s="527"/>
      <c r="I83" s="527"/>
      <c r="J83" s="527"/>
      <c r="K83" s="527"/>
      <c r="L83" s="527"/>
      <c r="M83" s="527"/>
      <c r="N83" s="527">
        <f t="shared" ref="N83:Z83" si="28">SUM(N77:N82)</f>
        <v>136304.44664000001</v>
      </c>
      <c r="O83" s="527">
        <f t="shared" si="28"/>
        <v>222298.50450960002</v>
      </c>
      <c r="P83" s="527">
        <f t="shared" si="28"/>
        <v>269537.80616671121</v>
      </c>
      <c r="Q83" s="527">
        <f t="shared" si="28"/>
        <v>314777.22806455329</v>
      </c>
      <c r="R83" s="527">
        <f t="shared" si="28"/>
        <v>336700.28307978169</v>
      </c>
      <c r="S83" s="527">
        <f t="shared" si="28"/>
        <v>357341.3885813292</v>
      </c>
      <c r="T83" s="527">
        <f t="shared" si="28"/>
        <v>378045.75104355445</v>
      </c>
      <c r="U83" s="527">
        <f t="shared" si="28"/>
        <v>409395.65363098797</v>
      </c>
      <c r="V83" s="527">
        <f t="shared" si="28"/>
        <v>437334.1057101636</v>
      </c>
      <c r="W83" s="527">
        <f t="shared" si="28"/>
        <v>468354.15338799718</v>
      </c>
      <c r="X83" s="527">
        <f t="shared" si="28"/>
        <v>453746.34917338059</v>
      </c>
      <c r="Y83" s="527">
        <f t="shared" si="28"/>
        <v>462825.14076522598</v>
      </c>
      <c r="Z83" s="527">
        <f t="shared" si="28"/>
        <v>463713.08454129397</v>
      </c>
      <c r="AB83" s="572"/>
      <c r="AC83" s="573"/>
      <c r="AD83" s="573"/>
      <c r="AE83" s="573"/>
      <c r="AF83" s="573"/>
      <c r="AG83" s="112"/>
    </row>
    <row r="84" spans="2:33">
      <c r="C84" s="529" t="s">
        <v>387</v>
      </c>
      <c r="D84" s="519"/>
      <c r="E84" s="523" t="s">
        <v>15</v>
      </c>
      <c r="F84" s="519"/>
      <c r="G84" s="519"/>
      <c r="H84" s="570"/>
      <c r="I84" s="570"/>
      <c r="J84" s="570"/>
      <c r="K84" s="570"/>
      <c r="L84" s="570"/>
      <c r="M84" s="570"/>
      <c r="N84" s="530">
        <f t="shared" ref="N84:Z84" si="29">N83/N69</f>
        <v>0.39687994013510375</v>
      </c>
      <c r="O84" s="530">
        <f t="shared" si="29"/>
        <v>0.47593402844062155</v>
      </c>
      <c r="P84" s="530">
        <f t="shared" si="29"/>
        <v>0.48667246126631153</v>
      </c>
      <c r="Q84" s="530">
        <f t="shared" si="29"/>
        <v>0.49827583657884023</v>
      </c>
      <c r="R84" s="530">
        <f t="shared" si="29"/>
        <v>0.50525465276438619</v>
      </c>
      <c r="S84" s="530">
        <f t="shared" si="29"/>
        <v>0.52140540465755802</v>
      </c>
      <c r="T84" s="530">
        <f t="shared" si="29"/>
        <v>0.53640289935151431</v>
      </c>
      <c r="U84" s="530">
        <f t="shared" si="29"/>
        <v>0.55138775701038467</v>
      </c>
      <c r="V84" s="530">
        <f t="shared" si="29"/>
        <v>0.56636172939156415</v>
      </c>
      <c r="W84" s="530">
        <f t="shared" si="29"/>
        <v>0.58133470442187229</v>
      </c>
      <c r="X84" s="530">
        <f t="shared" si="29"/>
        <v>0.54946641547168062</v>
      </c>
      <c r="Y84" s="530">
        <f t="shared" si="29"/>
        <v>0.54947100357646739</v>
      </c>
      <c r="Z84" s="530">
        <f t="shared" si="29"/>
        <v>0.54947019723458179</v>
      </c>
      <c r="AC84" s="572"/>
      <c r="AD84" s="112"/>
      <c r="AE84" s="112"/>
      <c r="AF84" s="112"/>
      <c r="AG84" s="112"/>
    </row>
    <row r="85" spans="2:33">
      <c r="B85" s="27"/>
      <c r="D85" s="90"/>
      <c r="G85" s="91"/>
      <c r="H85" s="91"/>
      <c r="I85" s="91"/>
      <c r="J85" s="91"/>
      <c r="K85" s="91"/>
      <c r="L85" s="91"/>
      <c r="M85" s="91"/>
      <c r="N85" s="91"/>
      <c r="O85" s="91"/>
      <c r="P85" s="91"/>
      <c r="Q85" s="91"/>
      <c r="R85" s="91"/>
      <c r="S85" s="91"/>
      <c r="T85" s="91"/>
      <c r="U85" s="91"/>
      <c r="V85" s="91"/>
      <c r="W85" s="91"/>
      <c r="X85" s="91"/>
      <c r="Y85" s="91"/>
      <c r="Z85" s="91"/>
    </row>
    <row r="86" spans="2:33">
      <c r="B86" s="27"/>
      <c r="C86" s="568" t="s">
        <v>403</v>
      </c>
      <c r="D86" s="566"/>
      <c r="E86" s="566"/>
      <c r="F86" s="566"/>
      <c r="G86" s="566"/>
      <c r="H86" s="566"/>
      <c r="I86" s="566"/>
      <c r="J86" s="566"/>
      <c r="K86" s="566"/>
      <c r="L86" s="566"/>
      <c r="M86" s="566"/>
      <c r="N86" s="566"/>
      <c r="O86" s="566"/>
      <c r="P86" s="566"/>
      <c r="Q86" s="566"/>
      <c r="R86" s="566"/>
      <c r="S86" s="35"/>
      <c r="T86" s="567"/>
      <c r="U86" s="567"/>
      <c r="V86" s="567"/>
      <c r="W86" s="567"/>
      <c r="X86" s="35"/>
      <c r="Y86" s="35"/>
      <c r="Z86" s="35"/>
    </row>
    <row r="87" spans="2:33">
      <c r="B87" s="27"/>
      <c r="C87" s="546"/>
      <c r="D87" s="519"/>
      <c r="E87" s="523"/>
      <c r="F87" s="519"/>
      <c r="G87" s="519"/>
      <c r="H87" s="547"/>
      <c r="I87" s="547"/>
      <c r="J87" s="547"/>
      <c r="K87" s="547"/>
      <c r="L87" s="547"/>
      <c r="M87" s="547"/>
      <c r="N87" s="547"/>
      <c r="O87" s="547"/>
      <c r="P87" s="547"/>
      <c r="Q87" s="547"/>
      <c r="R87" s="547"/>
      <c r="S87" s="547"/>
      <c r="T87" s="547"/>
      <c r="U87" s="547"/>
      <c r="V87" s="547"/>
      <c r="W87" s="547"/>
      <c r="X87" s="547"/>
      <c r="Y87" s="547"/>
      <c r="Z87" s="547"/>
    </row>
    <row r="88" spans="2:33">
      <c r="B88" s="27"/>
      <c r="C88" s="564" t="s">
        <v>212</v>
      </c>
      <c r="D88" s="519"/>
      <c r="E88" s="521" t="s">
        <v>380</v>
      </c>
      <c r="F88" s="519"/>
      <c r="G88" s="519"/>
      <c r="H88" s="511"/>
      <c r="I88" s="511"/>
      <c r="J88" s="511"/>
      <c r="K88" s="511"/>
      <c r="L88" s="511"/>
      <c r="M88" s="511"/>
      <c r="N88" s="511">
        <f>Drivers!N65</f>
        <v>0</v>
      </c>
      <c r="O88" s="511">
        <f>Drivers!O65</f>
        <v>0</v>
      </c>
      <c r="P88" s="511">
        <f>Drivers!P65</f>
        <v>68832.922972922213</v>
      </c>
      <c r="Q88" s="511">
        <f>Drivers!Q65</f>
        <v>195418.69530927253</v>
      </c>
      <c r="R88" s="511">
        <f>Drivers!R65</f>
        <v>284266.71874413185</v>
      </c>
      <c r="S88" s="511">
        <f>Drivers!S65</f>
        <v>326943.54452247714</v>
      </c>
      <c r="T88" s="511">
        <f>Drivers!T65</f>
        <v>351859.30311338109</v>
      </c>
      <c r="U88" s="511">
        <f>Drivers!U65</f>
        <v>362548.91951778263</v>
      </c>
      <c r="V88" s="511">
        <f>Drivers!V65</f>
        <v>369699.34217148001</v>
      </c>
      <c r="W88" s="511">
        <f>Drivers!W65</f>
        <v>373296.16877516627</v>
      </c>
      <c r="X88" s="511">
        <f>Drivers!X65</f>
        <v>373338.19874350278</v>
      </c>
      <c r="Y88" s="511">
        <f>Drivers!Y65</f>
        <v>369824.23122077889</v>
      </c>
      <c r="Z88" s="511">
        <f>Drivers!Z65</f>
        <v>366309.46767969371</v>
      </c>
    </row>
    <row r="89" spans="2:33">
      <c r="B89" s="27"/>
      <c r="C89" s="565"/>
      <c r="D89" s="519"/>
      <c r="E89" s="519"/>
      <c r="F89" s="519"/>
      <c r="G89" s="519"/>
      <c r="H89" s="511"/>
      <c r="I89" s="511"/>
      <c r="J89" s="511"/>
      <c r="K89" s="511"/>
      <c r="L89" s="511"/>
      <c r="M89" s="511"/>
      <c r="N89" s="511"/>
      <c r="O89" s="511"/>
      <c r="P89" s="511"/>
      <c r="Q89" s="511"/>
      <c r="R89" s="511"/>
      <c r="S89" s="511"/>
      <c r="T89" s="511"/>
      <c r="U89" s="511"/>
      <c r="V89" s="511"/>
      <c r="W89" s="511"/>
      <c r="X89" s="511"/>
      <c r="Y89" s="511"/>
      <c r="Z89" s="511"/>
    </row>
    <row r="90" spans="2:33">
      <c r="B90" s="27"/>
      <c r="C90" s="522" t="s">
        <v>178</v>
      </c>
      <c r="D90" s="519"/>
      <c r="E90" s="523" t="s">
        <v>380</v>
      </c>
      <c r="F90" s="519"/>
      <c r="G90" s="519"/>
      <c r="H90" s="524"/>
      <c r="I90" s="524"/>
      <c r="J90" s="524"/>
      <c r="K90" s="524"/>
      <c r="L90" s="524"/>
      <c r="M90" s="524"/>
      <c r="N90" s="524">
        <f>N47*Drivers!N81</f>
        <v>0</v>
      </c>
      <c r="O90" s="524">
        <f>O47*Drivers!O81</f>
        <v>0</v>
      </c>
      <c r="P90" s="524">
        <f>P47*Drivers!P81</f>
        <v>-6194.9630675629987</v>
      </c>
      <c r="Q90" s="524">
        <f>Q47*Drivers!Q81</f>
        <v>-17587.682577834526</v>
      </c>
      <c r="R90" s="524">
        <f>R47*Drivers!R81</f>
        <v>-25584.004686971864</v>
      </c>
      <c r="S90" s="524">
        <f>S47*Drivers!S81</f>
        <v>-29424.919007022938</v>
      </c>
      <c r="T90" s="524">
        <f>T47*Drivers!T81</f>
        <v>-31667.337280204294</v>
      </c>
      <c r="U90" s="524">
        <f>U47*Drivers!U81</f>
        <v>-32629.402756600441</v>
      </c>
      <c r="V90" s="524">
        <f>V47*Drivers!V81</f>
        <v>-33272.940795433205</v>
      </c>
      <c r="W90" s="524">
        <f>W47*Drivers!W81</f>
        <v>-33596.655189764962</v>
      </c>
      <c r="X90" s="524">
        <f>X47*Drivers!X81</f>
        <v>-33600.43788691525</v>
      </c>
      <c r="Y90" s="524">
        <f>Y47*Drivers!Y81</f>
        <v>-33284.1808098701</v>
      </c>
      <c r="Z90" s="524">
        <f>Z47*Drivers!Z81</f>
        <v>-32967.852091172434</v>
      </c>
    </row>
    <row r="91" spans="2:33">
      <c r="B91" s="27"/>
      <c r="C91" s="522" t="s">
        <v>179</v>
      </c>
      <c r="D91" s="519"/>
      <c r="E91" s="523" t="s">
        <v>380</v>
      </c>
      <c r="F91" s="519"/>
      <c r="G91" s="519"/>
      <c r="H91" s="524"/>
      <c r="I91" s="524"/>
      <c r="J91" s="524"/>
      <c r="K91" s="524"/>
      <c r="L91" s="524"/>
      <c r="M91" s="524"/>
      <c r="N91" s="524">
        <f>NPV!N$48*Drivers!N81</f>
        <v>0</v>
      </c>
      <c r="O91" s="524">
        <f>NPV!O$48*Drivers!O81</f>
        <v>0</v>
      </c>
      <c r="P91" s="524">
        <f>NPV!P$48*Drivers!P81</f>
        <v>-20925.208583768352</v>
      </c>
      <c r="Q91" s="524">
        <f>NPV!Q$48*Drivers!Q81</f>
        <v>-57687.598855297234</v>
      </c>
      <c r="R91" s="524">
        <f>NPV!R$48*Drivers!R81</f>
        <v>-82153.081717054083</v>
      </c>
      <c r="S91" s="524">
        <f>NPV!S$48*Drivers!S81</f>
        <v>-88928.644110113746</v>
      </c>
      <c r="T91" s="524">
        <f>NPV!T$48*Drivers!T81</f>
        <v>-89724.122293912151</v>
      </c>
      <c r="U91" s="524">
        <f>NPV!U$48*Drivers!U81</f>
        <v>-86286.642845232229</v>
      </c>
      <c r="V91" s="524">
        <f>NPV!V$48*Drivers!V81</f>
        <v>-81703.554619897026</v>
      </c>
      <c r="W91" s="524">
        <f>NPV!W$48*Drivers!W81</f>
        <v>-76152.418430133868</v>
      </c>
      <c r="X91" s="524">
        <f>NPV!X$48*Drivers!X81</f>
        <v>-89601.167698440608</v>
      </c>
      <c r="Y91" s="524">
        <f>NPV!Y$48*Drivers!Y81</f>
        <v>-88757.815492986876</v>
      </c>
      <c r="Z91" s="524">
        <f>NPV!Z$48*Drivers!Z81</f>
        <v>-87914.272243126426</v>
      </c>
    </row>
    <row r="92" spans="2:33">
      <c r="B92" s="27"/>
      <c r="C92" s="525" t="s">
        <v>180</v>
      </c>
      <c r="D92" s="519"/>
      <c r="E92" s="523" t="s">
        <v>380</v>
      </c>
      <c r="F92" s="519"/>
      <c r="G92" s="519"/>
      <c r="H92" s="524"/>
      <c r="I92" s="524"/>
      <c r="J92" s="524"/>
      <c r="K92" s="524"/>
      <c r="L92" s="524"/>
      <c r="M92" s="524"/>
      <c r="N92" s="526">
        <f>N$49*Drivers!N81</f>
        <v>0</v>
      </c>
      <c r="O92" s="526">
        <f>O$49*Drivers!O81</f>
        <v>0</v>
      </c>
      <c r="P92" s="526">
        <f>P$49*Drivers!P81</f>
        <v>-550.66338378337775</v>
      </c>
      <c r="Q92" s="526">
        <f>Q$49*Drivers!Q81</f>
        <v>-801.2166507680173</v>
      </c>
      <c r="R92" s="526">
        <f>R$49*Drivers!R81</f>
        <v>-724.88013279753625</v>
      </c>
      <c r="S92" s="526">
        <f>S$49*Drivers!S81</f>
        <v>-416.85301926615836</v>
      </c>
      <c r="T92" s="526">
        <f>T$49*Drivers!T81</f>
        <v>-448.62061146956097</v>
      </c>
      <c r="U92" s="526">
        <f>U$49*Drivers!U81</f>
        <v>-462.24987238517292</v>
      </c>
      <c r="V92" s="526">
        <f>V$49*Drivers!V81</f>
        <v>-471.36666126863696</v>
      </c>
      <c r="W92" s="526">
        <f>W$49*Drivers!W81</f>
        <v>-475.95261518833701</v>
      </c>
      <c r="X92" s="526">
        <f>X$49*Drivers!X81</f>
        <v>-560.00729811525412</v>
      </c>
      <c r="Y92" s="526">
        <f>Y$49*Drivers!Y81</f>
        <v>-554.73634683116836</v>
      </c>
      <c r="Z92" s="526">
        <f>Z$49*Drivers!Z81</f>
        <v>-549.46420151954055</v>
      </c>
    </row>
    <row r="93" spans="2:33">
      <c r="B93" s="27"/>
      <c r="C93" s="564" t="s">
        <v>381</v>
      </c>
      <c r="D93" s="519"/>
      <c r="E93" s="521" t="s">
        <v>380</v>
      </c>
      <c r="F93" s="519"/>
      <c r="G93" s="519"/>
      <c r="H93" s="527"/>
      <c r="I93" s="527"/>
      <c r="J93" s="527"/>
      <c r="K93" s="527"/>
      <c r="L93" s="527"/>
      <c r="M93" s="527"/>
      <c r="N93" s="527">
        <f t="shared" ref="N93:Z93" si="30">SUM(N88:N92)</f>
        <v>0</v>
      </c>
      <c r="O93" s="527">
        <f t="shared" si="30"/>
        <v>0</v>
      </c>
      <c r="P93" s="527">
        <f t="shared" si="30"/>
        <v>41162.08793780749</v>
      </c>
      <c r="Q93" s="527">
        <f t="shared" si="30"/>
        <v>119342.19722537276</v>
      </c>
      <c r="R93" s="527">
        <f t="shared" si="30"/>
        <v>175804.75220730837</v>
      </c>
      <c r="S93" s="527">
        <f t="shared" si="30"/>
        <v>208173.12838607433</v>
      </c>
      <c r="T93" s="527">
        <f t="shared" si="30"/>
        <v>230019.22292779508</v>
      </c>
      <c r="U93" s="527">
        <f t="shared" si="30"/>
        <v>243170.62404356478</v>
      </c>
      <c r="V93" s="527">
        <f t="shared" si="30"/>
        <v>254251.48009488115</v>
      </c>
      <c r="W93" s="527">
        <f t="shared" si="30"/>
        <v>263071.14254007908</v>
      </c>
      <c r="X93" s="527">
        <f t="shared" si="30"/>
        <v>249576.58586003169</v>
      </c>
      <c r="Y93" s="527">
        <f t="shared" si="30"/>
        <v>247227.49857109072</v>
      </c>
      <c r="Z93" s="527">
        <f t="shared" si="30"/>
        <v>244877.87914387535</v>
      </c>
    </row>
    <row r="94" spans="2:33">
      <c r="B94" s="27"/>
      <c r="C94" s="565"/>
      <c r="D94" s="519"/>
      <c r="E94" s="519"/>
      <c r="F94" s="519"/>
      <c r="G94" s="519"/>
      <c r="H94" s="527"/>
      <c r="I94" s="527"/>
      <c r="J94" s="527"/>
      <c r="K94" s="527"/>
      <c r="L94" s="527"/>
      <c r="M94" s="527"/>
      <c r="N94" s="527"/>
      <c r="O94" s="527"/>
      <c r="P94" s="527"/>
      <c r="Q94" s="527"/>
      <c r="R94" s="527"/>
      <c r="S94" s="527"/>
      <c r="T94" s="527"/>
      <c r="U94" s="527"/>
      <c r="V94" s="527"/>
      <c r="W94" s="527"/>
      <c r="X94" s="527"/>
      <c r="Y94" s="527"/>
      <c r="Z94" s="527"/>
    </row>
    <row r="95" spans="2:33">
      <c r="B95" s="27"/>
      <c r="C95" s="525" t="s">
        <v>382</v>
      </c>
      <c r="D95" s="519"/>
      <c r="E95" s="523" t="s">
        <v>380</v>
      </c>
      <c r="F95" s="519"/>
      <c r="G95" s="519"/>
      <c r="H95" s="524"/>
      <c r="I95" s="524"/>
      <c r="J95" s="524"/>
      <c r="K95" s="524"/>
      <c r="L95" s="524"/>
      <c r="M95" s="524"/>
      <c r="N95" s="526">
        <f t="shared" ref="N95" si="31">N93*-Tax_Rate</f>
        <v>0</v>
      </c>
      <c r="O95" s="526">
        <f t="shared" ref="O95:Z95" si="32">O93*-Tax_Rate</f>
        <v>0</v>
      </c>
      <c r="P95" s="526">
        <f t="shared" si="32"/>
        <v>-4939.4505525368986</v>
      </c>
      <c r="Q95" s="526">
        <f t="shared" si="32"/>
        <v>-14321.063667044731</v>
      </c>
      <c r="R95" s="526">
        <f t="shared" si="32"/>
        <v>-21096.570264877002</v>
      </c>
      <c r="S95" s="526">
        <f t="shared" si="32"/>
        <v>-24980.775406328918</v>
      </c>
      <c r="T95" s="526">
        <f t="shared" si="32"/>
        <v>-27602.306751335407</v>
      </c>
      <c r="U95" s="526">
        <f t="shared" si="32"/>
        <v>-29180.474885227773</v>
      </c>
      <c r="V95" s="526">
        <f t="shared" si="32"/>
        <v>-30510.177611385738</v>
      </c>
      <c r="W95" s="526">
        <f t="shared" si="32"/>
        <v>-31568.537104809489</v>
      </c>
      <c r="X95" s="526">
        <f t="shared" si="32"/>
        <v>-29949.190303203803</v>
      </c>
      <c r="Y95" s="526">
        <f t="shared" si="32"/>
        <v>-29667.299828530886</v>
      </c>
      <c r="Z95" s="526">
        <f t="shared" si="32"/>
        <v>-29385.34549726504</v>
      </c>
    </row>
    <row r="96" spans="2:33">
      <c r="B96" s="27"/>
      <c r="C96" s="564" t="s">
        <v>383</v>
      </c>
      <c r="D96" s="519"/>
      <c r="E96" s="521" t="s">
        <v>380</v>
      </c>
      <c r="F96" s="519"/>
      <c r="G96" s="519"/>
      <c r="H96" s="527"/>
      <c r="I96" s="527"/>
      <c r="J96" s="527"/>
      <c r="K96" s="527"/>
      <c r="L96" s="527"/>
      <c r="M96" s="527"/>
      <c r="N96" s="527">
        <f t="shared" ref="N96:O96" si="33">SUM(N93:N95)</f>
        <v>0</v>
      </c>
      <c r="O96" s="527">
        <f t="shared" si="33"/>
        <v>0</v>
      </c>
      <c r="P96" s="527">
        <f t="shared" ref="P96" si="34">SUM(P93:P95)</f>
        <v>36222.637385270587</v>
      </c>
      <c r="Q96" s="527">
        <f t="shared" ref="Q96" si="35">SUM(Q93:Q95)</f>
        <v>105021.13355832803</v>
      </c>
      <c r="R96" s="527">
        <f t="shared" ref="R96" si="36">SUM(R93:R95)</f>
        <v>154708.18194243137</v>
      </c>
      <c r="S96" s="527">
        <f t="shared" ref="S96" si="37">SUM(S93:S95)</f>
        <v>183192.35297974542</v>
      </c>
      <c r="T96" s="527">
        <f t="shared" ref="T96" si="38">SUM(T93:T95)</f>
        <v>202416.91617645966</v>
      </c>
      <c r="U96" s="527">
        <f t="shared" ref="U96" si="39">SUM(U93:U95)</f>
        <v>213990.14915833701</v>
      </c>
      <c r="V96" s="527">
        <f t="shared" ref="V96" si="40">SUM(V93:V95)</f>
        <v>223741.30248349541</v>
      </c>
      <c r="W96" s="527">
        <f t="shared" ref="W96" si="41">SUM(W93:W95)</f>
        <v>231502.60543526959</v>
      </c>
      <c r="X96" s="527">
        <f t="shared" ref="X96" si="42">SUM(X93:X95)</f>
        <v>219627.39555682789</v>
      </c>
      <c r="Y96" s="527">
        <f t="shared" ref="Y96" si="43">SUM(Y93:Y95)</f>
        <v>217560.19874255982</v>
      </c>
      <c r="Z96" s="527">
        <f t="shared" ref="Z96" si="44">SUM(Z93:Z95)</f>
        <v>215492.5336466103</v>
      </c>
    </row>
    <row r="97" spans="2:26">
      <c r="B97" s="27"/>
      <c r="C97" s="565"/>
      <c r="D97" s="519"/>
      <c r="E97" s="519"/>
      <c r="F97" s="519"/>
      <c r="G97" s="519"/>
      <c r="H97" s="527"/>
      <c r="I97" s="527"/>
      <c r="J97" s="527"/>
      <c r="K97" s="527"/>
      <c r="L97" s="527"/>
      <c r="M97" s="527"/>
      <c r="N97" s="527"/>
      <c r="O97" s="527"/>
      <c r="P97" s="527"/>
      <c r="Q97" s="527"/>
      <c r="R97" s="527"/>
      <c r="S97" s="527"/>
      <c r="T97" s="527"/>
      <c r="U97" s="527"/>
      <c r="V97" s="527"/>
      <c r="W97" s="527"/>
      <c r="X97" s="527"/>
      <c r="Y97" s="527"/>
      <c r="Z97" s="527"/>
    </row>
    <row r="98" spans="2:26">
      <c r="B98" s="27"/>
      <c r="C98" s="522" t="s">
        <v>500</v>
      </c>
      <c r="D98" s="519"/>
      <c r="E98" s="523" t="s">
        <v>380</v>
      </c>
      <c r="F98" s="519"/>
      <c r="G98" s="519"/>
      <c r="H98" s="527"/>
      <c r="I98" s="527"/>
      <c r="J98" s="527"/>
      <c r="K98" s="527"/>
      <c r="L98" s="527"/>
      <c r="M98" s="527"/>
      <c r="N98" s="569">
        <f t="shared" ref="N98:Z98" si="45">IF(Legal="trial",-N88*RoyaltyJ,0)</f>
        <v>0</v>
      </c>
      <c r="O98" s="569">
        <f t="shared" si="45"/>
        <v>0</v>
      </c>
      <c r="P98" s="569">
        <f t="shared" si="45"/>
        <v>-2650.0675344575052</v>
      </c>
      <c r="Q98" s="569">
        <f t="shared" si="45"/>
        <v>-7523.6197694069924</v>
      </c>
      <c r="R98" s="569">
        <f t="shared" si="45"/>
        <v>-10944.268671649077</v>
      </c>
      <c r="S98" s="569">
        <f t="shared" si="45"/>
        <v>-12587.326464115369</v>
      </c>
      <c r="T98" s="569">
        <f t="shared" si="45"/>
        <v>-13546.583169865171</v>
      </c>
      <c r="U98" s="569">
        <f t="shared" si="45"/>
        <v>-13958.133401434632</v>
      </c>
      <c r="V98" s="569">
        <f t="shared" si="45"/>
        <v>-14233.42467360198</v>
      </c>
      <c r="W98" s="569">
        <f t="shared" si="45"/>
        <v>-14371.902497843901</v>
      </c>
      <c r="X98" s="569">
        <f t="shared" si="45"/>
        <v>-14373.520651624856</v>
      </c>
      <c r="Y98" s="569">
        <f t="shared" si="45"/>
        <v>-14238.232901999987</v>
      </c>
      <c r="Z98" s="569">
        <f t="shared" si="45"/>
        <v>-14102.914505668208</v>
      </c>
    </row>
    <row r="99" spans="2:26">
      <c r="B99" s="27"/>
      <c r="C99" s="522" t="s">
        <v>408</v>
      </c>
      <c r="D99" s="519"/>
      <c r="E99" s="523" t="s">
        <v>380</v>
      </c>
      <c r="F99" s="519"/>
      <c r="G99" s="519"/>
      <c r="H99" s="527"/>
      <c r="I99" s="527"/>
      <c r="J99" s="527"/>
      <c r="K99" s="527"/>
      <c r="L99" s="527"/>
      <c r="M99" s="527"/>
      <c r="N99" s="569">
        <f>N$55*Drivers!N81</f>
        <v>0</v>
      </c>
      <c r="O99" s="569">
        <f>O$55*Drivers!O81</f>
        <v>0</v>
      </c>
      <c r="P99" s="569">
        <f>P$55*Drivers!P81</f>
        <v>-103.76344593763778</v>
      </c>
      <c r="Q99" s="569">
        <f>Q$55*Drivers!Q81</f>
        <v>-173.76002392110743</v>
      </c>
      <c r="R99" s="569">
        <f>R$55*Drivers!R81</f>
        <v>-187.11350036835509</v>
      </c>
      <c r="S99" s="569">
        <f>S$55*Drivers!S81</f>
        <v>-181.76776627538035</v>
      </c>
      <c r="T99" s="569">
        <f>T$55*Drivers!T81</f>
        <v>-175.38072405444632</v>
      </c>
      <c r="U99" s="569">
        <f>U$55*Drivers!U81</f>
        <v>-166.52108727015101</v>
      </c>
      <c r="V99" s="569">
        <f>V$55*Drivers!V81</f>
        <v>-161.00551003397314</v>
      </c>
      <c r="W99" s="569">
        <f>W$55*Drivers!W81</f>
        <v>-154.45746038659888</v>
      </c>
      <c r="X99" s="569">
        <f>X$55*Drivers!X81</f>
        <v>-148.15959489076027</v>
      </c>
      <c r="Y99" s="569">
        <f>Y$55*Drivers!Y81</f>
        <v>-143.0826658167986</v>
      </c>
      <c r="Z99" s="569">
        <f>Z$55*Drivers!Z81</f>
        <v>-140.65992995332735</v>
      </c>
    </row>
    <row r="100" spans="2:26">
      <c r="B100" s="27"/>
      <c r="C100" s="522" t="s">
        <v>384</v>
      </c>
      <c r="D100" s="519"/>
      <c r="E100" s="523" t="s">
        <v>380</v>
      </c>
      <c r="F100" s="519"/>
      <c r="G100" s="519"/>
      <c r="H100" s="527"/>
      <c r="I100" s="527"/>
      <c r="J100" s="527"/>
      <c r="K100" s="527"/>
      <c r="L100" s="527"/>
      <c r="M100" s="527"/>
      <c r="N100" s="527">
        <f>Model!M196</f>
        <v>0</v>
      </c>
      <c r="O100" s="527">
        <f>Model!N196</f>
        <v>0</v>
      </c>
      <c r="P100" s="527">
        <f>Model!O196</f>
        <v>0</v>
      </c>
      <c r="Q100" s="527">
        <f>Model!P196</f>
        <v>0</v>
      </c>
      <c r="R100" s="527">
        <f>Model!Q196</f>
        <v>0</v>
      </c>
      <c r="S100" s="527">
        <f>Model!R196</f>
        <v>0</v>
      </c>
      <c r="T100" s="527">
        <f>Model!S196</f>
        <v>0</v>
      </c>
      <c r="U100" s="527">
        <f>Model!T196</f>
        <v>0</v>
      </c>
      <c r="V100" s="527">
        <f>Model!U196</f>
        <v>0</v>
      </c>
      <c r="W100" s="527">
        <f>Model!V196</f>
        <v>0</v>
      </c>
      <c r="X100" s="527">
        <f>Model!W196</f>
        <v>0</v>
      </c>
      <c r="Y100" s="527">
        <f>Model!X196</f>
        <v>0</v>
      </c>
      <c r="Z100" s="527">
        <f>Model!Y196</f>
        <v>0</v>
      </c>
    </row>
    <row r="101" spans="2:26">
      <c r="B101" s="27"/>
      <c r="C101" s="525" t="s">
        <v>385</v>
      </c>
      <c r="D101" s="519"/>
      <c r="E101" s="523" t="s">
        <v>380</v>
      </c>
      <c r="F101" s="519"/>
      <c r="G101" s="519"/>
      <c r="H101" s="569"/>
      <c r="I101" s="569"/>
      <c r="J101" s="569"/>
      <c r="K101" s="569"/>
      <c r="L101" s="569"/>
      <c r="M101" s="569"/>
      <c r="N101" s="528">
        <f>N$58*Drivers!N81</f>
        <v>0</v>
      </c>
      <c r="O101" s="528">
        <f>O$58*Drivers!O81</f>
        <v>0</v>
      </c>
      <c r="P101" s="528">
        <f>P$58*Drivers!P81</f>
        <v>30.281634511049312</v>
      </c>
      <c r="Q101" s="528">
        <f>Q$58*Drivers!Q81</f>
        <v>48.660123373349961</v>
      </c>
      <c r="R101" s="528">
        <f>R$58*Drivers!R81</f>
        <v>50.282501123814647</v>
      </c>
      <c r="S101" s="528">
        <f>S$58*Drivers!S81</f>
        <v>46.872382563898221</v>
      </c>
      <c r="T101" s="528">
        <f>T$58*Drivers!T81</f>
        <v>43.398071280832134</v>
      </c>
      <c r="U101" s="528">
        <f>U$58*Drivers!U81</f>
        <v>39.540869816369373</v>
      </c>
      <c r="V101" s="528">
        <f>V$58*Drivers!V81</f>
        <v>36.686487303563467</v>
      </c>
      <c r="W101" s="528">
        <f>W$58*Drivers!W81</f>
        <v>33.772459689546345</v>
      </c>
      <c r="X101" s="528">
        <f>X$58*Drivers!X81</f>
        <v>31.086511934111929</v>
      </c>
      <c r="Y101" s="528">
        <f>Y$58*Drivers!Y81</f>
        <v>28.808301033815845</v>
      </c>
      <c r="Z101" s="528">
        <f>Z$58*Drivers!Z81</f>
        <v>27.176243867228909</v>
      </c>
    </row>
    <row r="102" spans="2:26">
      <c r="B102" s="27"/>
      <c r="C102" s="564" t="s">
        <v>386</v>
      </c>
      <c r="D102" s="519"/>
      <c r="E102" s="521" t="s">
        <v>380</v>
      </c>
      <c r="F102" s="519"/>
      <c r="G102" s="519"/>
      <c r="H102" s="527"/>
      <c r="I102" s="527"/>
      <c r="J102" s="527"/>
      <c r="K102" s="527"/>
      <c r="L102" s="527"/>
      <c r="M102" s="527"/>
      <c r="N102" s="527">
        <f t="shared" ref="N102" si="46">SUM(N96:N101)</f>
        <v>0</v>
      </c>
      <c r="O102" s="527">
        <f t="shared" ref="O102:Z102" si="47">SUM(O96:O101)</f>
        <v>0</v>
      </c>
      <c r="P102" s="527">
        <f t="shared" si="47"/>
        <v>33499.088039386494</v>
      </c>
      <c r="Q102" s="527">
        <f t="shared" si="47"/>
        <v>97372.413888373281</v>
      </c>
      <c r="R102" s="527">
        <f t="shared" si="47"/>
        <v>143627.08227153777</v>
      </c>
      <c r="S102" s="527">
        <f t="shared" si="47"/>
        <v>170470.13113191855</v>
      </c>
      <c r="T102" s="527">
        <f t="shared" si="47"/>
        <v>188738.35035382089</v>
      </c>
      <c r="U102" s="527">
        <f t="shared" si="47"/>
        <v>199905.03553944861</v>
      </c>
      <c r="V102" s="527">
        <f t="shared" si="47"/>
        <v>209383.558787163</v>
      </c>
      <c r="W102" s="527">
        <f t="shared" si="47"/>
        <v>217010.01793672866</v>
      </c>
      <c r="X102" s="527">
        <f t="shared" si="47"/>
        <v>205136.8018222464</v>
      </c>
      <c r="Y102" s="527">
        <f t="shared" si="47"/>
        <v>203207.69147577684</v>
      </c>
      <c r="Z102" s="527">
        <f t="shared" si="47"/>
        <v>201276.13545485598</v>
      </c>
    </row>
    <row r="103" spans="2:26">
      <c r="B103" s="27"/>
      <c r="C103" s="529" t="s">
        <v>387</v>
      </c>
      <c r="D103" s="519"/>
      <c r="E103" s="523" t="s">
        <v>15</v>
      </c>
      <c r="F103" s="519"/>
      <c r="G103" s="519"/>
      <c r="H103" s="570"/>
      <c r="I103" s="570"/>
      <c r="J103" s="570"/>
      <c r="K103" s="570"/>
      <c r="L103" s="570"/>
      <c r="M103" s="570"/>
      <c r="N103" s="530" t="e">
        <f t="shared" ref="N103:Z103" si="48">N102/N88</f>
        <v>#DIV/0!</v>
      </c>
      <c r="O103" s="530" t="e">
        <f t="shared" si="48"/>
        <v>#DIV/0!</v>
      </c>
      <c r="P103" s="530">
        <f t="shared" si="48"/>
        <v>0.48667246126631158</v>
      </c>
      <c r="Q103" s="530">
        <f t="shared" si="48"/>
        <v>0.49827583657884039</v>
      </c>
      <c r="R103" s="530">
        <f t="shared" si="48"/>
        <v>0.50525465276438619</v>
      </c>
      <c r="S103" s="530">
        <f t="shared" si="48"/>
        <v>0.52140540465755802</v>
      </c>
      <c r="T103" s="530">
        <f t="shared" si="48"/>
        <v>0.5364028993515142</v>
      </c>
      <c r="U103" s="530">
        <f t="shared" si="48"/>
        <v>0.55138775701038456</v>
      </c>
      <c r="V103" s="530">
        <f t="shared" si="48"/>
        <v>0.56636172939156404</v>
      </c>
      <c r="W103" s="530">
        <f t="shared" si="48"/>
        <v>0.58133470442187241</v>
      </c>
      <c r="X103" s="530">
        <f t="shared" si="48"/>
        <v>0.54946641547168074</v>
      </c>
      <c r="Y103" s="530">
        <f t="shared" si="48"/>
        <v>0.54947100357646717</v>
      </c>
      <c r="Z103" s="530">
        <f t="shared" si="48"/>
        <v>0.54947019723458179</v>
      </c>
    </row>
    <row r="104" spans="2:26">
      <c r="B104" s="27"/>
      <c r="C104" s="529"/>
      <c r="D104" s="519"/>
      <c r="E104" s="523"/>
      <c r="F104" s="519"/>
      <c r="G104" s="519"/>
      <c r="H104" s="570"/>
      <c r="I104" s="570"/>
      <c r="J104" s="570"/>
      <c r="K104" s="570"/>
      <c r="L104" s="570"/>
      <c r="M104" s="570"/>
      <c r="N104" s="530"/>
      <c r="O104" s="530"/>
      <c r="P104" s="530"/>
      <c r="Q104" s="530"/>
      <c r="R104" s="530"/>
      <c r="S104" s="530"/>
      <c r="T104" s="530"/>
      <c r="U104" s="530"/>
      <c r="V104" s="530"/>
      <c r="W104" s="530"/>
      <c r="X104" s="530"/>
      <c r="Y104" s="530"/>
      <c r="Z104" s="530"/>
    </row>
    <row r="105" spans="2:26">
      <c r="B105" s="27"/>
      <c r="C105" s="525" t="s">
        <v>373</v>
      </c>
      <c r="D105" s="519"/>
      <c r="E105" s="523" t="s">
        <v>15</v>
      </c>
      <c r="F105" s="519"/>
      <c r="G105" s="519"/>
      <c r="H105" s="570"/>
      <c r="I105" s="570"/>
      <c r="J105" s="570"/>
      <c r="K105" s="570"/>
      <c r="L105" s="570"/>
      <c r="M105" s="570"/>
      <c r="N105" s="581">
        <v>0.8</v>
      </c>
      <c r="O105" s="581">
        <v>0.8</v>
      </c>
      <c r="P105" s="581">
        <v>0.8</v>
      </c>
      <c r="Q105" s="581">
        <v>0.8</v>
      </c>
      <c r="R105" s="581">
        <v>0.8</v>
      </c>
      <c r="S105" s="581">
        <v>0.8</v>
      </c>
      <c r="T105" s="581">
        <v>0.8</v>
      </c>
      <c r="U105" s="581">
        <v>0.8</v>
      </c>
      <c r="V105" s="581">
        <v>0.8</v>
      </c>
      <c r="W105" s="581">
        <v>0.8</v>
      </c>
      <c r="X105" s="581">
        <v>0.8</v>
      </c>
      <c r="Y105" s="581">
        <v>0.8</v>
      </c>
      <c r="Z105" s="581">
        <v>0.8</v>
      </c>
    </row>
    <row r="106" spans="2:26">
      <c r="B106" s="27"/>
      <c r="C106" s="564" t="s">
        <v>388</v>
      </c>
      <c r="D106" s="519"/>
      <c r="E106" s="521" t="s">
        <v>380</v>
      </c>
      <c r="F106" s="519"/>
      <c r="G106" s="519"/>
      <c r="H106" s="570"/>
      <c r="I106" s="570"/>
      <c r="J106" s="570"/>
      <c r="K106" s="570"/>
      <c r="L106" s="570"/>
      <c r="M106" s="570"/>
      <c r="N106" s="527">
        <f>N102*N105</f>
        <v>0</v>
      </c>
      <c r="O106" s="527">
        <f t="shared" ref="O106:Z106" si="49">O102*O105</f>
        <v>0</v>
      </c>
      <c r="P106" s="527">
        <f t="shared" si="49"/>
        <v>26799.270431509198</v>
      </c>
      <c r="Q106" s="527">
        <f t="shared" si="49"/>
        <v>77897.931110698628</v>
      </c>
      <c r="R106" s="527">
        <f t="shared" si="49"/>
        <v>114901.66581723023</v>
      </c>
      <c r="S106" s="527">
        <f t="shared" si="49"/>
        <v>136376.10490553486</v>
      </c>
      <c r="T106" s="527">
        <f t="shared" si="49"/>
        <v>150990.68028305672</v>
      </c>
      <c r="U106" s="527">
        <f t="shared" si="49"/>
        <v>159924.02843155889</v>
      </c>
      <c r="V106" s="527">
        <f t="shared" si="49"/>
        <v>167506.84702973042</v>
      </c>
      <c r="W106" s="527">
        <f t="shared" si="49"/>
        <v>173608.01434938295</v>
      </c>
      <c r="X106" s="527">
        <f t="shared" si="49"/>
        <v>164109.44145779713</v>
      </c>
      <c r="Y106" s="527">
        <f t="shared" si="49"/>
        <v>162566.15318062148</v>
      </c>
      <c r="Z106" s="527">
        <f t="shared" si="49"/>
        <v>161020.90836388478</v>
      </c>
    </row>
    <row r="107" spans="2:26">
      <c r="B107" s="27"/>
      <c r="C107" s="564"/>
      <c r="D107" s="519"/>
      <c r="E107" s="521"/>
      <c r="F107" s="519"/>
      <c r="G107" s="519"/>
      <c r="H107" s="570"/>
      <c r="I107" s="570"/>
      <c r="J107" s="570"/>
      <c r="K107" s="570"/>
      <c r="L107" s="570"/>
      <c r="M107" s="570"/>
      <c r="N107" s="527"/>
      <c r="O107" s="527"/>
      <c r="P107" s="527"/>
      <c r="Q107" s="527"/>
      <c r="R107" s="527"/>
      <c r="S107" s="527"/>
      <c r="T107" s="527"/>
      <c r="U107" s="527"/>
      <c r="V107" s="527"/>
      <c r="W107" s="527"/>
      <c r="X107" s="527"/>
      <c r="Y107" s="527"/>
      <c r="Z107" s="527"/>
    </row>
    <row r="108" spans="2:26">
      <c r="B108" s="27"/>
      <c r="C108" s="568" t="s">
        <v>402</v>
      </c>
      <c r="D108" s="566"/>
      <c r="E108" s="566"/>
      <c r="F108" s="566"/>
      <c r="G108" s="566"/>
      <c r="H108" s="566"/>
      <c r="I108" s="566"/>
      <c r="J108" s="566"/>
      <c r="K108" s="566"/>
      <c r="L108" s="566"/>
      <c r="M108" s="566"/>
      <c r="N108" s="566"/>
      <c r="O108" s="566"/>
      <c r="P108" s="566"/>
      <c r="Q108" s="566"/>
      <c r="R108" s="566"/>
      <c r="S108" s="35"/>
      <c r="T108" s="567"/>
      <c r="U108" s="567"/>
      <c r="V108" s="567"/>
      <c r="W108" s="567"/>
      <c r="X108" s="35"/>
      <c r="Y108" s="35"/>
      <c r="Z108" s="35"/>
    </row>
    <row r="109" spans="2:26">
      <c r="B109" s="27"/>
      <c r="C109" s="546"/>
      <c r="D109" s="519"/>
      <c r="E109" s="523"/>
      <c r="F109" s="519"/>
      <c r="G109" s="519"/>
      <c r="H109" s="547"/>
      <c r="I109" s="547"/>
      <c r="J109" s="547"/>
      <c r="K109" s="547"/>
      <c r="L109" s="547"/>
      <c r="M109" s="547"/>
      <c r="N109" s="547"/>
      <c r="O109" s="547"/>
      <c r="P109" s="547"/>
      <c r="Q109" s="547"/>
      <c r="R109" s="547"/>
      <c r="S109" s="547"/>
      <c r="T109" s="547"/>
      <c r="U109" s="547"/>
      <c r="V109" s="547"/>
      <c r="W109" s="547"/>
      <c r="X109" s="547"/>
      <c r="Y109" s="547"/>
      <c r="Z109" s="547"/>
    </row>
    <row r="110" spans="2:26">
      <c r="B110" s="27"/>
      <c r="C110" s="564" t="s">
        <v>212</v>
      </c>
      <c r="D110" s="519"/>
      <c r="E110" s="521" t="s">
        <v>380</v>
      </c>
      <c r="F110" s="519"/>
      <c r="G110" s="519"/>
      <c r="H110" s="511"/>
      <c r="I110" s="511"/>
      <c r="J110" s="511"/>
      <c r="K110" s="511"/>
      <c r="L110" s="511"/>
      <c r="M110" s="511"/>
      <c r="N110" s="511">
        <f>Drivers!N68</f>
        <v>0</v>
      </c>
      <c r="O110" s="511">
        <f>Drivers!O68</f>
        <v>0</v>
      </c>
      <c r="P110" s="511">
        <f>Drivers!P68</f>
        <v>30603.366000000002</v>
      </c>
      <c r="Q110" s="511">
        <f>Drivers!Q68</f>
        <v>187292.59992000001</v>
      </c>
      <c r="R110" s="511">
        <f>Drivers!R68</f>
        <v>350237.16185040004</v>
      </c>
      <c r="S110" s="511">
        <f>Drivers!S68</f>
        <v>467662.13029624324</v>
      </c>
      <c r="T110" s="511">
        <f>Drivers!T68</f>
        <v>556517.93505252956</v>
      </c>
      <c r="U110" s="511">
        <f>Drivers!U68</f>
        <v>623101.33085345698</v>
      </c>
      <c r="V110" s="511">
        <f>Drivers!V68</f>
        <v>669626.23022384848</v>
      </c>
      <c r="W110" s="511">
        <f>Drivers!W68</f>
        <v>715420.02403270523</v>
      </c>
      <c r="X110" s="511">
        <f>Drivers!X68</f>
        <v>763859.92149325286</v>
      </c>
      <c r="Y110" s="511">
        <f>Drivers!Y68</f>
        <v>786928.49112234917</v>
      </c>
      <c r="Z110" s="511">
        <f>Drivers!Z68</f>
        <v>786928.49112234905</v>
      </c>
    </row>
    <row r="111" spans="2:26">
      <c r="B111" s="27"/>
      <c r="C111" s="565"/>
      <c r="D111" s="519"/>
      <c r="E111" s="519"/>
      <c r="F111" s="519"/>
      <c r="G111" s="519"/>
      <c r="H111" s="511"/>
      <c r="I111" s="511"/>
      <c r="J111" s="511"/>
      <c r="K111" s="511"/>
      <c r="L111" s="511"/>
      <c r="M111" s="511"/>
      <c r="N111" s="511"/>
      <c r="O111" s="511"/>
      <c r="P111" s="511"/>
      <c r="Q111" s="511"/>
      <c r="R111" s="511"/>
      <c r="S111" s="511"/>
      <c r="T111" s="511"/>
      <c r="U111" s="511"/>
      <c r="V111" s="511"/>
      <c r="W111" s="511"/>
      <c r="X111" s="511"/>
      <c r="Y111" s="511"/>
      <c r="Z111" s="511"/>
    </row>
    <row r="112" spans="2:26">
      <c r="B112" s="27"/>
      <c r="C112" s="522" t="s">
        <v>178</v>
      </c>
      <c r="D112" s="519"/>
      <c r="E112" s="523" t="s">
        <v>380</v>
      </c>
      <c r="F112" s="519"/>
      <c r="G112" s="519"/>
      <c r="H112" s="524"/>
      <c r="I112" s="524"/>
      <c r="J112" s="524"/>
      <c r="K112" s="524"/>
      <c r="L112" s="524"/>
      <c r="M112" s="524"/>
      <c r="N112" s="524">
        <f>N47*Drivers!N84</f>
        <v>0</v>
      </c>
      <c r="O112" s="524">
        <f>O47*Drivers!O84</f>
        <v>0</v>
      </c>
      <c r="P112" s="524">
        <f>P47*Drivers!P84</f>
        <v>-2754.30294</v>
      </c>
      <c r="Q112" s="524">
        <f>Q47*Drivers!Q84</f>
        <v>-16856.333992800002</v>
      </c>
      <c r="R112" s="524">
        <f>R47*Drivers!R84</f>
        <v>-31521.344566536001</v>
      </c>
      <c r="S112" s="524">
        <f>S47*Drivers!S84</f>
        <v>-42089.591726661893</v>
      </c>
      <c r="T112" s="524">
        <f>T47*Drivers!T84</f>
        <v>-50086.614154727657</v>
      </c>
      <c r="U112" s="524">
        <f>U47*Drivers!U84</f>
        <v>-56079.119776811131</v>
      </c>
      <c r="V112" s="524">
        <f>V47*Drivers!V84</f>
        <v>-60266.360720146367</v>
      </c>
      <c r="W112" s="524">
        <f>W47*Drivers!W84</f>
        <v>-64387.802162943473</v>
      </c>
      <c r="X112" s="524">
        <f>X47*Drivers!X84</f>
        <v>-68747.392934392745</v>
      </c>
      <c r="Y112" s="524">
        <f>Y47*Drivers!Y84</f>
        <v>-70823.564201011424</v>
      </c>
      <c r="Z112" s="524">
        <f>Z47*Drivers!Z84</f>
        <v>-70823.56420101141</v>
      </c>
    </row>
    <row r="113" spans="2:26">
      <c r="B113" s="27"/>
      <c r="C113" s="522" t="s">
        <v>179</v>
      </c>
      <c r="D113" s="519"/>
      <c r="E113" s="523" t="s">
        <v>380</v>
      </c>
      <c r="F113" s="519"/>
      <c r="G113" s="519"/>
      <c r="H113" s="524"/>
      <c r="I113" s="524"/>
      <c r="J113" s="524"/>
      <c r="K113" s="524"/>
      <c r="L113" s="524"/>
      <c r="M113" s="524"/>
      <c r="N113" s="524">
        <f>NPV!N$48*Drivers!N84</f>
        <v>0</v>
      </c>
      <c r="O113" s="524">
        <f>NPV!O$48*Drivers!O84</f>
        <v>0</v>
      </c>
      <c r="P113" s="524">
        <f>NPV!P$48*Drivers!P84</f>
        <v>-9303.4232639999991</v>
      </c>
      <c r="Q113" s="524">
        <f>NPV!Q$48*Drivers!Q84</f>
        <v>-55288.775496383991</v>
      </c>
      <c r="R113" s="524">
        <f>NPV!R$48*Drivers!R84</f>
        <v>-101218.5397747656</v>
      </c>
      <c r="S113" s="524">
        <f>NPV!S$48*Drivers!S84</f>
        <v>-127204.09944057812</v>
      </c>
      <c r="T113" s="524">
        <f>NPV!T$48*Drivers!T84</f>
        <v>-141912.07343839499</v>
      </c>
      <c r="U113" s="524">
        <f>NPV!U$48*Drivers!U84</f>
        <v>-148298.11674312269</v>
      </c>
      <c r="V113" s="524">
        <f>NPV!V$48*Drivers!V84</f>
        <v>-147987.39687947041</v>
      </c>
      <c r="W113" s="524">
        <f>NPV!W$48*Drivers!W84</f>
        <v>-145945.68490267178</v>
      </c>
      <c r="X113" s="524">
        <f>NPV!X$48*Drivers!X84</f>
        <v>-183326.38115838057</v>
      </c>
      <c r="Y113" s="524">
        <f>NPV!Y$48*Drivers!Y84</f>
        <v>-188862.83786936369</v>
      </c>
      <c r="Z113" s="524">
        <f>NPV!Z$48*Drivers!Z84</f>
        <v>-188862.83786936366</v>
      </c>
    </row>
    <row r="114" spans="2:26">
      <c r="B114" s="27"/>
      <c r="C114" s="525" t="s">
        <v>180</v>
      </c>
      <c r="D114" s="519"/>
      <c r="E114" s="523" t="s">
        <v>380</v>
      </c>
      <c r="F114" s="519"/>
      <c r="G114" s="519"/>
      <c r="H114" s="524"/>
      <c r="I114" s="524"/>
      <c r="J114" s="524"/>
      <c r="K114" s="524"/>
      <c r="L114" s="524"/>
      <c r="M114" s="524"/>
      <c r="N114" s="526">
        <f>N$49*Drivers!N84</f>
        <v>0</v>
      </c>
      <c r="O114" s="526">
        <f>O$49*Drivers!O84</f>
        <v>0</v>
      </c>
      <c r="P114" s="526">
        <f>P$49*Drivers!P84</f>
        <v>-244.82692800000004</v>
      </c>
      <c r="Q114" s="526">
        <f>Q$49*Drivers!Q84</f>
        <v>-767.8996596720001</v>
      </c>
      <c r="R114" s="526">
        <f>R$49*Drivers!R84</f>
        <v>-893.10476271852008</v>
      </c>
      <c r="S114" s="526">
        <f>S$49*Drivers!S84</f>
        <v>-596.26921612771014</v>
      </c>
      <c r="T114" s="526">
        <f>T$49*Drivers!T84</f>
        <v>-709.56036719197527</v>
      </c>
      <c r="U114" s="526">
        <f>U$49*Drivers!U84</f>
        <v>-794.45419683815771</v>
      </c>
      <c r="V114" s="526">
        <f>V$49*Drivers!V84</f>
        <v>-853.77344353540673</v>
      </c>
      <c r="W114" s="526">
        <f>W$49*Drivers!W84</f>
        <v>-912.16053064169921</v>
      </c>
      <c r="X114" s="526">
        <f>X$49*Drivers!X84</f>
        <v>-1145.7898822398793</v>
      </c>
      <c r="Y114" s="526">
        <f>Y$49*Drivers!Y84</f>
        <v>-1180.3927366835237</v>
      </c>
      <c r="Z114" s="526">
        <f>Z$49*Drivers!Z84</f>
        <v>-1180.3927366835237</v>
      </c>
    </row>
    <row r="115" spans="2:26">
      <c r="B115" s="27"/>
      <c r="C115" s="564" t="s">
        <v>381</v>
      </c>
      <c r="D115" s="519"/>
      <c r="E115" s="521" t="s">
        <v>380</v>
      </c>
      <c r="F115" s="519"/>
      <c r="G115" s="519"/>
      <c r="H115" s="527"/>
      <c r="I115" s="527"/>
      <c r="J115" s="527"/>
      <c r="K115" s="527"/>
      <c r="L115" s="527"/>
      <c r="M115" s="527"/>
      <c r="N115" s="527">
        <f t="shared" ref="N115:Z115" si="50">SUM(N110:N114)</f>
        <v>0</v>
      </c>
      <c r="O115" s="527">
        <f t="shared" si="50"/>
        <v>0</v>
      </c>
      <c r="P115" s="527">
        <f t="shared" si="50"/>
        <v>18300.812868000005</v>
      </c>
      <c r="Q115" s="527">
        <f t="shared" si="50"/>
        <v>114379.59077114402</v>
      </c>
      <c r="R115" s="527">
        <f t="shared" si="50"/>
        <v>216604.17274637989</v>
      </c>
      <c r="S115" s="527">
        <f t="shared" si="50"/>
        <v>297772.16991287551</v>
      </c>
      <c r="T115" s="527">
        <f t="shared" si="50"/>
        <v>363809.68709221494</v>
      </c>
      <c r="U115" s="527">
        <f t="shared" si="50"/>
        <v>417929.64013668505</v>
      </c>
      <c r="V115" s="527">
        <f t="shared" si="50"/>
        <v>460518.69918069633</v>
      </c>
      <c r="W115" s="527">
        <f t="shared" si="50"/>
        <v>504174.37643644825</v>
      </c>
      <c r="X115" s="527">
        <f t="shared" si="50"/>
        <v>510640.35751823965</v>
      </c>
      <c r="Y115" s="527">
        <f t="shared" si="50"/>
        <v>526061.69631529052</v>
      </c>
      <c r="Z115" s="527">
        <f t="shared" si="50"/>
        <v>526061.69631529052</v>
      </c>
    </row>
    <row r="116" spans="2:26">
      <c r="B116" s="27"/>
      <c r="C116" s="565"/>
      <c r="D116" s="519"/>
      <c r="E116" s="519"/>
      <c r="F116" s="519"/>
      <c r="G116" s="519"/>
      <c r="H116" s="527"/>
      <c r="I116" s="527"/>
      <c r="J116" s="527"/>
      <c r="K116" s="527"/>
      <c r="L116" s="527"/>
      <c r="M116" s="527"/>
      <c r="N116" s="527"/>
      <c r="O116" s="527"/>
      <c r="P116" s="527"/>
      <c r="Q116" s="527"/>
      <c r="R116" s="527"/>
      <c r="S116" s="527"/>
      <c r="T116" s="527"/>
      <c r="U116" s="527"/>
      <c r="V116" s="527"/>
      <c r="W116" s="527"/>
      <c r="X116" s="527"/>
      <c r="Y116" s="527"/>
      <c r="Z116" s="527"/>
    </row>
    <row r="117" spans="2:26">
      <c r="B117" s="27"/>
      <c r="C117" s="525" t="s">
        <v>382</v>
      </c>
      <c r="D117" s="519"/>
      <c r="E117" s="523" t="s">
        <v>380</v>
      </c>
      <c r="F117" s="519"/>
      <c r="G117" s="519"/>
      <c r="H117" s="524"/>
      <c r="I117" s="524"/>
      <c r="J117" s="524"/>
      <c r="K117" s="524"/>
      <c r="L117" s="524"/>
      <c r="M117" s="524"/>
      <c r="N117" s="526">
        <f t="shared" ref="N117" si="51">N115*-Tax_Rate</f>
        <v>0</v>
      </c>
      <c r="O117" s="526">
        <f t="shared" ref="O117:Z117" si="52">O115*-Tax_Rate</f>
        <v>0</v>
      </c>
      <c r="P117" s="526">
        <f t="shared" si="52"/>
        <v>-2196.0975441600003</v>
      </c>
      <c r="Q117" s="526">
        <f t="shared" si="52"/>
        <v>-13725.550892537281</v>
      </c>
      <c r="R117" s="526">
        <f t="shared" si="52"/>
        <v>-25992.500729565585</v>
      </c>
      <c r="S117" s="526">
        <f t="shared" si="52"/>
        <v>-35732.660389545061</v>
      </c>
      <c r="T117" s="526">
        <f t="shared" si="52"/>
        <v>-43657.162451065793</v>
      </c>
      <c r="U117" s="526">
        <f t="shared" si="52"/>
        <v>-50151.556816402204</v>
      </c>
      <c r="V117" s="526">
        <f t="shared" si="52"/>
        <v>-55262.243901683556</v>
      </c>
      <c r="W117" s="526">
        <f t="shared" si="52"/>
        <v>-60500.925172373791</v>
      </c>
      <c r="X117" s="526">
        <f t="shared" si="52"/>
        <v>-61276.842902188757</v>
      </c>
      <c r="Y117" s="526">
        <f t="shared" si="52"/>
        <v>-63127.403557834863</v>
      </c>
      <c r="Z117" s="526">
        <f t="shared" si="52"/>
        <v>-63127.403557834863</v>
      </c>
    </row>
    <row r="118" spans="2:26">
      <c r="B118" s="27"/>
      <c r="C118" s="564" t="s">
        <v>383</v>
      </c>
      <c r="D118" s="519"/>
      <c r="E118" s="521" t="s">
        <v>380</v>
      </c>
      <c r="F118" s="519"/>
      <c r="G118" s="519"/>
      <c r="H118" s="527"/>
      <c r="I118" s="527"/>
      <c r="J118" s="527"/>
      <c r="K118" s="527"/>
      <c r="L118" s="527"/>
      <c r="M118" s="527"/>
      <c r="N118" s="527">
        <f t="shared" ref="N118:O118" si="53">SUM(N115:N117)</f>
        <v>0</v>
      </c>
      <c r="O118" s="527">
        <f t="shared" si="53"/>
        <v>0</v>
      </c>
      <c r="P118" s="527">
        <f t="shared" ref="P118" si="54">SUM(P115:P117)</f>
        <v>16104.715323840004</v>
      </c>
      <c r="Q118" s="527">
        <f t="shared" ref="Q118" si="55">SUM(Q115:Q117)</f>
        <v>100654.03987860674</v>
      </c>
      <c r="R118" s="527">
        <f t="shared" ref="R118" si="56">SUM(R115:R117)</f>
        <v>190611.67201681429</v>
      </c>
      <c r="S118" s="527">
        <f t="shared" ref="S118" si="57">SUM(S115:S117)</f>
        <v>262039.50952333046</v>
      </c>
      <c r="T118" s="527">
        <f t="shared" ref="T118" si="58">SUM(T115:T117)</f>
        <v>320152.52464114915</v>
      </c>
      <c r="U118" s="527">
        <f t="shared" ref="U118" si="59">SUM(U115:U117)</f>
        <v>367778.08332028287</v>
      </c>
      <c r="V118" s="527">
        <f t="shared" ref="V118" si="60">SUM(V115:V117)</f>
        <v>405256.45527901279</v>
      </c>
      <c r="W118" s="527">
        <f t="shared" ref="W118" si="61">SUM(W115:W117)</f>
        <v>443673.45126407448</v>
      </c>
      <c r="X118" s="527">
        <f t="shared" ref="X118" si="62">SUM(X115:X117)</f>
        <v>449363.51461605087</v>
      </c>
      <c r="Y118" s="527">
        <f t="shared" ref="Y118" si="63">SUM(Y115:Y117)</f>
        <v>462934.29275745567</v>
      </c>
      <c r="Z118" s="527">
        <f t="shared" ref="Z118" si="64">SUM(Z115:Z117)</f>
        <v>462934.29275745567</v>
      </c>
    </row>
    <row r="119" spans="2:26">
      <c r="B119" s="27"/>
      <c r="C119" s="565"/>
      <c r="D119" s="519"/>
      <c r="E119" s="519"/>
      <c r="F119" s="519"/>
      <c r="G119" s="519"/>
      <c r="H119" s="527"/>
      <c r="I119" s="527"/>
      <c r="J119" s="527"/>
      <c r="K119" s="527"/>
      <c r="L119" s="527"/>
      <c r="M119" s="527"/>
      <c r="N119" s="527"/>
      <c r="O119" s="527"/>
      <c r="P119" s="527"/>
      <c r="Q119" s="527"/>
      <c r="R119" s="527"/>
      <c r="S119" s="527"/>
      <c r="T119" s="527"/>
      <c r="U119" s="527"/>
      <c r="V119" s="527"/>
      <c r="W119" s="527"/>
      <c r="X119" s="527"/>
      <c r="Y119" s="527"/>
      <c r="Z119" s="527"/>
    </row>
    <row r="120" spans="2:26">
      <c r="B120" s="27"/>
      <c r="C120" s="522" t="s">
        <v>500</v>
      </c>
      <c r="D120" s="519"/>
      <c r="E120" s="519"/>
      <c r="F120" s="519"/>
      <c r="G120" s="519"/>
      <c r="H120" s="527"/>
      <c r="I120" s="527"/>
      <c r="J120" s="527"/>
      <c r="K120" s="527"/>
      <c r="L120" s="527"/>
      <c r="M120" s="527"/>
      <c r="N120" s="527"/>
      <c r="O120" s="527"/>
      <c r="P120" s="569">
        <f t="shared" ref="P120:Z120" si="65">-P110*Royaltyxw</f>
        <v>-3672.4039200000002</v>
      </c>
      <c r="Q120" s="569">
        <f t="shared" si="65"/>
        <v>-22475.111990400001</v>
      </c>
      <c r="R120" s="569">
        <f t="shared" si="65"/>
        <v>-42028.459422047999</v>
      </c>
      <c r="S120" s="569">
        <f t="shared" si="65"/>
        <v>-56119.455635549188</v>
      </c>
      <c r="T120" s="569">
        <f t="shared" si="65"/>
        <v>-66782.152206303552</v>
      </c>
      <c r="U120" s="569">
        <f t="shared" si="65"/>
        <v>-74772.159702414836</v>
      </c>
      <c r="V120" s="569">
        <f t="shared" si="65"/>
        <v>-80355.147626861813</v>
      </c>
      <c r="W120" s="569">
        <f t="shared" si="65"/>
        <v>-85850.402883924631</v>
      </c>
      <c r="X120" s="569">
        <f t="shared" si="65"/>
        <v>-91663.190579190341</v>
      </c>
      <c r="Y120" s="569">
        <f t="shared" si="65"/>
        <v>-94431.418934681889</v>
      </c>
      <c r="Z120" s="569">
        <f t="shared" si="65"/>
        <v>-94431.418934681889</v>
      </c>
    </row>
    <row r="121" spans="2:26">
      <c r="B121" s="27"/>
      <c r="C121" s="522" t="s">
        <v>408</v>
      </c>
      <c r="D121" s="519"/>
      <c r="E121" s="523" t="s">
        <v>380</v>
      </c>
      <c r="F121" s="519"/>
      <c r="G121" s="519"/>
      <c r="H121" s="527"/>
      <c r="I121" s="527"/>
      <c r="J121" s="527"/>
      <c r="K121" s="527"/>
      <c r="L121" s="527"/>
      <c r="M121" s="527"/>
      <c r="N121" s="569">
        <f>N$55*Drivers!N84</f>
        <v>0</v>
      </c>
      <c r="O121" s="569">
        <f>O$55*Drivers!O84</f>
        <v>0</v>
      </c>
      <c r="P121" s="569">
        <f>P$55*Drivers!P84</f>
        <v>-46.133602588690565</v>
      </c>
      <c r="Q121" s="569">
        <f>Q$55*Drivers!Q84</f>
        <v>-166.53456104003277</v>
      </c>
      <c r="R121" s="569">
        <f>R$55*Drivers!R84</f>
        <v>-230.53736857564971</v>
      </c>
      <c r="S121" s="569">
        <f>S$55*Drivers!S84</f>
        <v>-260.00177161990098</v>
      </c>
      <c r="T121" s="569">
        <f>T$55*Drivers!T84</f>
        <v>-277.39075685984375</v>
      </c>
      <c r="U121" s="569">
        <f>U$55*Drivers!U84</f>
        <v>-286.19451198807519</v>
      </c>
      <c r="V121" s="569">
        <f>V$55*Drivers!V84</f>
        <v>-291.6248433012077</v>
      </c>
      <c r="W121" s="569">
        <f>W$55*Drivers!W84</f>
        <v>-296.01686077942514</v>
      </c>
      <c r="X121" s="569">
        <f>X$55*Drivers!X84</f>
        <v>-303.13848650532134</v>
      </c>
      <c r="Y121" s="569">
        <f>Y$55*Drivers!Y84</f>
        <v>-304.45767694913104</v>
      </c>
      <c r="Z121" s="569">
        <f>Z$55*Drivers!Z84</f>
        <v>-302.17429852600901</v>
      </c>
    </row>
    <row r="122" spans="2:26">
      <c r="B122" s="27"/>
      <c r="C122" s="522" t="s">
        <v>384</v>
      </c>
      <c r="D122" s="519"/>
      <c r="E122" s="523" t="s">
        <v>380</v>
      </c>
      <c r="F122" s="519"/>
      <c r="G122" s="519"/>
      <c r="H122" s="527"/>
      <c r="I122" s="527"/>
      <c r="J122" s="527"/>
      <c r="K122" s="527"/>
      <c r="L122" s="527"/>
      <c r="M122" s="527"/>
      <c r="N122" s="527">
        <f>Model!M214</f>
        <v>0</v>
      </c>
      <c r="O122" s="527">
        <f>Model!N214</f>
        <v>0</v>
      </c>
      <c r="P122" s="527">
        <f>Model!O214</f>
        <v>0</v>
      </c>
      <c r="Q122" s="527">
        <f>Model!P214</f>
        <v>0</v>
      </c>
      <c r="R122" s="527">
        <f>Model!Q214</f>
        <v>0</v>
      </c>
      <c r="S122" s="527">
        <f>Model!R214</f>
        <v>0</v>
      </c>
      <c r="T122" s="527">
        <f>Model!S214</f>
        <v>0</v>
      </c>
      <c r="U122" s="527">
        <f>Model!T214</f>
        <v>0</v>
      </c>
      <c r="V122" s="527">
        <f>Model!U214</f>
        <v>0</v>
      </c>
      <c r="W122" s="527">
        <f>Model!V214</f>
        <v>0</v>
      </c>
      <c r="X122" s="527">
        <f>Model!W214</f>
        <v>0</v>
      </c>
      <c r="Y122" s="527">
        <f>Model!X214</f>
        <v>0</v>
      </c>
      <c r="Z122" s="527">
        <f>Model!Y214</f>
        <v>0</v>
      </c>
    </row>
    <row r="123" spans="2:26">
      <c r="B123" s="27"/>
      <c r="C123" s="525" t="s">
        <v>385</v>
      </c>
      <c r="D123" s="519"/>
      <c r="E123" s="523" t="s">
        <v>380</v>
      </c>
      <c r="F123" s="519"/>
      <c r="G123" s="519"/>
      <c r="H123" s="569"/>
      <c r="I123" s="569"/>
      <c r="J123" s="569"/>
      <c r="K123" s="569"/>
      <c r="L123" s="569"/>
      <c r="M123" s="569"/>
      <c r="N123" s="528">
        <f>N$58*Drivers!N84</f>
        <v>0</v>
      </c>
      <c r="O123" s="528">
        <f>O$58*Drivers!O84</f>
        <v>0</v>
      </c>
      <c r="P123" s="528">
        <f>P$58*Drivers!P84</f>
        <v>13.463324002446187</v>
      </c>
      <c r="Q123" s="528">
        <f>Q$58*Drivers!Q84</f>
        <v>46.63668951734239</v>
      </c>
      <c r="R123" s="528">
        <f>R$58*Drivers!R84</f>
        <v>61.951678909678677</v>
      </c>
      <c r="S123" s="528">
        <f>S$58*Drivers!S84</f>
        <v>67.046554823125177</v>
      </c>
      <c r="T123" s="528">
        <f>T$58*Drivers!T84</f>
        <v>68.640518527624792</v>
      </c>
      <c r="U123" s="528">
        <f>U$58*Drivers!U84</f>
        <v>67.957639036556486</v>
      </c>
      <c r="V123" s="528">
        <f>V$58*Drivers!V84</f>
        <v>66.449223439098162</v>
      </c>
      <c r="W123" s="528">
        <f>W$58*Drivers!W84</f>
        <v>64.724730505581803</v>
      </c>
      <c r="X123" s="528">
        <f>X$58*Drivers!X84</f>
        <v>63.603833321658072</v>
      </c>
      <c r="Y123" s="528">
        <f>Y$58*Drivers!Y84</f>
        <v>61.299587616273477</v>
      </c>
      <c r="Z123" s="528">
        <f>Z$58*Drivers!Z84</f>
        <v>58.381675789803658</v>
      </c>
    </row>
    <row r="124" spans="2:26">
      <c r="B124" s="27"/>
      <c r="C124" s="564" t="s">
        <v>386</v>
      </c>
      <c r="D124" s="519"/>
      <c r="E124" s="521" t="s">
        <v>380</v>
      </c>
      <c r="F124" s="519"/>
      <c r="G124" s="519"/>
      <c r="H124" s="527"/>
      <c r="I124" s="527"/>
      <c r="J124" s="527"/>
      <c r="K124" s="527"/>
      <c r="L124" s="527"/>
      <c r="M124" s="527"/>
      <c r="N124" s="527">
        <f t="shared" ref="N124" si="66">SUM(N118:N123)</f>
        <v>0</v>
      </c>
      <c r="O124" s="527">
        <f t="shared" ref="O124:Z124" si="67">SUM(O118:O123)</f>
        <v>0</v>
      </c>
      <c r="P124" s="527">
        <f t="shared" si="67"/>
        <v>12399.64112525376</v>
      </c>
      <c r="Q124" s="527">
        <f t="shared" si="67"/>
        <v>78059.030016684032</v>
      </c>
      <c r="R124" s="527">
        <f t="shared" si="67"/>
        <v>148414.6269051003</v>
      </c>
      <c r="S124" s="527">
        <f t="shared" si="67"/>
        <v>205727.0986709845</v>
      </c>
      <c r="T124" s="527">
        <f t="shared" si="67"/>
        <v>253161.62219651337</v>
      </c>
      <c r="U124" s="527">
        <f t="shared" si="67"/>
        <v>292787.68674491654</v>
      </c>
      <c r="V124" s="527">
        <f t="shared" si="67"/>
        <v>324676.13203228888</v>
      </c>
      <c r="W124" s="527">
        <f t="shared" si="67"/>
        <v>357591.75624987605</v>
      </c>
      <c r="X124" s="527">
        <f t="shared" si="67"/>
        <v>357460.78938367689</v>
      </c>
      <c r="Y124" s="527">
        <f t="shared" si="67"/>
        <v>368259.71573344094</v>
      </c>
      <c r="Z124" s="527">
        <f t="shared" si="67"/>
        <v>368259.08120003762</v>
      </c>
    </row>
    <row r="125" spans="2:26">
      <c r="B125" s="27"/>
      <c r="C125" s="529" t="s">
        <v>387</v>
      </c>
      <c r="D125" s="519"/>
      <c r="E125" s="523" t="s">
        <v>15</v>
      </c>
      <c r="F125" s="519"/>
      <c r="G125" s="519"/>
      <c r="H125" s="570"/>
      <c r="I125" s="570"/>
      <c r="J125" s="570"/>
      <c r="K125" s="570"/>
      <c r="L125" s="570"/>
      <c r="M125" s="570"/>
      <c r="N125" s="530" t="e">
        <f t="shared" ref="N125:Z125" si="68">N124/N110</f>
        <v>#DIV/0!</v>
      </c>
      <c r="O125" s="530" t="e">
        <f t="shared" si="68"/>
        <v>#DIV/0!</v>
      </c>
      <c r="P125" s="530">
        <f t="shared" si="68"/>
        <v>0.40517246126631168</v>
      </c>
      <c r="Q125" s="530">
        <f t="shared" si="68"/>
        <v>0.41677583657884026</v>
      </c>
      <c r="R125" s="530">
        <f t="shared" si="68"/>
        <v>0.42375465276438595</v>
      </c>
      <c r="S125" s="530">
        <f t="shared" si="68"/>
        <v>0.43990540465755801</v>
      </c>
      <c r="T125" s="530">
        <f t="shared" si="68"/>
        <v>0.45490289935151418</v>
      </c>
      <c r="U125" s="530">
        <f t="shared" si="68"/>
        <v>0.46988775701038477</v>
      </c>
      <c r="V125" s="530">
        <f t="shared" si="68"/>
        <v>0.48486172939156419</v>
      </c>
      <c r="W125" s="530">
        <f t="shared" si="68"/>
        <v>0.49983470442187239</v>
      </c>
      <c r="X125" s="530">
        <f t="shared" si="68"/>
        <v>0.46796641547168061</v>
      </c>
      <c r="Y125" s="530">
        <f t="shared" si="68"/>
        <v>0.46797100357646737</v>
      </c>
      <c r="Z125" s="530">
        <f t="shared" si="68"/>
        <v>0.46797019723458189</v>
      </c>
    </row>
    <row r="126" spans="2:26">
      <c r="B126" s="27"/>
      <c r="C126" s="529"/>
      <c r="D126" s="519"/>
      <c r="E126" s="523"/>
      <c r="F126" s="519"/>
      <c r="G126" s="519"/>
      <c r="H126" s="570"/>
      <c r="I126" s="570"/>
      <c r="J126" s="570"/>
      <c r="K126" s="570"/>
      <c r="L126" s="570"/>
      <c r="M126" s="570"/>
      <c r="N126" s="530"/>
      <c r="O126" s="530"/>
      <c r="P126" s="530"/>
      <c r="Q126" s="530"/>
      <c r="R126" s="530"/>
      <c r="S126" s="530"/>
      <c r="T126" s="530"/>
      <c r="U126" s="530"/>
      <c r="V126" s="530"/>
      <c r="W126" s="530"/>
      <c r="X126" s="530"/>
      <c r="Y126" s="530"/>
      <c r="Z126" s="530"/>
    </row>
    <row r="127" spans="2:26">
      <c r="B127" s="27"/>
      <c r="C127" s="525" t="s">
        <v>373</v>
      </c>
      <c r="D127" s="519"/>
      <c r="E127" s="523" t="s">
        <v>15</v>
      </c>
      <c r="F127" s="519"/>
      <c r="G127" s="519"/>
      <c r="H127" s="570"/>
      <c r="I127" s="570"/>
      <c r="J127" s="570"/>
      <c r="K127" s="570"/>
      <c r="L127" s="570"/>
      <c r="M127" s="570"/>
      <c r="N127" s="581">
        <v>0.7</v>
      </c>
      <c r="O127" s="581">
        <v>0.7</v>
      </c>
      <c r="P127" s="581">
        <v>0.7</v>
      </c>
      <c r="Q127" s="581">
        <v>0.7</v>
      </c>
      <c r="R127" s="581">
        <v>0.7</v>
      </c>
      <c r="S127" s="581">
        <v>0.7</v>
      </c>
      <c r="T127" s="581">
        <v>0.7</v>
      </c>
      <c r="U127" s="581">
        <v>0.7</v>
      </c>
      <c r="V127" s="581">
        <v>0.7</v>
      </c>
      <c r="W127" s="581">
        <v>0.7</v>
      </c>
      <c r="X127" s="581">
        <v>0.7</v>
      </c>
      <c r="Y127" s="581">
        <v>0.7</v>
      </c>
      <c r="Z127" s="581">
        <v>0.7</v>
      </c>
    </row>
    <row r="128" spans="2:26">
      <c r="B128" s="27"/>
      <c r="C128" s="564" t="s">
        <v>388</v>
      </c>
      <c r="D128" s="519"/>
      <c r="E128" s="521" t="s">
        <v>380</v>
      </c>
      <c r="F128" s="519"/>
      <c r="G128" s="519"/>
      <c r="H128" s="570"/>
      <c r="I128" s="570"/>
      <c r="J128" s="570"/>
      <c r="K128" s="570"/>
      <c r="L128" s="570"/>
      <c r="M128" s="570"/>
      <c r="N128" s="527">
        <f>N124*N127</f>
        <v>0</v>
      </c>
      <c r="O128" s="527">
        <f t="shared" ref="O128:Z128" si="69">O124*O127</f>
        <v>0</v>
      </c>
      <c r="P128" s="527">
        <f t="shared" si="69"/>
        <v>8679.7487876776322</v>
      </c>
      <c r="Q128" s="527">
        <f t="shared" si="69"/>
        <v>54641.321011678818</v>
      </c>
      <c r="R128" s="527">
        <f t="shared" si="69"/>
        <v>103890.23883357021</v>
      </c>
      <c r="S128" s="527">
        <f t="shared" si="69"/>
        <v>144008.96906968913</v>
      </c>
      <c r="T128" s="527">
        <f t="shared" si="69"/>
        <v>177213.13553755934</v>
      </c>
      <c r="U128" s="527">
        <f t="shared" si="69"/>
        <v>204951.38072144156</v>
      </c>
      <c r="V128" s="527">
        <f t="shared" si="69"/>
        <v>227273.29242260222</v>
      </c>
      <c r="W128" s="527">
        <f t="shared" si="69"/>
        <v>250314.22937491321</v>
      </c>
      <c r="X128" s="527">
        <f t="shared" si="69"/>
        <v>250222.5525685738</v>
      </c>
      <c r="Y128" s="527">
        <f t="shared" si="69"/>
        <v>257781.80101340864</v>
      </c>
      <c r="Z128" s="527">
        <f t="shared" si="69"/>
        <v>257781.3568400263</v>
      </c>
    </row>
    <row r="129" spans="2:26">
      <c r="B129" s="27"/>
      <c r="D129" s="90"/>
      <c r="G129" s="91"/>
      <c r="H129" s="91"/>
      <c r="I129" s="91"/>
      <c r="J129" s="91"/>
      <c r="K129" s="91"/>
      <c r="L129" s="91"/>
      <c r="M129" s="91"/>
      <c r="N129" s="91"/>
      <c r="O129" s="91"/>
      <c r="P129" s="91"/>
      <c r="Q129" s="91"/>
      <c r="R129" s="91"/>
      <c r="S129" s="91"/>
      <c r="T129" s="91"/>
      <c r="U129" s="91"/>
      <c r="V129" s="91"/>
      <c r="W129" s="91"/>
      <c r="X129" s="91"/>
      <c r="Y129" s="91"/>
      <c r="Z129" s="91"/>
    </row>
    <row r="130" spans="2:26">
      <c r="B130" s="27"/>
      <c r="C130" s="568" t="s">
        <v>404</v>
      </c>
      <c r="D130" s="566"/>
      <c r="E130" s="566"/>
      <c r="F130" s="566"/>
      <c r="G130" s="566"/>
      <c r="H130" s="566"/>
      <c r="I130" s="566"/>
      <c r="J130" s="566"/>
      <c r="K130" s="566"/>
      <c r="L130" s="566"/>
      <c r="M130" s="566"/>
      <c r="N130" s="566"/>
      <c r="O130" s="566"/>
      <c r="P130" s="566"/>
      <c r="Q130" s="566"/>
      <c r="R130" s="566"/>
      <c r="S130" s="35"/>
      <c r="T130" s="567"/>
      <c r="U130" s="567"/>
      <c r="V130" s="567"/>
      <c r="W130" s="567"/>
      <c r="X130" s="35"/>
      <c r="Y130" s="35"/>
      <c r="Z130" s="35"/>
    </row>
    <row r="131" spans="2:26">
      <c r="B131" s="27"/>
      <c r="C131" s="546"/>
      <c r="D131" s="519"/>
      <c r="E131" s="523"/>
      <c r="F131" s="519"/>
      <c r="G131" s="519"/>
      <c r="H131" s="547"/>
      <c r="I131" s="547"/>
      <c r="J131" s="547"/>
      <c r="K131" s="547"/>
      <c r="L131" s="547"/>
      <c r="M131" s="547"/>
      <c r="N131" s="547"/>
      <c r="O131" s="547"/>
      <c r="P131" s="547"/>
      <c r="Q131" s="547"/>
      <c r="R131" s="547"/>
      <c r="S131" s="547"/>
      <c r="T131" s="547"/>
      <c r="U131" s="547"/>
      <c r="V131" s="547"/>
      <c r="W131" s="547"/>
      <c r="X131" s="547"/>
      <c r="Y131" s="547"/>
      <c r="Z131" s="547"/>
    </row>
    <row r="132" spans="2:26">
      <c r="B132" s="27"/>
      <c r="C132" s="564" t="s">
        <v>212</v>
      </c>
      <c r="D132" s="519"/>
      <c r="E132" s="521" t="s">
        <v>380</v>
      </c>
      <c r="F132" s="519"/>
      <c r="G132" s="519"/>
      <c r="H132" s="511"/>
      <c r="I132" s="511"/>
      <c r="J132" s="511"/>
      <c r="K132" s="511"/>
      <c r="L132" s="511"/>
      <c r="M132" s="511"/>
      <c r="N132" s="511">
        <f>Drivers!N69</f>
        <v>0</v>
      </c>
      <c r="O132" s="511">
        <f>Drivers!O69</f>
        <v>0</v>
      </c>
      <c r="P132" s="511">
        <f>Drivers!P69</f>
        <v>12323.313629023171</v>
      </c>
      <c r="Q132" s="511">
        <f>Drivers!Q69</f>
        <v>102705.84838697562</v>
      </c>
      <c r="R132" s="511">
        <f>Drivers!R69</f>
        <v>193101.4937093927</v>
      </c>
      <c r="S132" s="511">
        <f>Drivers!S69</f>
        <v>271194.33958012541</v>
      </c>
      <c r="T132" s="511">
        <f>Drivers!T69</f>
        <v>320538.4939347278</v>
      </c>
      <c r="U132" s="511">
        <f>Drivers!U69</f>
        <v>349330.99016036349</v>
      </c>
      <c r="V132" s="511">
        <f>Drivers!V69</f>
        <v>357590.80001502222</v>
      </c>
      <c r="W132" s="511">
        <f>Drivers!W69</f>
        <v>365852.46540970908</v>
      </c>
      <c r="X132" s="511">
        <f>Drivers!X69</f>
        <v>370004.8219690072</v>
      </c>
      <c r="Y132" s="511">
        <f>Drivers!Y69</f>
        <v>370046.48135973373</v>
      </c>
      <c r="Z132" s="511">
        <f>Drivers!Z69</f>
        <v>365976.05493605323</v>
      </c>
    </row>
    <row r="133" spans="2:26">
      <c r="B133" s="27"/>
      <c r="C133" s="565"/>
      <c r="D133" s="519"/>
      <c r="E133" s="519"/>
      <c r="F133" s="519"/>
      <c r="G133" s="519"/>
      <c r="H133" s="511"/>
      <c r="I133" s="511"/>
      <c r="J133" s="511"/>
      <c r="K133" s="511"/>
      <c r="L133" s="511"/>
      <c r="M133" s="511"/>
      <c r="N133" s="511"/>
      <c r="O133" s="511"/>
      <c r="P133" s="511"/>
      <c r="Q133" s="511"/>
      <c r="R133" s="511"/>
      <c r="S133" s="511"/>
      <c r="T133" s="511"/>
      <c r="U133" s="511"/>
      <c r="V133" s="511"/>
      <c r="W133" s="511"/>
      <c r="X133" s="511"/>
      <c r="Y133" s="511"/>
      <c r="Z133" s="511"/>
    </row>
    <row r="134" spans="2:26">
      <c r="B134" s="27"/>
      <c r="C134" s="522" t="s">
        <v>178</v>
      </c>
      <c r="D134" s="519"/>
      <c r="E134" s="523" t="s">
        <v>380</v>
      </c>
      <c r="F134" s="519"/>
      <c r="G134" s="519"/>
      <c r="H134" s="524"/>
      <c r="I134" s="524"/>
      <c r="J134" s="524"/>
      <c r="K134" s="524"/>
      <c r="L134" s="524"/>
      <c r="M134" s="524"/>
      <c r="N134" s="524">
        <f>N47*Drivers!N85</f>
        <v>0</v>
      </c>
      <c r="O134" s="524">
        <f>O47*Drivers!O85</f>
        <v>0</v>
      </c>
      <c r="P134" s="524">
        <f>P47*Drivers!P85</f>
        <v>-1109.0982266120852</v>
      </c>
      <c r="Q134" s="524">
        <f>Q47*Drivers!Q85</f>
        <v>-9243.5263548278053</v>
      </c>
      <c r="R134" s="524">
        <f>R47*Drivers!R85</f>
        <v>-17379.134433845342</v>
      </c>
      <c r="S134" s="524">
        <f>S47*Drivers!S85</f>
        <v>-24407.490562211286</v>
      </c>
      <c r="T134" s="524">
        <f>T47*Drivers!T85</f>
        <v>-28848.464454125497</v>
      </c>
      <c r="U134" s="524">
        <f>U47*Drivers!U85</f>
        <v>-31439.789114432715</v>
      </c>
      <c r="V134" s="524">
        <f>V47*Drivers!V85</f>
        <v>-32183.172001351999</v>
      </c>
      <c r="W134" s="524">
        <f>W47*Drivers!W85</f>
        <v>-32926.72188687382</v>
      </c>
      <c r="X134" s="524">
        <f>X47*Drivers!X85</f>
        <v>-33300.433977210647</v>
      </c>
      <c r="Y134" s="524">
        <f>Y47*Drivers!Y85</f>
        <v>-33304.183322376033</v>
      </c>
      <c r="Z134" s="524">
        <f>Z47*Drivers!Z85</f>
        <v>-32937.844944244789</v>
      </c>
    </row>
    <row r="135" spans="2:26">
      <c r="B135" s="27"/>
      <c r="C135" s="522" t="s">
        <v>179</v>
      </c>
      <c r="D135" s="519"/>
      <c r="E135" s="523" t="s">
        <v>380</v>
      </c>
      <c r="F135" s="519"/>
      <c r="G135" s="519"/>
      <c r="H135" s="524"/>
      <c r="I135" s="524"/>
      <c r="J135" s="524"/>
      <c r="K135" s="524"/>
      <c r="L135" s="524"/>
      <c r="M135" s="524"/>
      <c r="N135" s="524">
        <f>NPV!N$48*Drivers!N85</f>
        <v>0</v>
      </c>
      <c r="O135" s="524">
        <f>NPV!O$48*Drivers!O85</f>
        <v>0</v>
      </c>
      <c r="P135" s="524">
        <f>NPV!P$48*Drivers!P85</f>
        <v>-3746.2873432230435</v>
      </c>
      <c r="Q135" s="524">
        <f>NPV!Q$48*Drivers!Q85</f>
        <v>-30318.766443835193</v>
      </c>
      <c r="R135" s="524">
        <f>NPV!R$48*Drivers!R85</f>
        <v>-55806.331682014476</v>
      </c>
      <c r="S135" s="524">
        <f>NPV!S$48*Drivers!S85</f>
        <v>-73764.860365794084</v>
      </c>
      <c r="T135" s="524">
        <f>NPV!T$48*Drivers!T85</f>
        <v>-81737.315953355544</v>
      </c>
      <c r="U135" s="524">
        <f>NPV!U$48*Drivers!U85</f>
        <v>-83140.775658166458</v>
      </c>
      <c r="V135" s="524">
        <f>NPV!V$48*Drivers!V85</f>
        <v>-79027.56680331986</v>
      </c>
      <c r="W135" s="524">
        <f>NPV!W$48*Drivers!W85</f>
        <v>-74633.902943580601</v>
      </c>
      <c r="X135" s="524">
        <f>NPV!X$48*Drivers!X85</f>
        <v>-88801.157272561672</v>
      </c>
      <c r="Y135" s="524">
        <f>NPV!Y$48*Drivers!Y85</f>
        <v>-88811.155526336035</v>
      </c>
      <c r="Z135" s="524">
        <f>NPV!Z$48*Drivers!Z85</f>
        <v>-87834.253184652713</v>
      </c>
    </row>
    <row r="136" spans="2:26">
      <c r="B136" s="27"/>
      <c r="C136" s="525" t="s">
        <v>180</v>
      </c>
      <c r="D136" s="519"/>
      <c r="E136" s="523" t="s">
        <v>380</v>
      </c>
      <c r="F136" s="519"/>
      <c r="G136" s="519"/>
      <c r="H136" s="524"/>
      <c r="I136" s="524"/>
      <c r="J136" s="524"/>
      <c r="K136" s="524"/>
      <c r="L136" s="524"/>
      <c r="M136" s="524"/>
      <c r="N136" s="526">
        <f>N$49*Drivers!N85</f>
        <v>0</v>
      </c>
      <c r="O136" s="526">
        <f>O$49*Drivers!O85</f>
        <v>0</v>
      </c>
      <c r="P136" s="526">
        <f>P$49*Drivers!P85</f>
        <v>-98.586509032185376</v>
      </c>
      <c r="Q136" s="526">
        <f>Q$49*Drivers!Q85</f>
        <v>-421.09397838660004</v>
      </c>
      <c r="R136" s="526">
        <f>R$49*Drivers!R85</f>
        <v>-492.4088089589514</v>
      </c>
      <c r="S136" s="526">
        <f>S$49*Drivers!S85</f>
        <v>-345.77278296465988</v>
      </c>
      <c r="T136" s="526">
        <f>T$49*Drivers!T85</f>
        <v>-408.68657976677798</v>
      </c>
      <c r="U136" s="526">
        <f>U$49*Drivers!U85</f>
        <v>-445.39701245446344</v>
      </c>
      <c r="V136" s="526">
        <f>V$49*Drivers!V85</f>
        <v>-455.92827001915327</v>
      </c>
      <c r="W136" s="526">
        <f>W$49*Drivers!W85</f>
        <v>-466.46189339737907</v>
      </c>
      <c r="X136" s="526">
        <f>X$49*Drivers!X85</f>
        <v>-555.00723295351077</v>
      </c>
      <c r="Y136" s="526">
        <f>Y$49*Drivers!Y85</f>
        <v>-555.06972203960061</v>
      </c>
      <c r="Z136" s="526">
        <f>Z$49*Drivers!Z85</f>
        <v>-548.96408240407982</v>
      </c>
    </row>
    <row r="137" spans="2:26">
      <c r="B137" s="27"/>
      <c r="C137" s="564" t="s">
        <v>381</v>
      </c>
      <c r="D137" s="519"/>
      <c r="E137" s="521" t="s">
        <v>380</v>
      </c>
      <c r="F137" s="519"/>
      <c r="G137" s="519"/>
      <c r="H137" s="527"/>
      <c r="I137" s="527"/>
      <c r="J137" s="527"/>
      <c r="K137" s="527"/>
      <c r="L137" s="527"/>
      <c r="M137" s="527"/>
      <c r="N137" s="527">
        <f t="shared" ref="N137:Z137" si="70">SUM(N132:N136)</f>
        <v>0</v>
      </c>
      <c r="O137" s="527">
        <f t="shared" si="70"/>
        <v>0</v>
      </c>
      <c r="P137" s="527">
        <f t="shared" si="70"/>
        <v>7369.3415501558575</v>
      </c>
      <c r="Q137" s="527">
        <f t="shared" si="70"/>
        <v>62722.461609926024</v>
      </c>
      <c r="R137" s="527">
        <f t="shared" si="70"/>
        <v>119423.61878457392</v>
      </c>
      <c r="S137" s="527">
        <f t="shared" si="70"/>
        <v>172676.21586915539</v>
      </c>
      <c r="T137" s="527">
        <f t="shared" si="70"/>
        <v>209544.02694747999</v>
      </c>
      <c r="U137" s="527">
        <f t="shared" si="70"/>
        <v>234305.02837530989</v>
      </c>
      <c r="V137" s="527">
        <f t="shared" si="70"/>
        <v>245924.13294033121</v>
      </c>
      <c r="W137" s="527">
        <f t="shared" si="70"/>
        <v>257825.37868585729</v>
      </c>
      <c r="X137" s="527">
        <f t="shared" si="70"/>
        <v>247348.22348628135</v>
      </c>
      <c r="Y137" s="527">
        <f t="shared" si="70"/>
        <v>247376.07278898204</v>
      </c>
      <c r="Z137" s="527">
        <f t="shared" si="70"/>
        <v>244654.99272475168</v>
      </c>
    </row>
    <row r="138" spans="2:26">
      <c r="B138" s="27"/>
      <c r="C138" s="565"/>
      <c r="D138" s="519"/>
      <c r="E138" s="519"/>
      <c r="F138" s="519"/>
      <c r="G138" s="519"/>
      <c r="H138" s="527"/>
      <c r="I138" s="527"/>
      <c r="J138" s="527"/>
      <c r="K138" s="527"/>
      <c r="L138" s="527"/>
      <c r="M138" s="527"/>
      <c r="N138" s="527"/>
      <c r="O138" s="527"/>
      <c r="P138" s="527"/>
      <c r="Q138" s="527"/>
      <c r="R138" s="527"/>
      <c r="S138" s="527"/>
      <c r="T138" s="527"/>
      <c r="U138" s="527"/>
      <c r="V138" s="527"/>
      <c r="W138" s="527"/>
      <c r="X138" s="527"/>
      <c r="Y138" s="527"/>
      <c r="Z138" s="527"/>
    </row>
    <row r="139" spans="2:26">
      <c r="B139" s="27"/>
      <c r="C139" s="525" t="s">
        <v>382</v>
      </c>
      <c r="D139" s="519"/>
      <c r="E139" s="523" t="s">
        <v>380</v>
      </c>
      <c r="F139" s="519"/>
      <c r="G139" s="519"/>
      <c r="H139" s="524"/>
      <c r="I139" s="524"/>
      <c r="J139" s="524"/>
      <c r="K139" s="524"/>
      <c r="L139" s="524"/>
      <c r="M139" s="524"/>
      <c r="N139" s="526">
        <f t="shared" ref="N139" si="71">N137*-Tax_Rate</f>
        <v>0</v>
      </c>
      <c r="O139" s="526">
        <f t="shared" ref="O139:Z139" si="72">O137*-Tax_Rate</f>
        <v>0</v>
      </c>
      <c r="P139" s="526">
        <f t="shared" si="72"/>
        <v>-884.32098601870291</v>
      </c>
      <c r="Q139" s="526">
        <f t="shared" si="72"/>
        <v>-7526.695393191123</v>
      </c>
      <c r="R139" s="526">
        <f t="shared" si="72"/>
        <v>-14330.834254148869</v>
      </c>
      <c r="S139" s="526">
        <f t="shared" si="72"/>
        <v>-20721.145904298646</v>
      </c>
      <c r="T139" s="526">
        <f t="shared" si="72"/>
        <v>-25145.283233697599</v>
      </c>
      <c r="U139" s="526">
        <f t="shared" si="72"/>
        <v>-28116.603405037185</v>
      </c>
      <c r="V139" s="526">
        <f t="shared" si="72"/>
        <v>-29510.895952839743</v>
      </c>
      <c r="W139" s="526">
        <f t="shared" si="72"/>
        <v>-30939.045442302871</v>
      </c>
      <c r="X139" s="526">
        <f t="shared" si="72"/>
        <v>-29681.786818353761</v>
      </c>
      <c r="Y139" s="526">
        <f t="shared" si="72"/>
        <v>-29685.128734677844</v>
      </c>
      <c r="Z139" s="526">
        <f t="shared" si="72"/>
        <v>-29358.599126970199</v>
      </c>
    </row>
    <row r="140" spans="2:26">
      <c r="B140" s="27"/>
      <c r="C140" s="564" t="s">
        <v>383</v>
      </c>
      <c r="D140" s="519"/>
      <c r="E140" s="521" t="s">
        <v>380</v>
      </c>
      <c r="F140" s="519"/>
      <c r="G140" s="519"/>
      <c r="H140" s="527"/>
      <c r="I140" s="527"/>
      <c r="J140" s="527"/>
      <c r="K140" s="527"/>
      <c r="L140" s="527"/>
      <c r="M140" s="527"/>
      <c r="N140" s="527">
        <f t="shared" ref="N140:O140" si="73">SUM(N137:N139)</f>
        <v>0</v>
      </c>
      <c r="O140" s="527">
        <f t="shared" si="73"/>
        <v>0</v>
      </c>
      <c r="P140" s="527">
        <f t="shared" ref="P140" si="74">SUM(P137:P139)</f>
        <v>6485.0205641371549</v>
      </c>
      <c r="Q140" s="527">
        <f t="shared" ref="Q140" si="75">SUM(Q137:Q139)</f>
        <v>55195.766216734904</v>
      </c>
      <c r="R140" s="527">
        <f t="shared" ref="R140" si="76">SUM(R137:R139)</f>
        <v>105092.78453042505</v>
      </c>
      <c r="S140" s="527">
        <f t="shared" ref="S140" si="77">SUM(S137:S139)</f>
        <v>151955.06996485675</v>
      </c>
      <c r="T140" s="527">
        <f t="shared" ref="T140" si="78">SUM(T137:T139)</f>
        <v>184398.7437137824</v>
      </c>
      <c r="U140" s="527">
        <f t="shared" ref="U140" si="79">SUM(U137:U139)</f>
        <v>206188.4249702727</v>
      </c>
      <c r="V140" s="527">
        <f t="shared" ref="V140" si="80">SUM(V137:V139)</f>
        <v>216413.23698749146</v>
      </c>
      <c r="W140" s="527">
        <f t="shared" ref="W140" si="81">SUM(W137:W139)</f>
        <v>226886.3332435544</v>
      </c>
      <c r="X140" s="527">
        <f t="shared" ref="X140" si="82">SUM(X137:X139)</f>
        <v>217666.4366679276</v>
      </c>
      <c r="Y140" s="527">
        <f t="shared" ref="Y140" si="83">SUM(Y137:Y139)</f>
        <v>217690.94405430419</v>
      </c>
      <c r="Z140" s="527">
        <f t="shared" ref="Z140" si="84">SUM(Z137:Z139)</f>
        <v>215296.39359778148</v>
      </c>
    </row>
    <row r="141" spans="2:26">
      <c r="B141" s="27"/>
      <c r="C141" s="565"/>
      <c r="D141" s="519"/>
      <c r="E141" s="519"/>
      <c r="F141" s="519"/>
      <c r="G141" s="519"/>
      <c r="H141" s="527"/>
      <c r="I141" s="527"/>
      <c r="J141" s="527"/>
      <c r="K141" s="527"/>
      <c r="L141" s="527"/>
      <c r="M141" s="527"/>
      <c r="N141" s="527"/>
      <c r="O141" s="527"/>
      <c r="P141" s="527"/>
      <c r="Q141" s="527"/>
      <c r="R141" s="527"/>
      <c r="S141" s="527"/>
      <c r="T141" s="527"/>
      <c r="U141" s="527"/>
      <c r="V141" s="527"/>
      <c r="W141" s="527"/>
      <c r="X141" s="527"/>
      <c r="Y141" s="527"/>
      <c r="Z141" s="527"/>
    </row>
    <row r="142" spans="2:26">
      <c r="B142" s="27"/>
      <c r="C142" s="522" t="s">
        <v>500</v>
      </c>
      <c r="D142" s="519"/>
      <c r="E142" s="519"/>
      <c r="F142" s="519"/>
      <c r="G142" s="519"/>
      <c r="H142" s="527"/>
      <c r="I142" s="527"/>
      <c r="J142" s="527"/>
      <c r="K142" s="527"/>
      <c r="L142" s="527"/>
      <c r="M142" s="527"/>
      <c r="N142" s="527"/>
      <c r="O142" s="527"/>
      <c r="P142" s="569">
        <f t="shared" ref="P142:Z142" si="85">-P132*Royaltyxw</f>
        <v>-1478.7976354827804</v>
      </c>
      <c r="Q142" s="569">
        <f t="shared" si="85"/>
        <v>-12324.701806437073</v>
      </c>
      <c r="R142" s="569">
        <f t="shared" si="85"/>
        <v>-23172.179245127125</v>
      </c>
      <c r="S142" s="569">
        <f t="shared" si="85"/>
        <v>-32543.320749615046</v>
      </c>
      <c r="T142" s="569">
        <f t="shared" si="85"/>
        <v>-38464.619272167336</v>
      </c>
      <c r="U142" s="569">
        <f t="shared" si="85"/>
        <v>-41919.718819243615</v>
      </c>
      <c r="V142" s="569">
        <f t="shared" si="85"/>
        <v>-42910.896001802663</v>
      </c>
      <c r="W142" s="569">
        <f t="shared" si="85"/>
        <v>-43902.295849165086</v>
      </c>
      <c r="X142" s="569">
        <f t="shared" si="85"/>
        <v>-44400.578636280865</v>
      </c>
      <c r="Y142" s="569">
        <f t="shared" si="85"/>
        <v>-44405.577763168047</v>
      </c>
      <c r="Z142" s="569">
        <f t="shared" si="85"/>
        <v>-43917.126592326385</v>
      </c>
    </row>
    <row r="143" spans="2:26">
      <c r="B143" s="27"/>
      <c r="C143" s="522" t="s">
        <v>408</v>
      </c>
      <c r="D143" s="519"/>
      <c r="E143" s="523" t="s">
        <v>380</v>
      </c>
      <c r="F143" s="519"/>
      <c r="G143" s="519"/>
      <c r="H143" s="527"/>
      <c r="I143" s="527"/>
      <c r="J143" s="527"/>
      <c r="K143" s="527"/>
      <c r="L143" s="527"/>
      <c r="M143" s="527"/>
      <c r="N143" s="569">
        <f>N$55*Drivers!N85</f>
        <v>0</v>
      </c>
      <c r="O143" s="569">
        <f>O$55*Drivers!O85</f>
        <v>0</v>
      </c>
      <c r="P143" s="569">
        <f>P$55*Drivers!P85</f>
        <v>-18.577004030770635</v>
      </c>
      <c r="Q143" s="569">
        <f>Q$55*Drivers!Q85</f>
        <v>-91.322739844900212</v>
      </c>
      <c r="R143" s="569">
        <f>R$55*Drivers!R85</f>
        <v>-127.10561607053496</v>
      </c>
      <c r="S143" s="569">
        <f>S$55*Drivers!S85</f>
        <v>-150.77339852054308</v>
      </c>
      <c r="T143" s="569">
        <f>T$55*Drivers!T85</f>
        <v>-159.76918232990278</v>
      </c>
      <c r="U143" s="569">
        <f>U$55*Drivers!U85</f>
        <v>-160.45000596342675</v>
      </c>
      <c r="V143" s="569">
        <f>V$55*Drivers!V85</f>
        <v>-155.73219254788444</v>
      </c>
      <c r="W143" s="569">
        <f>W$55*Drivers!W85</f>
        <v>-151.37750507531848</v>
      </c>
      <c r="X143" s="569">
        <f>X$55*Drivers!X85</f>
        <v>-146.83674136494992</v>
      </c>
      <c r="Y143" s="569">
        <f>Y$55*Drivers!Y85</f>
        <v>-143.16865299577503</v>
      </c>
      <c r="Z143" s="569">
        <f>Z$55*Drivers!Z85</f>
        <v>-140.53190210446209</v>
      </c>
    </row>
    <row r="144" spans="2:26">
      <c r="B144" s="27"/>
      <c r="C144" s="522" t="s">
        <v>384</v>
      </c>
      <c r="D144" s="519"/>
      <c r="E144" s="523" t="s">
        <v>380</v>
      </c>
      <c r="F144" s="519"/>
      <c r="G144" s="519"/>
      <c r="H144" s="527"/>
      <c r="I144" s="527"/>
      <c r="J144" s="527"/>
      <c r="K144" s="527"/>
      <c r="L144" s="527"/>
      <c r="M144" s="527"/>
      <c r="N144" s="527">
        <f>Model!M232</f>
        <v>0</v>
      </c>
      <c r="O144" s="527">
        <f>Model!N232</f>
        <v>0</v>
      </c>
      <c r="P144" s="527">
        <f>Model!O232</f>
        <v>0</v>
      </c>
      <c r="Q144" s="527">
        <f>Model!P232</f>
        <v>0</v>
      </c>
      <c r="R144" s="527">
        <f>Model!Q232</f>
        <v>0</v>
      </c>
      <c r="S144" s="527">
        <f>Model!R232</f>
        <v>0</v>
      </c>
      <c r="T144" s="527">
        <f>Model!S232</f>
        <v>0</v>
      </c>
      <c r="U144" s="527">
        <f>Model!T232</f>
        <v>0</v>
      </c>
      <c r="V144" s="527">
        <f>Model!U232</f>
        <v>0</v>
      </c>
      <c r="W144" s="527">
        <f>Model!V232</f>
        <v>0</v>
      </c>
      <c r="X144" s="527">
        <f>Model!W232</f>
        <v>0</v>
      </c>
      <c r="Y144" s="527">
        <f>Model!X232</f>
        <v>0</v>
      </c>
      <c r="Z144" s="527">
        <f>Model!Y232</f>
        <v>0</v>
      </c>
    </row>
    <row r="145" spans="2:26">
      <c r="B145" s="27"/>
      <c r="C145" s="525" t="s">
        <v>385</v>
      </c>
      <c r="D145" s="519"/>
      <c r="E145" s="523" t="s">
        <v>380</v>
      </c>
      <c r="F145" s="519"/>
      <c r="G145" s="519"/>
      <c r="H145" s="569"/>
      <c r="I145" s="569"/>
      <c r="J145" s="569"/>
      <c r="K145" s="569"/>
      <c r="L145" s="569"/>
      <c r="M145" s="569"/>
      <c r="N145" s="528">
        <f>N$58*Drivers!N85</f>
        <v>0</v>
      </c>
      <c r="O145" s="528">
        <f>O$58*Drivers!O85</f>
        <v>0</v>
      </c>
      <c r="P145" s="528">
        <f>P$58*Drivers!P85</f>
        <v>5.4213894043975381</v>
      </c>
      <c r="Q145" s="528">
        <f>Q$58*Drivers!Q85</f>
        <v>25.574212568379952</v>
      </c>
      <c r="R145" s="528">
        <f>R$58*Drivers!R85</f>
        <v>34.156745880591281</v>
      </c>
      <c r="S145" s="528">
        <f>S$58*Drivers!S85</f>
        <v>38.87987711312482</v>
      </c>
      <c r="T145" s="528">
        <f>T$58*Drivers!T85</f>
        <v>39.534985390303504</v>
      </c>
      <c r="U145" s="528">
        <f>U$58*Drivers!U85</f>
        <v>38.099275604314236</v>
      </c>
      <c r="V145" s="528">
        <f>V$58*Drivers!V85</f>
        <v>35.484916655700353</v>
      </c>
      <c r="W145" s="528">
        <f>W$58*Drivers!W85</f>
        <v>33.099020761213126</v>
      </c>
      <c r="X145" s="528">
        <f>X$58*Drivers!X85</f>
        <v>30.80895379184307</v>
      </c>
      <c r="Y145" s="528">
        <f>Y$58*Drivers!Y85</f>
        <v>28.825613714725595</v>
      </c>
      <c r="Z145" s="528">
        <f>Z$58*Drivers!Z85</f>
        <v>27.151508208369176</v>
      </c>
    </row>
    <row r="146" spans="2:26">
      <c r="B146" s="27"/>
      <c r="C146" s="564" t="s">
        <v>386</v>
      </c>
      <c r="D146" s="519"/>
      <c r="E146" s="521" t="s">
        <v>380</v>
      </c>
      <c r="F146" s="519"/>
      <c r="G146" s="519"/>
      <c r="H146" s="527"/>
      <c r="I146" s="527"/>
      <c r="J146" s="527"/>
      <c r="K146" s="527"/>
      <c r="L146" s="527"/>
      <c r="M146" s="527"/>
      <c r="N146" s="527">
        <f t="shared" ref="N146" si="86">SUM(N140:N145)</f>
        <v>0</v>
      </c>
      <c r="O146" s="527">
        <f t="shared" ref="O146:Z146" si="87">SUM(O140:O145)</f>
        <v>0</v>
      </c>
      <c r="P146" s="527">
        <f t="shared" si="87"/>
        <v>4993.0673140280014</v>
      </c>
      <c r="Q146" s="527">
        <f t="shared" si="87"/>
        <v>42805.315883021314</v>
      </c>
      <c r="R146" s="527">
        <f t="shared" si="87"/>
        <v>81827.656415107995</v>
      </c>
      <c r="S146" s="527">
        <f t="shared" si="87"/>
        <v>119299.8556938343</v>
      </c>
      <c r="T146" s="527">
        <f t="shared" si="87"/>
        <v>145813.89024467548</v>
      </c>
      <c r="U146" s="527">
        <f t="shared" si="87"/>
        <v>164146.35542067001</v>
      </c>
      <c r="V146" s="527">
        <f t="shared" si="87"/>
        <v>173382.09370979661</v>
      </c>
      <c r="W146" s="527">
        <f t="shared" si="87"/>
        <v>182865.75891007518</v>
      </c>
      <c r="X146" s="527">
        <f t="shared" si="87"/>
        <v>173149.83024407364</v>
      </c>
      <c r="Y146" s="527">
        <f t="shared" si="87"/>
        <v>173171.02325185508</v>
      </c>
      <c r="Z146" s="527">
        <f t="shared" si="87"/>
        <v>171265.88661155899</v>
      </c>
    </row>
    <row r="147" spans="2:26">
      <c r="B147" s="27"/>
      <c r="C147" s="529" t="s">
        <v>387</v>
      </c>
      <c r="D147" s="519"/>
      <c r="E147" s="523" t="s">
        <v>15</v>
      </c>
      <c r="F147" s="519"/>
      <c r="G147" s="519"/>
      <c r="H147" s="570"/>
      <c r="I147" s="570"/>
      <c r="J147" s="570"/>
      <c r="K147" s="570"/>
      <c r="L147" s="570"/>
      <c r="M147" s="570"/>
      <c r="N147" s="530" t="e">
        <f t="shared" ref="N147:Z147" si="88">N146/N132</f>
        <v>#DIV/0!</v>
      </c>
      <c r="O147" s="530" t="e">
        <f t="shared" si="88"/>
        <v>#DIV/0!</v>
      </c>
      <c r="P147" s="530">
        <f t="shared" si="88"/>
        <v>0.40517246126631168</v>
      </c>
      <c r="Q147" s="530">
        <f t="shared" si="88"/>
        <v>0.41677583657884043</v>
      </c>
      <c r="R147" s="530">
        <f t="shared" si="88"/>
        <v>0.42375465276438612</v>
      </c>
      <c r="S147" s="530">
        <f t="shared" si="88"/>
        <v>0.43990540465755812</v>
      </c>
      <c r="T147" s="530">
        <f t="shared" si="88"/>
        <v>0.4549028993515144</v>
      </c>
      <c r="U147" s="530">
        <f t="shared" si="88"/>
        <v>0.46988775701038482</v>
      </c>
      <c r="V147" s="530">
        <f t="shared" si="88"/>
        <v>0.48486172939156408</v>
      </c>
      <c r="W147" s="530">
        <f t="shared" si="88"/>
        <v>0.49983470442187222</v>
      </c>
      <c r="X147" s="530">
        <f t="shared" si="88"/>
        <v>0.46796641547168061</v>
      </c>
      <c r="Y147" s="530">
        <f t="shared" si="88"/>
        <v>0.46797100357646726</v>
      </c>
      <c r="Z147" s="530">
        <f t="shared" si="88"/>
        <v>0.46797019723458183</v>
      </c>
    </row>
    <row r="148" spans="2:26">
      <c r="B148" s="27"/>
      <c r="C148" s="529"/>
      <c r="D148" s="519"/>
      <c r="E148" s="523"/>
      <c r="F148" s="519"/>
      <c r="G148" s="519"/>
      <c r="H148" s="570"/>
      <c r="I148" s="570"/>
      <c r="J148" s="570"/>
      <c r="K148" s="570"/>
      <c r="L148" s="570"/>
      <c r="M148" s="570"/>
      <c r="N148" s="530"/>
      <c r="O148" s="530"/>
      <c r="P148" s="530"/>
      <c r="Q148" s="530"/>
      <c r="R148" s="530"/>
      <c r="S148" s="530"/>
      <c r="T148" s="530"/>
      <c r="U148" s="530"/>
      <c r="V148" s="530"/>
      <c r="W148" s="530"/>
      <c r="X148" s="530"/>
      <c r="Y148" s="530"/>
      <c r="Z148" s="530"/>
    </row>
    <row r="149" spans="2:26">
      <c r="B149" s="27"/>
      <c r="C149" s="563" t="s">
        <v>373</v>
      </c>
      <c r="D149" s="519"/>
      <c r="E149" s="523" t="s">
        <v>15</v>
      </c>
      <c r="F149" s="519"/>
      <c r="G149" s="519"/>
      <c r="H149" s="570"/>
      <c r="I149" s="570"/>
      <c r="J149" s="570"/>
      <c r="K149" s="570"/>
      <c r="L149" s="570"/>
      <c r="M149" s="570"/>
      <c r="N149" s="581">
        <v>0.7</v>
      </c>
      <c r="O149" s="581">
        <v>0.7</v>
      </c>
      <c r="P149" s="581">
        <v>0.7</v>
      </c>
      <c r="Q149" s="581">
        <v>0.7</v>
      </c>
      <c r="R149" s="581">
        <v>0.7</v>
      </c>
      <c r="S149" s="581">
        <v>0.7</v>
      </c>
      <c r="T149" s="581">
        <v>0.7</v>
      </c>
      <c r="U149" s="581">
        <v>0.7</v>
      </c>
      <c r="V149" s="581">
        <v>0.7</v>
      </c>
      <c r="W149" s="581">
        <v>0.7</v>
      </c>
      <c r="X149" s="581">
        <v>0.7</v>
      </c>
      <c r="Y149" s="581">
        <v>0.7</v>
      </c>
      <c r="Z149" s="581">
        <v>0.7</v>
      </c>
    </row>
    <row r="150" spans="2:26">
      <c r="B150" s="27"/>
      <c r="C150" s="580" t="s">
        <v>388</v>
      </c>
      <c r="D150" s="519"/>
      <c r="E150" s="521" t="s">
        <v>380</v>
      </c>
      <c r="F150" s="519"/>
      <c r="G150" s="519"/>
      <c r="H150" s="570"/>
      <c r="I150" s="570"/>
      <c r="J150" s="570"/>
      <c r="K150" s="570"/>
      <c r="L150" s="570"/>
      <c r="M150" s="570"/>
      <c r="N150" s="527">
        <f t="shared" ref="N150" si="89">N146*N149</f>
        <v>0</v>
      </c>
      <c r="O150" s="527">
        <f t="shared" ref="O150" si="90">O146*O149</f>
        <v>0</v>
      </c>
      <c r="P150" s="527">
        <f t="shared" ref="P150" si="91">P146*P149</f>
        <v>3495.1471198196009</v>
      </c>
      <c r="Q150" s="527">
        <f t="shared" ref="Q150" si="92">Q146*Q149</f>
        <v>29963.721118114918</v>
      </c>
      <c r="R150" s="527">
        <f t="shared" ref="R150" si="93">R146*R149</f>
        <v>57279.359490575596</v>
      </c>
      <c r="S150" s="527">
        <f t="shared" ref="S150" si="94">S146*S149</f>
        <v>83509.898985684005</v>
      </c>
      <c r="T150" s="527">
        <f t="shared" ref="T150" si="95">T146*T149</f>
        <v>102069.72317127282</v>
      </c>
      <c r="U150" s="527">
        <f t="shared" ref="U150" si="96">U146*U149</f>
        <v>114902.44879446899</v>
      </c>
      <c r="V150" s="527">
        <f t="shared" ref="V150" si="97">V146*V149</f>
        <v>121367.46559685761</v>
      </c>
      <c r="W150" s="527">
        <f t="shared" ref="W150" si="98">W146*W149</f>
        <v>128006.03123705262</v>
      </c>
      <c r="X150" s="527">
        <f t="shared" ref="X150" si="99">X146*X149</f>
        <v>121204.88117085154</v>
      </c>
      <c r="Y150" s="527">
        <f t="shared" ref="Y150" si="100">Y146*Y149</f>
        <v>121219.71627629854</v>
      </c>
      <c r="Z150" s="527">
        <f t="shared" ref="Z150" si="101">Z146*Z149</f>
        <v>119886.12062809129</v>
      </c>
    </row>
    <row r="152" spans="2:26">
      <c r="B152" s="5" t="s">
        <v>135</v>
      </c>
      <c r="C152" s="1"/>
      <c r="D152" s="1"/>
      <c r="E152" s="1"/>
      <c r="F152" s="1"/>
      <c r="G152" s="1"/>
      <c r="H152" s="1"/>
      <c r="I152" s="1"/>
      <c r="J152" s="1"/>
      <c r="K152" s="1"/>
      <c r="L152" s="1"/>
      <c r="M152" s="1"/>
      <c r="N152" s="1"/>
      <c r="O152" s="1"/>
      <c r="P152" s="1"/>
      <c r="Q152" s="1"/>
      <c r="R152" s="1"/>
      <c r="S152" s="1"/>
      <c r="T152" s="1"/>
      <c r="U152" s="1"/>
      <c r="V152" s="1"/>
      <c r="W152" s="1"/>
    </row>
    <row r="154" spans="2:26">
      <c r="E154" s="95"/>
      <c r="F154" s="96"/>
      <c r="G154" s="96"/>
      <c r="H154" s="96"/>
      <c r="I154" s="96"/>
      <c r="J154" s="97"/>
      <c r="K154" s="98" t="s">
        <v>136</v>
      </c>
      <c r="L154" s="96"/>
      <c r="M154" s="96"/>
      <c r="N154" s="96"/>
      <c r="O154" s="96"/>
      <c r="P154" s="99"/>
    </row>
    <row r="155" spans="2:26">
      <c r="E155" s="100">
        <f>V18</f>
        <v>48.107371106115629</v>
      </c>
      <c r="F155" s="101">
        <v>0.125</v>
      </c>
      <c r="G155" s="102">
        <f>F155-0.5%</f>
        <v>0.12</v>
      </c>
      <c r="H155" s="102">
        <f t="shared" ref="H155:P155" si="102">G155-0.5%</f>
        <v>0.11499999999999999</v>
      </c>
      <c r="I155" s="102">
        <f t="shared" si="102"/>
        <v>0.10999999999999999</v>
      </c>
      <c r="J155" s="102">
        <f t="shared" si="102"/>
        <v>0.10499999999999998</v>
      </c>
      <c r="K155" s="102">
        <f t="shared" si="102"/>
        <v>9.9999999999999978E-2</v>
      </c>
      <c r="L155" s="102">
        <f t="shared" si="102"/>
        <v>9.4999999999999973E-2</v>
      </c>
      <c r="M155" s="102">
        <f t="shared" si="102"/>
        <v>8.9999999999999969E-2</v>
      </c>
      <c r="N155" s="102">
        <f t="shared" si="102"/>
        <v>8.4999999999999964E-2</v>
      </c>
      <c r="O155" s="102">
        <f t="shared" si="102"/>
        <v>7.999999999999996E-2</v>
      </c>
      <c r="P155" s="102">
        <f t="shared" si="102"/>
        <v>7.4999999999999956E-2</v>
      </c>
    </row>
    <row r="156" spans="2:26">
      <c r="E156" s="636">
        <v>0.15</v>
      </c>
      <c r="F156" s="44">
        <f t="dataTable" ref="F156:P166" dt2D="1" dtr="1" r1="G19" r2="H8" ca="1"/>
        <v>35.509775403573933</v>
      </c>
      <c r="G156" s="44">
        <v>36.55264997945477</v>
      </c>
      <c r="H156" s="44">
        <v>37.638198762236144</v>
      </c>
      <c r="I156" s="44">
        <v>38.76855321634784</v>
      </c>
      <c r="J156" s="44">
        <v>39.94596787015869</v>
      </c>
      <c r="K156" s="103">
        <v>41.172828292913543</v>
      </c>
      <c r="L156" s="44">
        <v>42.451659641779429</v>
      </c>
      <c r="M156" s="44">
        <v>43.785135823380337</v>
      </c>
      <c r="N156" s="44">
        <v>45.176089317929971</v>
      </c>
      <c r="O156" s="44">
        <v>46.627521718136634</v>
      </c>
      <c r="P156" s="104">
        <v>48.142615039488248</v>
      </c>
    </row>
    <row r="157" spans="2:26">
      <c r="E157" s="637">
        <f>E156-0.005</f>
        <v>0.14499999999999999</v>
      </c>
      <c r="F157" s="44">
        <v>35.779880338365807</v>
      </c>
      <c r="G157" s="44">
        <v>36.830275605115197</v>
      </c>
      <c r="H157" s="44">
        <v>37.923654560514763</v>
      </c>
      <c r="I157" s="44">
        <v>39.062164477537166</v>
      </c>
      <c r="J157" s="44">
        <v>40.248076631259138</v>
      </c>
      <c r="K157" s="103">
        <v>41.483794338348623</v>
      </c>
      <c r="L157" s="44">
        <v>42.771861571254803</v>
      </c>
      <c r="M157" s="44">
        <v>44.114972191847123</v>
      </c>
      <c r="N157" s="44">
        <v>45.515979853011004</v>
      </c>
      <c r="O157" s="44">
        <v>46.977908620807248</v>
      </c>
      <c r="P157" s="104">
        <v>48.503964374273657</v>
      </c>
    </row>
    <row r="158" spans="2:26">
      <c r="E158" s="637">
        <f t="shared" ref="E158:E166" si="103">E157-0.005</f>
        <v>0.13999999999999999</v>
      </c>
      <c r="F158" s="44">
        <v>36.049985273157695</v>
      </c>
      <c r="G158" s="44">
        <v>37.107901230775624</v>
      </c>
      <c r="H158" s="44">
        <v>38.209110358793367</v>
      </c>
      <c r="I158" s="44">
        <v>39.355775738726493</v>
      </c>
      <c r="J158" s="44">
        <v>40.550185392359587</v>
      </c>
      <c r="K158" s="103">
        <v>41.794760383783689</v>
      </c>
      <c r="L158" s="44">
        <v>43.092063500730163</v>
      </c>
      <c r="M158" s="44">
        <v>44.444808560313902</v>
      </c>
      <c r="N158" s="44">
        <v>45.855870388092036</v>
      </c>
      <c r="O158" s="44">
        <v>47.328295523477856</v>
      </c>
      <c r="P158" s="104">
        <v>48.865313709059052</v>
      </c>
    </row>
    <row r="159" spans="2:26">
      <c r="E159" s="637">
        <f t="shared" si="103"/>
        <v>0.13499999999999998</v>
      </c>
      <c r="F159" s="44">
        <v>36.320090207949569</v>
      </c>
      <c r="G159" s="44">
        <v>37.385526856436059</v>
      </c>
      <c r="H159" s="44">
        <v>38.494566157071979</v>
      </c>
      <c r="I159" s="44">
        <v>39.649386999915826</v>
      </c>
      <c r="J159" s="44">
        <v>40.852294153460022</v>
      </c>
      <c r="K159" s="103">
        <v>42.105726429218755</v>
      </c>
      <c r="L159" s="44">
        <v>43.41226543020553</v>
      </c>
      <c r="M159" s="44">
        <v>44.774644928780695</v>
      </c>
      <c r="N159" s="44">
        <v>46.195760923173069</v>
      </c>
      <c r="O159" s="44">
        <v>47.678682426148463</v>
      </c>
      <c r="P159" s="104">
        <v>49.226663043844475</v>
      </c>
    </row>
    <row r="160" spans="2:26">
      <c r="C160" s="635" t="s">
        <v>401</v>
      </c>
      <c r="E160" s="637">
        <f t="shared" si="103"/>
        <v>0.12999999999999998</v>
      </c>
      <c r="F160" s="44">
        <v>36.59019514274145</v>
      </c>
      <c r="G160" s="44">
        <v>37.663152482096493</v>
      </c>
      <c r="H160" s="44">
        <v>38.780021955350598</v>
      </c>
      <c r="I160" s="44">
        <v>39.942998261105153</v>
      </c>
      <c r="J160" s="44">
        <v>41.154402914560478</v>
      </c>
      <c r="K160" s="103">
        <v>42.416692474653829</v>
      </c>
      <c r="L160" s="44">
        <v>43.732467359680889</v>
      </c>
      <c r="M160" s="44">
        <v>45.104481297247474</v>
      </c>
      <c r="N160" s="44">
        <v>46.535651458254094</v>
      </c>
      <c r="O160" s="44">
        <v>48.02906932881907</v>
      </c>
      <c r="P160" s="104">
        <v>49.588012378629877</v>
      </c>
    </row>
    <row r="161" spans="3:16">
      <c r="E161" s="637">
        <f t="shared" si="103"/>
        <v>0.12499999999999997</v>
      </c>
      <c r="F161" s="103">
        <v>36.860300077533331</v>
      </c>
      <c r="G161" s="103">
        <v>37.940778107756913</v>
      </c>
      <c r="H161" s="103">
        <v>39.06547775362921</v>
      </c>
      <c r="I161" s="103">
        <v>40.236609522294479</v>
      </c>
      <c r="J161" s="103">
        <v>41.45651167566092</v>
      </c>
      <c r="K161" s="103">
        <v>42.727658520088902</v>
      </c>
      <c r="L161" s="103">
        <v>44.052669289156263</v>
      </c>
      <c r="M161" s="103">
        <v>45.434317665714261</v>
      </c>
      <c r="N161" s="103">
        <v>46.875541993335133</v>
      </c>
      <c r="O161" s="103">
        <v>48.379456231489684</v>
      </c>
      <c r="P161" s="106">
        <v>49.949361713415279</v>
      </c>
    </row>
    <row r="162" spans="3:16">
      <c r="E162" s="637">
        <f t="shared" si="103"/>
        <v>0.11999999999999997</v>
      </c>
      <c r="F162" s="44">
        <v>37.130405012325213</v>
      </c>
      <c r="G162" s="44">
        <v>38.218403733417354</v>
      </c>
      <c r="H162" s="44">
        <v>39.350933551907822</v>
      </c>
      <c r="I162" s="44">
        <v>40.530220783483813</v>
      </c>
      <c r="J162" s="44">
        <v>41.758620436761369</v>
      </c>
      <c r="K162" s="103">
        <v>43.038624565523968</v>
      </c>
      <c r="L162" s="44">
        <v>44.37287121863163</v>
      </c>
      <c r="M162" s="44">
        <v>45.764154034181054</v>
      </c>
      <c r="N162" s="44">
        <v>47.215432528416166</v>
      </c>
      <c r="O162" s="44">
        <v>48.729843134160291</v>
      </c>
      <c r="P162" s="104">
        <v>50.310711048200673</v>
      </c>
    </row>
    <row r="163" spans="3:16">
      <c r="E163" s="637">
        <f t="shared" si="103"/>
        <v>0.11499999999999996</v>
      </c>
      <c r="F163" s="44">
        <v>37.400509947117087</v>
      </c>
      <c r="G163" s="44">
        <v>38.496029359077781</v>
      </c>
      <c r="H163" s="44">
        <v>39.636389350186434</v>
      </c>
      <c r="I163" s="44">
        <v>40.823832044673139</v>
      </c>
      <c r="J163" s="44">
        <v>42.060729197861818</v>
      </c>
      <c r="K163" s="103">
        <v>43.349590610959041</v>
      </c>
      <c r="L163" s="44">
        <v>44.69307314810699</v>
      </c>
      <c r="M163" s="44">
        <v>46.093990402647833</v>
      </c>
      <c r="N163" s="44">
        <v>47.555323063497205</v>
      </c>
      <c r="O163" s="44">
        <v>49.080230036830898</v>
      </c>
      <c r="P163" s="104">
        <v>50.672060382986089</v>
      </c>
    </row>
    <row r="164" spans="3:16">
      <c r="E164" s="637">
        <f t="shared" si="103"/>
        <v>0.10999999999999996</v>
      </c>
      <c r="F164" s="44">
        <v>37.670614881908975</v>
      </c>
      <c r="G164" s="44">
        <v>38.773654984738215</v>
      </c>
      <c r="H164" s="44">
        <v>39.921845148465046</v>
      </c>
      <c r="I164" s="44">
        <v>41.117443305862466</v>
      </c>
      <c r="J164" s="44">
        <v>42.362837958962267</v>
      </c>
      <c r="K164" s="103">
        <v>43.660556656394121</v>
      </c>
      <c r="L164" s="44">
        <v>45.013275077582364</v>
      </c>
      <c r="M164" s="44">
        <v>46.423826771114612</v>
      </c>
      <c r="N164" s="44">
        <v>47.895213598578231</v>
      </c>
      <c r="O164" s="44">
        <v>49.430616939501512</v>
      </c>
      <c r="P164" s="104">
        <v>51.033409717771491</v>
      </c>
    </row>
    <row r="165" spans="3:16">
      <c r="E165" s="637">
        <f t="shared" si="103"/>
        <v>0.10499999999999995</v>
      </c>
      <c r="F165" s="44">
        <v>37.940719816700849</v>
      </c>
      <c r="G165" s="44">
        <v>39.051280610398649</v>
      </c>
      <c r="H165" s="44">
        <v>40.207300946743658</v>
      </c>
      <c r="I165" s="44">
        <v>41.411054567051792</v>
      </c>
      <c r="J165" s="44">
        <v>42.664946720062709</v>
      </c>
      <c r="K165" s="103">
        <v>43.971522701829187</v>
      </c>
      <c r="L165" s="44">
        <v>45.333477007057724</v>
      </c>
      <c r="M165" s="44">
        <v>46.753663139581398</v>
      </c>
      <c r="N165" s="44">
        <v>48.235104133659263</v>
      </c>
      <c r="O165" s="44">
        <v>49.781003842172105</v>
      </c>
      <c r="P165" s="104">
        <v>51.394759052556893</v>
      </c>
    </row>
    <row r="166" spans="3:16">
      <c r="E166" s="637">
        <f t="shared" si="103"/>
        <v>9.999999999999995E-2</v>
      </c>
      <c r="F166" s="107">
        <v>38.21082475149273</v>
      </c>
      <c r="G166" s="107">
        <v>39.328906236059083</v>
      </c>
      <c r="H166" s="107">
        <v>40.492756745022277</v>
      </c>
      <c r="I166" s="107">
        <v>41.704665828241119</v>
      </c>
      <c r="J166" s="107">
        <v>42.967055481163158</v>
      </c>
      <c r="K166" s="108">
        <v>44.28248874726426</v>
      </c>
      <c r="L166" s="107">
        <v>45.65367893653309</v>
      </c>
      <c r="M166" s="107">
        <v>47.083499508048192</v>
      </c>
      <c r="N166" s="107">
        <v>48.574994668740288</v>
      </c>
      <c r="O166" s="107">
        <v>50.131390744842726</v>
      </c>
      <c r="P166" s="109">
        <v>51.756108387342316</v>
      </c>
    </row>
    <row r="169" spans="3:16">
      <c r="E169" s="95"/>
      <c r="F169" s="96"/>
      <c r="G169" s="96"/>
      <c r="H169" s="96"/>
      <c r="I169" s="96"/>
      <c r="J169" s="97"/>
      <c r="K169" s="98" t="s">
        <v>136</v>
      </c>
      <c r="L169" s="96"/>
      <c r="M169" s="96"/>
      <c r="N169" s="96"/>
      <c r="O169" s="96"/>
      <c r="P169" s="99"/>
    </row>
    <row r="170" spans="3:16">
      <c r="E170" s="100">
        <f>V11</f>
        <v>47.942536741228928</v>
      </c>
      <c r="F170" s="101">
        <v>0.125</v>
      </c>
      <c r="G170" s="102">
        <f>F170-0.5%</f>
        <v>0.12</v>
      </c>
      <c r="H170" s="102">
        <f t="shared" ref="H170:P170" si="104">G170-0.5%</f>
        <v>0.11499999999999999</v>
      </c>
      <c r="I170" s="102">
        <f t="shared" si="104"/>
        <v>0.10999999999999999</v>
      </c>
      <c r="J170" s="102">
        <f t="shared" si="104"/>
        <v>0.10499999999999998</v>
      </c>
      <c r="K170" s="102">
        <f t="shared" si="104"/>
        <v>9.9999999999999978E-2</v>
      </c>
      <c r="L170" s="102">
        <f t="shared" si="104"/>
        <v>9.4999999999999973E-2</v>
      </c>
      <c r="M170" s="102">
        <f t="shared" si="104"/>
        <v>8.9999999999999969E-2</v>
      </c>
      <c r="N170" s="102">
        <f t="shared" si="104"/>
        <v>8.4999999999999964E-2</v>
      </c>
      <c r="O170" s="102">
        <f t="shared" si="104"/>
        <v>7.999999999999996E-2</v>
      </c>
      <c r="P170" s="102">
        <f t="shared" si="104"/>
        <v>7.4999999999999956E-2</v>
      </c>
    </row>
    <row r="171" spans="3:16">
      <c r="E171" s="110">
        <v>0.7</v>
      </c>
      <c r="F171" s="44">
        <f t="dataTable" ref="F171:P181" dt2D="1" dtr="1" r1="G19" r2="V8"/>
        <v>35.320039984596669</v>
      </c>
      <c r="G171" s="44">
        <v>36.529969611668363</v>
      </c>
      <c r="H171" s="44">
        <v>37.794838131133822</v>
      </c>
      <c r="I171" s="44">
        <v>39.117616985710107</v>
      </c>
      <c r="J171" s="44">
        <v>40.501460744297511</v>
      </c>
      <c r="K171" s="103">
        <v>41.949719648575311</v>
      </c>
      <c r="L171" s="44">
        <v>43.465953100430582</v>
      </c>
      <c r="M171" s="44">
        <v>45.05394416661143</v>
      </c>
      <c r="N171" s="44">
        <v>46.717715183659415</v>
      </c>
      <c r="O171" s="44">
        <v>48.461544553459433</v>
      </c>
      <c r="P171" s="104">
        <v>50.289984827711478</v>
      </c>
    </row>
    <row r="172" spans="3:16">
      <c r="E172" s="111">
        <f>E171+2%</f>
        <v>0.72</v>
      </c>
      <c r="F172" s="44">
        <v>36.329183984156572</v>
      </c>
      <c r="G172" s="44">
        <v>37.573683029144604</v>
      </c>
      <c r="H172" s="44">
        <v>38.874690649166219</v>
      </c>
      <c r="I172" s="44">
        <v>40.235263185301832</v>
      </c>
      <c r="J172" s="44">
        <v>41.658645336991732</v>
      </c>
      <c r="K172" s="103">
        <v>43.148283067106036</v>
      </c>
      <c r="L172" s="44">
        <v>44.707837474728599</v>
      </c>
      <c r="M172" s="44">
        <v>46.3411997142289</v>
      </c>
      <c r="N172" s="44">
        <v>48.052507046049691</v>
      </c>
      <c r="O172" s="44">
        <v>49.846160112129702</v>
      </c>
      <c r="P172" s="104">
        <v>51.726841537074662</v>
      </c>
    </row>
    <row r="173" spans="3:16">
      <c r="E173" s="111">
        <f t="shared" ref="E173:E181" si="105">E172+2%</f>
        <v>0.74</v>
      </c>
      <c r="F173" s="44">
        <v>37.338327983716482</v>
      </c>
      <c r="G173" s="44">
        <v>38.617396446620845</v>
      </c>
      <c r="H173" s="44">
        <v>39.954543167198615</v>
      </c>
      <c r="I173" s="44">
        <v>41.352909384893543</v>
      </c>
      <c r="J173" s="44">
        <v>42.815829929685947</v>
      </c>
      <c r="K173" s="103">
        <v>44.34684648563676</v>
      </c>
      <c r="L173" s="44">
        <v>45.949721849026623</v>
      </c>
      <c r="M173" s="44">
        <v>47.628455261846362</v>
      </c>
      <c r="N173" s="44">
        <v>49.387298908439959</v>
      </c>
      <c r="O173" s="44">
        <v>51.230775670799972</v>
      </c>
      <c r="P173" s="104">
        <v>53.163698246437846</v>
      </c>
    </row>
    <row r="174" spans="3:16">
      <c r="E174" s="111">
        <f t="shared" si="105"/>
        <v>0.76</v>
      </c>
      <c r="F174" s="44">
        <v>38.347471983276385</v>
      </c>
      <c r="G174" s="44">
        <v>39.661109864097078</v>
      </c>
      <c r="H174" s="44">
        <v>41.034395685231004</v>
      </c>
      <c r="I174" s="44">
        <v>42.470555584485261</v>
      </c>
      <c r="J174" s="44">
        <v>43.973014522380161</v>
      </c>
      <c r="K174" s="103">
        <v>45.545409904167485</v>
      </c>
      <c r="L174" s="44">
        <v>47.191606223324641</v>
      </c>
      <c r="M174" s="44">
        <v>48.915710809463839</v>
      </c>
      <c r="N174" s="44">
        <v>50.722090770830221</v>
      </c>
      <c r="O174" s="44">
        <v>52.615391229470248</v>
      </c>
      <c r="P174" s="104">
        <v>54.600554955801037</v>
      </c>
    </row>
    <row r="175" spans="3:16">
      <c r="C175" s="635" t="s">
        <v>505</v>
      </c>
      <c r="E175" s="111">
        <f t="shared" si="105"/>
        <v>0.78</v>
      </c>
      <c r="F175" s="44">
        <v>39.356615982836296</v>
      </c>
      <c r="G175" s="44">
        <v>40.704823281573326</v>
      </c>
      <c r="H175" s="44">
        <v>42.114248203263408</v>
      </c>
      <c r="I175" s="44">
        <v>43.588201784076979</v>
      </c>
      <c r="J175" s="44">
        <v>45.130199115074369</v>
      </c>
      <c r="K175" s="103">
        <v>46.74397332269821</v>
      </c>
      <c r="L175" s="44">
        <v>48.433490597622658</v>
      </c>
      <c r="M175" s="44">
        <v>50.202966357081309</v>
      </c>
      <c r="N175" s="44">
        <v>52.056882633220496</v>
      </c>
      <c r="O175" s="44">
        <v>54.000006788140517</v>
      </c>
      <c r="P175" s="104">
        <v>56.037411665164221</v>
      </c>
    </row>
    <row r="176" spans="3:16">
      <c r="E176" s="111">
        <f t="shared" si="105"/>
        <v>0.8</v>
      </c>
      <c r="F176" s="103">
        <v>40.365759982396199</v>
      </c>
      <c r="G176" s="103">
        <v>41.748536699049559</v>
      </c>
      <c r="H176" s="103">
        <v>43.194100721295804</v>
      </c>
      <c r="I176" s="103">
        <v>44.705847983668697</v>
      </c>
      <c r="J176" s="103">
        <v>46.287383707768591</v>
      </c>
      <c r="K176" s="103">
        <v>47.942536741228928</v>
      </c>
      <c r="L176" s="103">
        <v>49.675374971920668</v>
      </c>
      <c r="M176" s="103">
        <v>51.490221904698778</v>
      </c>
      <c r="N176" s="103">
        <v>53.391674495610765</v>
      </c>
      <c r="O176" s="103">
        <v>55.384622346810787</v>
      </c>
      <c r="P176" s="106">
        <v>57.474268374527405</v>
      </c>
    </row>
    <row r="177" spans="5:16">
      <c r="E177" s="111">
        <f t="shared" si="105"/>
        <v>0.82000000000000006</v>
      </c>
      <c r="F177" s="44">
        <v>41.374903981956102</v>
      </c>
      <c r="G177" s="44">
        <v>42.7922501165258</v>
      </c>
      <c r="H177" s="44">
        <v>44.273953239328193</v>
      </c>
      <c r="I177" s="44">
        <v>45.823494183260415</v>
      </c>
      <c r="J177" s="44">
        <v>47.444568300462812</v>
      </c>
      <c r="K177" s="103">
        <v>49.141100159759652</v>
      </c>
      <c r="L177" s="44">
        <v>50.917259346218692</v>
      </c>
      <c r="M177" s="44">
        <v>52.777477452316248</v>
      </c>
      <c r="N177" s="44">
        <v>54.726466358001041</v>
      </c>
      <c r="O177" s="44">
        <v>56.769237905481056</v>
      </c>
      <c r="P177" s="104">
        <v>58.911125083890596</v>
      </c>
    </row>
    <row r="178" spans="5:16">
      <c r="E178" s="111">
        <f t="shared" si="105"/>
        <v>0.84000000000000008</v>
      </c>
      <c r="F178" s="44">
        <v>42.384047981516012</v>
      </c>
      <c r="G178" s="44">
        <v>43.83596353400204</v>
      </c>
      <c r="H178" s="44">
        <v>45.35380575736059</v>
      </c>
      <c r="I178" s="44">
        <v>46.941140382852133</v>
      </c>
      <c r="J178" s="44">
        <v>48.60175289315702</v>
      </c>
      <c r="K178" s="103">
        <v>50.339663578290377</v>
      </c>
      <c r="L178" s="44">
        <v>52.15914372051671</v>
      </c>
      <c r="M178" s="44">
        <v>54.064732999933717</v>
      </c>
      <c r="N178" s="44">
        <v>56.061258220391309</v>
      </c>
      <c r="O178" s="44">
        <v>58.153853464151332</v>
      </c>
      <c r="P178" s="104">
        <v>60.34798179325378</v>
      </c>
    </row>
    <row r="179" spans="5:16">
      <c r="E179" s="111">
        <f t="shared" si="105"/>
        <v>0.8600000000000001</v>
      </c>
      <c r="F179" s="44">
        <v>43.393191981075915</v>
      </c>
      <c r="G179" s="44">
        <v>44.879676951478281</v>
      </c>
      <c r="H179" s="44">
        <v>46.433658275392986</v>
      </c>
      <c r="I179" s="44">
        <v>48.058786582443858</v>
      </c>
      <c r="J179" s="44">
        <v>49.758937485851241</v>
      </c>
      <c r="K179" s="103">
        <v>51.538226996821109</v>
      </c>
      <c r="L179" s="44">
        <v>53.401028094814727</v>
      </c>
      <c r="M179" s="44">
        <v>55.351988547551187</v>
      </c>
      <c r="N179" s="44">
        <v>57.396050082781585</v>
      </c>
      <c r="O179" s="44">
        <v>59.538469022821602</v>
      </c>
      <c r="P179" s="104">
        <v>61.784838502616971</v>
      </c>
    </row>
    <row r="180" spans="5:16">
      <c r="E180" s="111">
        <f t="shared" si="105"/>
        <v>0.88000000000000012</v>
      </c>
      <c r="F180" s="44">
        <v>44.402335980635819</v>
      </c>
      <c r="G180" s="44">
        <v>45.923390368954522</v>
      </c>
      <c r="H180" s="44">
        <v>47.513510793425382</v>
      </c>
      <c r="I180" s="44">
        <v>49.176432782035576</v>
      </c>
      <c r="J180" s="44">
        <v>50.916122078545449</v>
      </c>
      <c r="K180" s="103">
        <v>52.736790415351834</v>
      </c>
      <c r="L180" s="44">
        <v>54.642912469112751</v>
      </c>
      <c r="M180" s="44">
        <v>56.639244095168664</v>
      </c>
      <c r="N180" s="44">
        <v>58.730841945171846</v>
      </c>
      <c r="O180" s="44">
        <v>60.923084581491871</v>
      </c>
      <c r="P180" s="104">
        <v>63.221695211980148</v>
      </c>
    </row>
    <row r="181" spans="5:16">
      <c r="E181" s="111">
        <f t="shared" si="105"/>
        <v>0.90000000000000013</v>
      </c>
      <c r="F181" s="107">
        <v>45.411479980195722</v>
      </c>
      <c r="G181" s="107">
        <v>46.967103786430762</v>
      </c>
      <c r="H181" s="107">
        <v>48.593363311457779</v>
      </c>
      <c r="I181" s="107">
        <v>50.294078981627294</v>
      </c>
      <c r="J181" s="107">
        <v>52.073306671239671</v>
      </c>
      <c r="K181" s="108">
        <v>53.935353833882559</v>
      </c>
      <c r="L181" s="107">
        <v>55.884796843410761</v>
      </c>
      <c r="M181" s="107">
        <v>57.926499642786133</v>
      </c>
      <c r="N181" s="107">
        <v>60.065633807562115</v>
      </c>
      <c r="O181" s="107">
        <v>62.30770014016214</v>
      </c>
      <c r="P181" s="109">
        <v>64.658551921343346</v>
      </c>
    </row>
  </sheetData>
  <dataValidations count="3">
    <dataValidation type="list" allowBlank="1" showInputMessage="1" showErrorMessage="1" sqref="D7:D8" xr:uid="{040865C5-1A51-4D8A-9FC0-5ACE406AC699}">
      <formula1>"Approved,No Approval"</formula1>
    </dataValidation>
    <dataValidation type="list" allowBlank="1" showInputMessage="1" showErrorMessage="1" sqref="D6 H6" xr:uid="{A07F351D-B077-4E61-BC09-7E28CE2E33FD}">
      <formula1>"Upside,Base,Downside"</formula1>
    </dataValidation>
    <dataValidation type="list" allowBlank="1" showInputMessage="1" showErrorMessage="1" sqref="D9" xr:uid="{887E6210-8992-4CD2-849B-A269A1C68A3E}">
      <formula1>"Trial,Settlement,OFF"</formula1>
    </dataValidation>
  </dataValidations>
  <pageMargins left="0.7" right="0.7" top="0.75" bottom="0.75" header="0.3" footer="0.3"/>
  <ignoredErrors>
    <ignoredError sqref="J60:K60" evalError="1"/>
  </ignoredErrors>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FB9E8-4100-406D-BD99-686E13182D3B}">
  <dimension ref="A1:L40"/>
  <sheetViews>
    <sheetView showGridLines="0" zoomScale="69" workbookViewId="0">
      <selection activeCell="K20" sqref="K20"/>
    </sheetView>
  </sheetViews>
  <sheetFormatPr defaultRowHeight="14.5"/>
  <cols>
    <col min="2" max="2" width="25" bestFit="1" customWidth="1"/>
    <col min="3" max="3" width="6.54296875" bestFit="1" customWidth="1"/>
    <col min="4" max="4" width="8.36328125" bestFit="1" customWidth="1"/>
    <col min="5" max="5" width="12" bestFit="1" customWidth="1"/>
    <col min="6" max="6" width="10.36328125" bestFit="1" customWidth="1"/>
    <col min="7" max="7" width="6" bestFit="1" customWidth="1"/>
    <col min="8" max="8" width="11.26953125" bestFit="1" customWidth="1"/>
    <col min="9" max="9" width="15.54296875" bestFit="1" customWidth="1"/>
    <col min="10" max="10" width="8.54296875" bestFit="1" customWidth="1"/>
    <col min="11" max="11" width="8.453125" bestFit="1" customWidth="1"/>
    <col min="12" max="12" width="9" bestFit="1" customWidth="1"/>
  </cols>
  <sheetData>
    <row r="1" spans="1:12">
      <c r="A1" s="340"/>
    </row>
    <row r="2" spans="1:12" ht="18.5">
      <c r="B2" s="341" t="str">
        <f>"WACC Analysis - "&amp;_xlfn.SINGLE(Company_Name)</f>
        <v>WACC Analysis - Avadel Pharmaceuticals, PLC</v>
      </c>
      <c r="C2" s="342"/>
      <c r="D2" s="10"/>
      <c r="E2" s="10"/>
      <c r="F2" s="10"/>
      <c r="G2" s="10"/>
      <c r="H2" s="10"/>
      <c r="I2" s="10"/>
      <c r="J2" s="10"/>
      <c r="K2" s="10"/>
      <c r="L2" s="10"/>
    </row>
    <row r="3" spans="1:12" ht="16">
      <c r="B3" s="12" t="s">
        <v>223</v>
      </c>
      <c r="C3" s="10"/>
      <c r="D3" s="10"/>
      <c r="E3" s="10"/>
      <c r="F3" s="10"/>
      <c r="G3" s="10"/>
      <c r="H3" s="10"/>
      <c r="I3" s="10"/>
      <c r="J3" s="10"/>
      <c r="K3" s="10"/>
      <c r="L3" s="10"/>
    </row>
    <row r="4" spans="1:12" ht="16">
      <c r="B4" s="10"/>
      <c r="C4" s="10"/>
      <c r="D4" s="10"/>
      <c r="E4" s="10"/>
      <c r="F4" s="10"/>
      <c r="G4" s="10"/>
      <c r="H4" s="10"/>
      <c r="I4" s="10"/>
      <c r="J4" s="10"/>
      <c r="K4" s="10"/>
      <c r="L4" s="10"/>
    </row>
    <row r="5" spans="1:12" ht="16">
      <c r="B5" s="343" t="s">
        <v>261</v>
      </c>
      <c r="C5" s="343"/>
      <c r="D5" s="344"/>
      <c r="E5" s="344"/>
      <c r="F5" s="344"/>
      <c r="G5" s="345"/>
      <c r="H5" s="345"/>
      <c r="I5" s="10"/>
      <c r="J5" s="10"/>
      <c r="K5" s="10"/>
      <c r="L5" s="10"/>
    </row>
    <row r="6" spans="1:12" ht="16">
      <c r="B6" s="12" t="s">
        <v>262</v>
      </c>
      <c r="C6" s="12"/>
      <c r="D6" s="10"/>
      <c r="E6" s="10"/>
      <c r="F6" s="503">
        <v>3.5000000000000003E-2</v>
      </c>
      <c r="G6" s="346"/>
      <c r="H6" s="346"/>
      <c r="I6" s="10"/>
      <c r="J6" s="10"/>
      <c r="K6" s="10"/>
      <c r="L6" s="10"/>
    </row>
    <row r="7" spans="1:12" ht="16">
      <c r="B7" s="12" t="s">
        <v>263</v>
      </c>
      <c r="C7" s="12"/>
      <c r="D7" s="10"/>
      <c r="E7" s="10"/>
      <c r="F7" s="503">
        <v>0.05</v>
      </c>
      <c r="G7" s="346"/>
      <c r="H7" s="346"/>
      <c r="I7" s="10"/>
      <c r="J7" s="10"/>
      <c r="K7" s="10"/>
      <c r="L7" s="10"/>
    </row>
    <row r="8" spans="1:12" ht="16">
      <c r="B8" s="12" t="s">
        <v>264</v>
      </c>
      <c r="C8" s="12"/>
      <c r="D8" s="10"/>
      <c r="E8" s="10"/>
      <c r="F8" s="504">
        <v>4.1356552801964722E-2</v>
      </c>
      <c r="G8" s="346"/>
      <c r="H8" s="346"/>
      <c r="I8" s="347"/>
      <c r="J8" s="347"/>
      <c r="K8" s="10"/>
      <c r="L8" s="10"/>
    </row>
    <row r="9" spans="1:12" ht="16">
      <c r="B9" s="12" t="s">
        <v>265</v>
      </c>
      <c r="C9" s="12"/>
      <c r="D9" s="10"/>
      <c r="E9" s="10"/>
      <c r="F9" s="503">
        <v>0</v>
      </c>
      <c r="G9" s="346"/>
      <c r="H9" s="346"/>
      <c r="I9" s="347"/>
      <c r="J9" s="347"/>
      <c r="K9" s="10"/>
      <c r="L9" s="10"/>
    </row>
    <row r="10" spans="1:12" ht="16">
      <c r="B10" s="10"/>
      <c r="C10" s="10"/>
      <c r="D10" s="10"/>
      <c r="E10" s="10"/>
      <c r="F10" s="10"/>
      <c r="G10" s="10"/>
      <c r="H10" s="10"/>
      <c r="I10" s="10"/>
      <c r="J10" s="10"/>
      <c r="K10" s="10"/>
      <c r="L10" s="10"/>
    </row>
    <row r="11" spans="1:12" ht="16">
      <c r="B11" s="114" t="s">
        <v>3</v>
      </c>
      <c r="C11" s="348"/>
      <c r="D11" s="119" t="s">
        <v>169</v>
      </c>
      <c r="E11" s="128" t="s">
        <v>149</v>
      </c>
      <c r="F11" s="348"/>
      <c r="G11" s="128" t="s">
        <v>111</v>
      </c>
      <c r="H11" s="348"/>
      <c r="I11" s="119" t="s">
        <v>167</v>
      </c>
      <c r="J11" s="349"/>
      <c r="K11" s="114" t="s">
        <v>14</v>
      </c>
      <c r="L11" s="10"/>
    </row>
    <row r="12" spans="1:12" ht="16">
      <c r="B12" s="350" t="s">
        <v>266</v>
      </c>
      <c r="C12" s="350"/>
      <c r="D12" s="350"/>
      <c r="E12" s="350"/>
      <c r="F12" s="350"/>
      <c r="G12" s="350"/>
      <c r="H12" s="350"/>
      <c r="I12" s="350"/>
      <c r="J12" s="350"/>
      <c r="K12" s="350"/>
      <c r="L12" s="350"/>
    </row>
    <row r="13" spans="1:12" ht="16">
      <c r="B13" s="350"/>
      <c r="C13" s="350"/>
      <c r="D13" s="351" t="s">
        <v>267</v>
      </c>
      <c r="E13" s="351"/>
      <c r="F13" s="351"/>
      <c r="G13" s="351" t="s">
        <v>241</v>
      </c>
      <c r="H13" s="351"/>
      <c r="I13" s="351" t="s">
        <v>229</v>
      </c>
      <c r="J13" s="351"/>
      <c r="K13" s="351"/>
      <c r="L13" s="351" t="s">
        <v>268</v>
      </c>
    </row>
    <row r="14" spans="1:12" ht="16">
      <c r="B14" s="350" t="s">
        <v>4</v>
      </c>
      <c r="C14" s="350" t="s">
        <v>234</v>
      </c>
      <c r="D14" s="351" t="s">
        <v>237</v>
      </c>
      <c r="E14" s="351" t="s">
        <v>240</v>
      </c>
      <c r="F14" s="351" t="s">
        <v>269</v>
      </c>
      <c r="G14" s="351" t="s">
        <v>270</v>
      </c>
      <c r="H14" s="351" t="s">
        <v>271</v>
      </c>
      <c r="I14" s="351" t="s">
        <v>211</v>
      </c>
      <c r="J14" s="351" t="s">
        <v>272</v>
      </c>
      <c r="K14" s="351" t="s">
        <v>238</v>
      </c>
      <c r="L14" s="351" t="s">
        <v>237</v>
      </c>
    </row>
    <row r="15" spans="1:12" ht="16">
      <c r="B15" s="12" t="str">
        <f t="shared" ref="B15:B20" si="0">INDEX(Pub_Comps_Range,MATCH(B$11,Pub_Comps_Params,0),MATCH($C15,Pub_Comps_Tickers,0))</f>
        <v>Jazz Pharmaceuticals, PLC</v>
      </c>
      <c r="C15" t="s">
        <v>193</v>
      </c>
      <c r="D15" s="12">
        <f t="shared" ref="D15:E20" si="1">INDEX(Pub_Comps_Range,MATCH(D$11,Pub_Comps_Params,0),MATCH($C15,Pub_Comps_Tickers,0))</f>
        <v>0.82</v>
      </c>
      <c r="E15" s="12">
        <f t="shared" si="1"/>
        <v>5433.1</v>
      </c>
      <c r="F15" s="353">
        <f>E15/(E15+G15+I15)</f>
        <v>0.41502520966293516</v>
      </c>
      <c r="G15" s="12">
        <f t="shared" ref="G15:G20" si="2">INDEX(Pub_Comps_Range,MATCH(G$11,Pub_Comps_Params,0),MATCH($C15,Pub_Comps_Tickers,0))</f>
        <v>0</v>
      </c>
      <c r="H15" s="354">
        <f>G15/(E15+G15+I15)</f>
        <v>0</v>
      </c>
      <c r="I15" s="352">
        <f t="shared" ref="I15:I20" si="3">INDEX(Pub_Comps_Range,MATCH(I$11,Pub_Comps_Params,0),MATCH($C15,Pub_Comps_Tickers,0))</f>
        <v>7657.9120000000003</v>
      </c>
      <c r="J15" s="353">
        <f>$I15/($E15+$G15+$I15)</f>
        <v>0.58497479033706479</v>
      </c>
      <c r="K15" s="354">
        <f t="shared" ref="K15:K20" si="4">INDEX(Pub_Comps_Range,MATCH(K$11,Pub_Comps_Params,0),MATCH($C15,Pub_Comps_Tickers,0))</f>
        <v>0.12</v>
      </c>
      <c r="L15" s="355">
        <f t="shared" ref="L15:L19" si="5">IFERROR(D15/(1+(E15/I15)*(1-K15)+G15/I15),"N/A")</f>
        <v>0.50482093795019545</v>
      </c>
    </row>
    <row r="16" spans="1:12" ht="16">
      <c r="B16" s="12" t="str">
        <f t="shared" si="0"/>
        <v>Harmony Biosciences Holdings, Inc</v>
      </c>
      <c r="C16" t="s">
        <v>425</v>
      </c>
      <c r="D16" s="12">
        <f t="shared" si="1"/>
        <v>2.2599999999999998</v>
      </c>
      <c r="E16" s="12">
        <f t="shared" si="1"/>
        <v>173.4</v>
      </c>
      <c r="F16" s="353">
        <f t="shared" ref="F16:F19" si="6">E16/(E16+G16+I16)</f>
        <v>8.5174315081109619E-2</v>
      </c>
      <c r="G16" s="12">
        <f t="shared" si="2"/>
        <v>0</v>
      </c>
      <c r="H16" s="354">
        <f t="shared" ref="H16:H19" si="7">G16/(E16+G16+I16)</f>
        <v>0</v>
      </c>
      <c r="I16" s="352">
        <f t="shared" si="3"/>
        <v>1862.425</v>
      </c>
      <c r="J16" s="353">
        <f t="shared" ref="J16:J20" si="8">$I16/($E16+$G16+$I16)</f>
        <v>0.91482568491889038</v>
      </c>
      <c r="K16" s="354">
        <f t="shared" si="4"/>
        <v>0.19600000000000001</v>
      </c>
      <c r="L16" s="355">
        <f t="shared" si="5"/>
        <v>2.1026073230878852</v>
      </c>
    </row>
    <row r="17" spans="2:12" ht="16">
      <c r="B17" s="12" t="str">
        <f t="shared" si="0"/>
        <v>Supernus Pharmaceuticals, Inc</v>
      </c>
      <c r="C17" t="s">
        <v>426</v>
      </c>
      <c r="D17" s="12">
        <f t="shared" si="1"/>
        <v>0.94</v>
      </c>
      <c r="E17" s="12">
        <f t="shared" si="1"/>
        <v>31.8</v>
      </c>
      <c r="F17" s="353">
        <f t="shared" si="6"/>
        <v>1.23155284872116E-2</v>
      </c>
      <c r="G17" s="12">
        <f t="shared" si="2"/>
        <v>0</v>
      </c>
      <c r="H17" s="354">
        <f t="shared" si="7"/>
        <v>0</v>
      </c>
      <c r="I17" s="352">
        <f t="shared" si="3"/>
        <v>2550.306</v>
      </c>
      <c r="J17" s="353">
        <f t="shared" si="8"/>
        <v>0.98768447151278838</v>
      </c>
      <c r="K17" s="354">
        <f t="shared" si="4"/>
        <v>0.215</v>
      </c>
      <c r="L17" s="355">
        <f t="shared" si="5"/>
        <v>0.93088824507265056</v>
      </c>
    </row>
    <row r="18" spans="2:12" ht="16">
      <c r="B18" s="12" t="str">
        <f t="shared" si="0"/>
        <v>Catalyst Pharmaceuticals, Inc</v>
      </c>
      <c r="C18" t="s">
        <v>221</v>
      </c>
      <c r="D18" s="12">
        <f t="shared" si="1"/>
        <v>0.75</v>
      </c>
      <c r="E18" s="12">
        <f t="shared" si="1"/>
        <v>3</v>
      </c>
      <c r="F18" s="353">
        <f t="shared" si="6"/>
        <v>1.2258266975248107E-3</v>
      </c>
      <c r="G18" s="12">
        <f t="shared" si="2"/>
        <v>0</v>
      </c>
      <c r="H18" s="354">
        <f t="shared" si="7"/>
        <v>0</v>
      </c>
      <c r="I18" s="352">
        <f t="shared" si="3"/>
        <v>2444.328</v>
      </c>
      <c r="J18" s="353">
        <f t="shared" si="8"/>
        <v>0.9987741733024752</v>
      </c>
      <c r="K18" s="354">
        <f t="shared" si="4"/>
        <v>0.23300000000000001</v>
      </c>
      <c r="L18" s="355">
        <f t="shared" si="5"/>
        <v>0.749294641729498</v>
      </c>
    </row>
    <row r="19" spans="2:12" ht="16">
      <c r="B19" s="12" t="str">
        <f t="shared" si="0"/>
        <v>Axsome Therapeutics, Inc</v>
      </c>
      <c r="C19" t="s">
        <v>427</v>
      </c>
      <c r="D19" s="12">
        <f t="shared" si="1"/>
        <v>0.4</v>
      </c>
      <c r="E19" s="12">
        <f t="shared" si="1"/>
        <v>19.399999999999999</v>
      </c>
      <c r="F19" s="353">
        <f t="shared" si="6"/>
        <v>3.27229656857536E-3</v>
      </c>
      <c r="G19" s="12">
        <f t="shared" si="2"/>
        <v>0</v>
      </c>
      <c r="H19" s="354">
        <f t="shared" si="7"/>
        <v>0</v>
      </c>
      <c r="I19" s="352">
        <f t="shared" si="3"/>
        <v>5909.1580000000004</v>
      </c>
      <c r="J19" s="353">
        <f t="shared" si="8"/>
        <v>0.99672770343142469</v>
      </c>
      <c r="K19" s="354">
        <v>0.19</v>
      </c>
      <c r="L19" s="355">
        <f t="shared" si="5"/>
        <v>0.39893911632183787</v>
      </c>
    </row>
    <row r="20" spans="2:12" ht="16">
      <c r="B20" s="12" t="str">
        <f t="shared" si="0"/>
        <v>ACADIA Pharmaceuticals, Inc</v>
      </c>
      <c r="C20" t="s">
        <v>428</v>
      </c>
      <c r="D20" s="12">
        <f t="shared" si="1"/>
        <v>1.54</v>
      </c>
      <c r="E20" s="12">
        <f t="shared" si="1"/>
        <v>24</v>
      </c>
      <c r="F20" s="353">
        <f t="shared" ref="F20" si="9">E20/(E20+G20+I20)</f>
        <v>5.9895078795719602E-3</v>
      </c>
      <c r="G20" s="12">
        <f t="shared" si="2"/>
        <v>0</v>
      </c>
      <c r="H20" s="354">
        <f t="shared" ref="H20" si="10">G20/(E20+G20+I20)</f>
        <v>0</v>
      </c>
      <c r="I20" s="352">
        <f t="shared" si="3"/>
        <v>3983.0069999999996</v>
      </c>
      <c r="J20" s="353">
        <f t="shared" si="8"/>
        <v>0.99401049212042802</v>
      </c>
      <c r="K20" s="354">
        <f t="shared" si="4"/>
        <v>0.17100000000000001</v>
      </c>
      <c r="L20" s="355">
        <f t="shared" ref="L20" si="11">IFERROR(D20/(1+(E20/I20)*(1-K20)+G20/I20),"N/A")</f>
        <v>1.532345595184295</v>
      </c>
    </row>
    <row r="21" spans="2:12" ht="16">
      <c r="B21" s="10"/>
      <c r="C21" s="10"/>
      <c r="D21" s="10"/>
      <c r="E21" s="10"/>
      <c r="F21" s="10"/>
      <c r="G21" s="10"/>
      <c r="H21" s="10"/>
      <c r="I21" s="10"/>
      <c r="J21" s="10"/>
      <c r="K21" s="10"/>
      <c r="L21" s="357"/>
    </row>
    <row r="22" spans="2:12" ht="16">
      <c r="B22" s="358" t="s">
        <v>273</v>
      </c>
      <c r="C22" s="359"/>
      <c r="D22" s="360">
        <f>MEDIAN(D15:D19)</f>
        <v>0.82</v>
      </c>
      <c r="E22" s="361">
        <f t="shared" ref="E22:L22" si="12">MEDIAN(E15:E19)</f>
        <v>31.8</v>
      </c>
      <c r="F22" s="362">
        <f t="shared" si="12"/>
        <v>1.23155284872116E-2</v>
      </c>
      <c r="G22" s="360">
        <f t="shared" si="12"/>
        <v>0</v>
      </c>
      <c r="H22" s="363">
        <f t="shared" si="12"/>
        <v>0</v>
      </c>
      <c r="I22" s="364">
        <f t="shared" si="12"/>
        <v>2550.306</v>
      </c>
      <c r="J22" s="362">
        <f t="shared" si="12"/>
        <v>0.98768447151278838</v>
      </c>
      <c r="K22" s="365">
        <f t="shared" si="12"/>
        <v>0.19600000000000001</v>
      </c>
      <c r="L22" s="365">
        <f t="shared" si="12"/>
        <v>0.749294641729498</v>
      </c>
    </row>
    <row r="23" spans="2:12" ht="16">
      <c r="B23" s="10"/>
      <c r="C23" s="10"/>
      <c r="D23" s="10"/>
      <c r="E23" s="10"/>
      <c r="F23" s="10"/>
      <c r="G23" s="10"/>
      <c r="H23" s="10"/>
      <c r="I23" s="10"/>
      <c r="J23" s="10"/>
      <c r="K23" s="10"/>
      <c r="L23" s="357"/>
    </row>
    <row r="24" spans="2:12" ht="16">
      <c r="B24" s="366" t="str">
        <f>Company_Name</f>
        <v>Avadel Pharmaceuticals, PLC</v>
      </c>
      <c r="C24" s="366" t="str">
        <f>Ticker</f>
        <v>AVDL</v>
      </c>
      <c r="D24" s="370">
        <f>INDEX(Pub_Comps_Range,MATCH(D$11,Pub_Comps_Params,0),MATCH($C24,Pub_Comps_Tickers,0))</f>
        <v>0.71903277636962626</v>
      </c>
      <c r="E24" s="370">
        <f>INDEX(Pub_Comps_Range,MATCH(E$11,Pub_Comps_Params,0),MATCH($C24,Pub_Comps_Tickers,0))</f>
        <v>0</v>
      </c>
      <c r="F24" s="367">
        <f t="shared" ref="F24:J24" si="13">E24/($E24+$G24+$I24)</f>
        <v>0</v>
      </c>
      <c r="G24" s="370">
        <f>INDEX(Pub_Comps_Range,MATCH(G$11,Pub_Comps_Params,0),MATCH($C24,Pub_Comps_Tickers,0))</f>
        <v>0</v>
      </c>
      <c r="H24" s="368">
        <f t="shared" si="13"/>
        <v>0</v>
      </c>
      <c r="I24" s="370">
        <f>INDEX(Pub_Comps_Range,MATCH(I$11,Pub_Comps_Params,0),MATCH($C24,Pub_Comps_Tickers,0))</f>
        <v>1484.8680000000002</v>
      </c>
      <c r="J24" s="369">
        <f t="shared" si="13"/>
        <v>1</v>
      </c>
      <c r="K24" s="368">
        <v>0.13200000000000001</v>
      </c>
      <c r="L24" s="370">
        <f t="shared" ref="L24" si="14">IFERROR(D24/(1+(E24/I24)*(1-K24)+G24/I24),"N/A")</f>
        <v>0.71903277636962626</v>
      </c>
    </row>
    <row r="25" spans="2:12" ht="16">
      <c r="B25" s="10"/>
      <c r="C25" s="10"/>
      <c r="D25" s="10"/>
      <c r="E25" s="10"/>
      <c r="F25" s="10"/>
      <c r="G25" s="10"/>
      <c r="H25" s="10"/>
      <c r="I25" s="10"/>
      <c r="J25" s="10"/>
      <c r="K25" s="10"/>
      <c r="L25" s="10"/>
    </row>
    <row r="26" spans="2:12" ht="16">
      <c r="B26" s="350" t="str">
        <f>TEXT(_xlfn.SINGLE(Company_Name),"")&amp; " - Levered Beta &amp; WACC Calculation:"</f>
        <v>Avadel Pharmaceuticals, PLC - Levered Beta &amp; WACC Calculation:</v>
      </c>
      <c r="C26" s="350"/>
      <c r="D26" s="350"/>
      <c r="E26" s="350"/>
      <c r="F26" s="350"/>
      <c r="G26" s="350"/>
      <c r="H26" s="350"/>
      <c r="I26" s="350"/>
      <c r="J26" s="350"/>
      <c r="K26" s="350"/>
      <c r="L26" s="350"/>
    </row>
    <row r="27" spans="2:12" ht="16">
      <c r="B27" s="350"/>
      <c r="C27" s="350"/>
      <c r="D27" s="351" t="s">
        <v>268</v>
      </c>
      <c r="E27" s="351"/>
      <c r="F27" s="351"/>
      <c r="G27" s="351" t="s">
        <v>241</v>
      </c>
      <c r="H27" s="351"/>
      <c r="I27" s="351" t="s">
        <v>229</v>
      </c>
      <c r="J27" s="351"/>
      <c r="K27" s="351"/>
      <c r="L27" s="351" t="s">
        <v>267</v>
      </c>
    </row>
    <row r="28" spans="2:12" ht="16">
      <c r="B28" s="350"/>
      <c r="C28" s="350" t="s">
        <v>234</v>
      </c>
      <c r="D28" s="351" t="s">
        <v>237</v>
      </c>
      <c r="E28" s="351" t="s">
        <v>240</v>
      </c>
      <c r="F28" s="351" t="s">
        <v>269</v>
      </c>
      <c r="G28" s="351" t="s">
        <v>270</v>
      </c>
      <c r="H28" s="351" t="s">
        <v>271</v>
      </c>
      <c r="I28" s="351" t="s">
        <v>211</v>
      </c>
      <c r="J28" s="351" t="s">
        <v>272</v>
      </c>
      <c r="K28" s="351" t="s">
        <v>238</v>
      </c>
      <c r="L28" s="351" t="s">
        <v>237</v>
      </c>
    </row>
    <row r="29" spans="2:12" ht="16">
      <c r="B29" s="12" t="s">
        <v>274</v>
      </c>
      <c r="C29" s="12" t="str">
        <f>C24</f>
        <v>AVDL</v>
      </c>
      <c r="D29" s="371">
        <f>L24</f>
        <v>0.71903277636962626</v>
      </c>
      <c r="E29" s="76">
        <v>5461</v>
      </c>
      <c r="F29" s="356">
        <v>3.3001557194883353E-2</v>
      </c>
      <c r="G29" s="76">
        <v>0</v>
      </c>
      <c r="H29" s="372">
        <v>0</v>
      </c>
      <c r="I29" s="76">
        <v>160016.03999999998</v>
      </c>
      <c r="J29" s="373">
        <v>0.9669984428051166</v>
      </c>
      <c r="K29" s="356">
        <v>0.13200000000000001</v>
      </c>
      <c r="L29" s="371">
        <f>D29*(1+E29/I29*(1-K29)+G29/I29)</f>
        <v>0.74033265216234634</v>
      </c>
    </row>
    <row r="30" spans="2:12" ht="16">
      <c r="B30" s="12" t="s">
        <v>275</v>
      </c>
      <c r="C30" s="371"/>
      <c r="D30" s="371">
        <f>L22</f>
        <v>0.749294641729498</v>
      </c>
      <c r="E30" s="76">
        <f>(E29+I29)*F30</f>
        <v>2037.9372000994531</v>
      </c>
      <c r="F30" s="372">
        <f>F22</f>
        <v>1.23155284872116E-2</v>
      </c>
      <c r="G30" s="76">
        <v>0</v>
      </c>
      <c r="H30" s="372">
        <v>0</v>
      </c>
      <c r="I30" s="76">
        <f>(I29+E29)*J30</f>
        <v>163439.10279990052</v>
      </c>
      <c r="J30" s="374">
        <f>J22</f>
        <v>0.98768447151278838</v>
      </c>
      <c r="K30" s="356">
        <v>0.13200000000000001</v>
      </c>
      <c r="L30" s="371">
        <f>D30*(1+E30/I30*(1-K30)+G30/I30)</f>
        <v>0.75740438637146423</v>
      </c>
    </row>
    <row r="31" spans="2:12" ht="16">
      <c r="B31" s="10"/>
      <c r="C31" s="375"/>
      <c r="D31" s="10"/>
      <c r="E31" s="10"/>
      <c r="F31" s="10"/>
      <c r="G31" s="10"/>
      <c r="H31" s="10"/>
      <c r="I31" s="10"/>
      <c r="J31" s="10"/>
      <c r="K31" s="10"/>
      <c r="L31" s="10"/>
    </row>
    <row r="32" spans="2:12" ht="16">
      <c r="B32" s="376" t="s">
        <v>276</v>
      </c>
      <c r="C32" s="376"/>
      <c r="D32" s="376"/>
      <c r="E32" s="376"/>
      <c r="F32" s="376"/>
      <c r="G32" s="376"/>
      <c r="H32" s="376"/>
      <c r="I32" s="376"/>
      <c r="J32" s="376"/>
      <c r="K32" s="376"/>
      <c r="L32" s="377">
        <f>Risk_Free_Rate+Equity_Risk_Premium*L29</f>
        <v>7.2016632608117331E-2</v>
      </c>
    </row>
    <row r="33" spans="2:12" ht="16">
      <c r="B33" s="376" t="s">
        <v>277</v>
      </c>
      <c r="C33" s="376"/>
      <c r="D33" s="376"/>
      <c r="E33" s="376"/>
      <c r="F33" s="376"/>
      <c r="G33" s="376"/>
      <c r="H33" s="376"/>
      <c r="I33" s="376"/>
      <c r="J33" s="376"/>
      <c r="K33" s="376"/>
      <c r="L33" s="377">
        <f>Risk_Free_Rate+Equity_Risk_Premium*L30</f>
        <v>7.2870219318573209E-2</v>
      </c>
    </row>
    <row r="34" spans="2:12" ht="16">
      <c r="B34" s="376" t="s">
        <v>278</v>
      </c>
      <c r="C34" s="376"/>
      <c r="D34" s="376"/>
      <c r="E34" s="376"/>
      <c r="F34" s="376"/>
      <c r="G34" s="376"/>
      <c r="H34" s="376"/>
      <c r="I34" s="376"/>
      <c r="J34" s="376"/>
      <c r="K34" s="376"/>
      <c r="L34" s="377">
        <f>Risk_Free_Rate+Equity_Risk_Premium*D24</f>
        <v>7.0951638818481322E-2</v>
      </c>
    </row>
    <row r="35" spans="2:12" ht="16">
      <c r="B35" s="12"/>
      <c r="C35" s="12"/>
      <c r="D35" s="12"/>
      <c r="E35" s="12"/>
      <c r="F35" s="12"/>
      <c r="G35" s="12"/>
      <c r="H35" s="12"/>
      <c r="I35" s="12"/>
      <c r="J35" s="12"/>
      <c r="K35" s="12"/>
      <c r="L35" s="12"/>
    </row>
    <row r="36" spans="2:12" ht="16">
      <c r="B36" s="376" t="s">
        <v>279</v>
      </c>
      <c r="C36" s="376"/>
      <c r="D36" s="376"/>
      <c r="E36" s="376"/>
      <c r="F36" s="376"/>
      <c r="G36" s="376"/>
      <c r="H36" s="376"/>
      <c r="I36" s="376"/>
      <c r="J36" s="376"/>
      <c r="K36" s="376"/>
      <c r="L36" s="377">
        <f>L32*J29+Cost_of_Debt*(1-K29)*F29+Cost_of_Preferred*H29</f>
        <v>7.0824644585961508E-2</v>
      </c>
    </row>
    <row r="37" spans="2:12" ht="16">
      <c r="B37" s="376" t="s">
        <v>280</v>
      </c>
      <c r="C37" s="376"/>
      <c r="D37" s="376"/>
      <c r="E37" s="376"/>
      <c r="F37" s="376"/>
      <c r="G37" s="376"/>
      <c r="H37" s="376"/>
      <c r="I37" s="376"/>
      <c r="J37" s="376"/>
      <c r="K37" s="376"/>
      <c r="L37" s="377">
        <f>L33*J30+Cost_of_Debt*(1-K30)*F30+Cost_of_Preferred*H30</f>
        <v>7.2414880590701586E-2</v>
      </c>
    </row>
    <row r="38" spans="2:12" ht="16">
      <c r="B38" s="376" t="s">
        <v>281</v>
      </c>
      <c r="C38" s="376"/>
      <c r="D38" s="376"/>
      <c r="E38" s="376"/>
      <c r="F38" s="376"/>
      <c r="G38" s="376"/>
      <c r="H38" s="376"/>
      <c r="I38" s="376"/>
      <c r="J38" s="376"/>
      <c r="K38" s="376"/>
      <c r="L38" s="377">
        <f>L34*J29+Cost_of_Debt*(1-K29)*F29+Cost_of_Preferred*H29</f>
        <v>6.9794797249786364E-2</v>
      </c>
    </row>
    <row r="39" spans="2:12" ht="16">
      <c r="B39" s="10"/>
      <c r="C39" s="10"/>
      <c r="D39" s="10"/>
      <c r="E39" s="10"/>
      <c r="F39" s="10"/>
      <c r="G39" s="10"/>
      <c r="H39" s="10"/>
      <c r="I39" s="10"/>
      <c r="J39" s="10"/>
      <c r="K39" s="10"/>
      <c r="L39" s="10"/>
    </row>
    <row r="40" spans="2:12" ht="16">
      <c r="B40" s="376" t="s">
        <v>282</v>
      </c>
      <c r="C40" s="376"/>
      <c r="D40" s="376"/>
      <c r="E40" s="376"/>
      <c r="F40" s="376"/>
      <c r="G40" s="376"/>
      <c r="H40" s="376"/>
      <c r="I40" s="376"/>
      <c r="J40" s="376"/>
      <c r="K40" s="376"/>
      <c r="L40" s="378">
        <f>AVERAGE(L36:L38)</f>
        <v>7.1011440808816495E-2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22D8-EBDD-4061-98D8-FD6EADDBFE1D}">
  <dimension ref="B2:Q43"/>
  <sheetViews>
    <sheetView showGridLines="0" topLeftCell="A9" zoomScale="68" workbookViewId="0">
      <selection activeCell="O15" sqref="O15:Q15"/>
    </sheetView>
  </sheetViews>
  <sheetFormatPr defaultRowHeight="14.5"/>
  <cols>
    <col min="2" max="2" width="55" bestFit="1" customWidth="1"/>
    <col min="3" max="3" width="9.7265625" bestFit="1" customWidth="1"/>
    <col min="4" max="4" width="10.1796875" bestFit="1" customWidth="1"/>
    <col min="5" max="5" width="12.7265625" bestFit="1" customWidth="1"/>
    <col min="6" max="6" width="10.1796875" bestFit="1" customWidth="1"/>
    <col min="7" max="7" width="17.81640625" bestFit="1" customWidth="1"/>
    <col min="8" max="8" width="10.54296875" bestFit="1" customWidth="1"/>
    <col min="9" max="9" width="13.7265625" bestFit="1" customWidth="1"/>
    <col min="10" max="13" width="12.1796875" bestFit="1" customWidth="1"/>
    <col min="17" max="17" width="10.1796875" bestFit="1" customWidth="1"/>
  </cols>
  <sheetData>
    <row r="2" spans="2:17" ht="18.5">
      <c r="B2" s="323" t="str">
        <f>"Valuation Summary - "&amp;Company_Name</f>
        <v>Valuation Summary - Avadel Pharmaceuticals, PLC</v>
      </c>
      <c r="C2" s="324"/>
      <c r="D2" s="324"/>
      <c r="E2" s="324"/>
      <c r="F2" s="324"/>
      <c r="G2" s="324"/>
      <c r="H2" s="324"/>
      <c r="I2" s="324"/>
      <c r="J2" s="324"/>
      <c r="K2" s="324"/>
      <c r="L2" s="324"/>
      <c r="M2" s="324"/>
    </row>
    <row r="3" spans="2:17" ht="16">
      <c r="B3" s="12" t="s">
        <v>223</v>
      </c>
      <c r="C3" s="324"/>
      <c r="D3" s="324"/>
      <c r="E3" s="324"/>
      <c r="F3" s="324"/>
      <c r="G3" s="324"/>
      <c r="H3" s="324"/>
      <c r="I3" s="324"/>
      <c r="J3" s="324"/>
      <c r="K3" s="324"/>
      <c r="L3" s="324"/>
      <c r="M3" s="324"/>
    </row>
    <row r="4" spans="2:17" ht="16">
      <c r="B4" s="324"/>
      <c r="C4" s="324"/>
      <c r="D4" s="324"/>
      <c r="E4" s="324"/>
      <c r="F4" s="324"/>
      <c r="G4" s="324"/>
      <c r="H4" s="324"/>
      <c r="I4" s="324"/>
      <c r="J4" s="324"/>
      <c r="K4" s="324"/>
      <c r="L4" s="324"/>
      <c r="M4" s="324"/>
    </row>
    <row r="5" spans="2:17" ht="16">
      <c r="B5" s="258" t="str">
        <f>"Valuation Summary - "&amp;TEXT(Company_Name,"")</f>
        <v>Valuation Summary - Avadel Pharmaceuticals, PLC</v>
      </c>
      <c r="C5" s="259" t="str">
        <f>TEXT(Company_Name,"")&amp;" - Range of Valuation Multiples / Premiums"</f>
        <v>Avadel Pharmaceuticals, PLC - Range of Valuation Multiples / Premiums</v>
      </c>
      <c r="D5" s="259"/>
      <c r="E5" s="259"/>
      <c r="F5" s="260"/>
      <c r="G5" s="260"/>
      <c r="H5" s="260"/>
      <c r="I5" s="259" t="str">
        <f>TEXT(Company_Name,"")&amp;" - Implied Per Share Value Range"</f>
        <v>Avadel Pharmaceuticals, PLC - Implied Per Share Value Range</v>
      </c>
      <c r="J5" s="260"/>
      <c r="K5" s="260"/>
      <c r="L5" s="260"/>
      <c r="M5" s="260"/>
    </row>
    <row r="6" spans="2:17" ht="16">
      <c r="B6" s="261"/>
      <c r="C6" s="262"/>
      <c r="D6" s="259"/>
      <c r="E6" s="259"/>
      <c r="F6" s="260"/>
      <c r="G6" s="259"/>
      <c r="H6" s="259"/>
      <c r="I6" s="259"/>
      <c r="J6" s="259"/>
      <c r="K6" s="259"/>
      <c r="L6" s="259"/>
      <c r="M6" s="259"/>
    </row>
    <row r="7" spans="2:17" ht="16">
      <c r="B7" s="261"/>
      <c r="C7" s="262"/>
      <c r="D7" s="262" t="s">
        <v>245</v>
      </c>
      <c r="E7" s="262"/>
      <c r="F7" s="262" t="s">
        <v>246</v>
      </c>
      <c r="G7" s="259"/>
      <c r="H7" s="262" t="s">
        <v>247</v>
      </c>
      <c r="I7" s="262"/>
      <c r="J7" s="262" t="s">
        <v>246</v>
      </c>
      <c r="K7" s="262"/>
      <c r="L7" s="262" t="s">
        <v>245</v>
      </c>
      <c r="M7" s="262"/>
    </row>
    <row r="8" spans="2:17" ht="16">
      <c r="B8" s="261"/>
      <c r="C8" s="262" t="s">
        <v>215</v>
      </c>
      <c r="D8" s="262" t="s">
        <v>248</v>
      </c>
      <c r="E8" s="262" t="s">
        <v>217</v>
      </c>
      <c r="F8" s="262" t="s">
        <v>248</v>
      </c>
      <c r="G8" s="262" t="s">
        <v>219</v>
      </c>
      <c r="H8" s="262" t="s">
        <v>249</v>
      </c>
      <c r="I8" s="262" t="s">
        <v>219</v>
      </c>
      <c r="J8" s="262" t="s">
        <v>248</v>
      </c>
      <c r="K8" s="262" t="s">
        <v>217</v>
      </c>
      <c r="L8" s="262" t="s">
        <v>248</v>
      </c>
      <c r="M8" s="262" t="s">
        <v>215</v>
      </c>
    </row>
    <row r="9" spans="2:17" ht="16">
      <c r="B9" s="258" t="s">
        <v>250</v>
      </c>
      <c r="C9" s="262" t="s">
        <v>251</v>
      </c>
      <c r="D9" s="262" t="s">
        <v>251</v>
      </c>
      <c r="E9" s="262" t="s">
        <v>251</v>
      </c>
      <c r="F9" s="262" t="s">
        <v>251</v>
      </c>
      <c r="G9" s="262" t="s">
        <v>251</v>
      </c>
      <c r="H9" s="262" t="s">
        <v>252</v>
      </c>
      <c r="I9" s="262" t="s">
        <v>251</v>
      </c>
      <c r="J9" s="262" t="s">
        <v>251</v>
      </c>
      <c r="K9" s="262" t="s">
        <v>251</v>
      </c>
      <c r="L9" s="262" t="s">
        <v>251</v>
      </c>
      <c r="M9" s="262" t="s">
        <v>251</v>
      </c>
    </row>
    <row r="10" spans="2:17" ht="16">
      <c r="B10" s="10"/>
      <c r="C10" s="10"/>
      <c r="D10" s="10"/>
      <c r="E10" s="10"/>
      <c r="F10" s="10"/>
      <c r="G10" s="10"/>
      <c r="H10" s="10"/>
      <c r="I10" s="10"/>
      <c r="J10" s="10"/>
      <c r="K10" s="10"/>
      <c r="L10" s="10"/>
      <c r="M10" s="10"/>
    </row>
    <row r="11" spans="2:17" ht="16">
      <c r="B11" s="27" t="s">
        <v>253</v>
      </c>
      <c r="C11" s="10"/>
      <c r="D11" s="10"/>
      <c r="E11" s="10"/>
      <c r="F11" s="10"/>
      <c r="G11" s="10"/>
      <c r="H11" s="10"/>
      <c r="I11" s="10"/>
      <c r="J11" s="10"/>
      <c r="K11" s="10"/>
      <c r="L11" s="10"/>
      <c r="M11" s="10"/>
    </row>
    <row r="12" spans="2:17" ht="16">
      <c r="B12" s="42" t="str">
        <f>TEXT(Forward_Year_1,"YYYY/MM/DD")&amp;" TEV / Revenue:"</f>
        <v>2025/12/31 TEV / Revenue:</v>
      </c>
      <c r="C12" s="325" cm="1">
        <f t="array" ref="C12:G18">TRANSPOSE(PubComps!N34:T38)</f>
        <v>9.5102383252818044</v>
      </c>
      <c r="D12" s="325">
        <v>3.5453413055613705</v>
      </c>
      <c r="E12" s="325">
        <v>3.084637530084545</v>
      </c>
      <c r="F12" s="325">
        <v>2.7753036938636759</v>
      </c>
      <c r="G12" s="325">
        <v>1.5050357568533967</v>
      </c>
      <c r="H12" s="326" cm="1">
        <f t="array" ref="H12:H18">TRANSPOSE(PubComps!N21:T21)</f>
        <v>343.43999999999994</v>
      </c>
      <c r="I12" s="624">
        <f>((I32+SUM($E$31:$E$37))/$E$40)</f>
        <v>5.8935955230629586</v>
      </c>
      <c r="J12" s="624">
        <f t="shared" ref="J12:M12" si="0">((J32+SUM($E$31:$E$37))/$E$40)</f>
        <v>10.418183993160556</v>
      </c>
      <c r="K12" s="624">
        <f t="shared" si="0"/>
        <v>11.520005323918648</v>
      </c>
      <c r="L12" s="624">
        <f t="shared" si="0"/>
        <v>13.160993756295342</v>
      </c>
      <c r="M12" s="624">
        <f t="shared" si="0"/>
        <v>34.407459556469433</v>
      </c>
      <c r="O12" s="650" t="s">
        <v>217</v>
      </c>
    </row>
    <row r="13" spans="2:17" ht="16">
      <c r="B13" s="42" t="str">
        <f>TEXT(Forward_Year_2,"YYYY/MM/DD")&amp;" TEV / Revenue:"</f>
        <v>2026/12/31 TEV / Revenue:</v>
      </c>
      <c r="C13" s="325">
        <v>6.1137246376811598</v>
      </c>
      <c r="D13" s="325">
        <v>3.1937290330375183</v>
      </c>
      <c r="E13" s="325">
        <v>2.751579958609661</v>
      </c>
      <c r="F13" s="325">
        <v>2.4944342417036158</v>
      </c>
      <c r="G13" s="325">
        <v>1.2819543147208121</v>
      </c>
      <c r="H13" s="327">
        <v>467.07840000000004</v>
      </c>
      <c r="I13" s="624">
        <f t="shared" ref="I13:M13" si="1">((I33+SUM($E$31:$E$37))/$E$40)</f>
        <v>6.7428352021664946</v>
      </c>
      <c r="J13" s="624">
        <f t="shared" si="1"/>
        <v>12.616338462146217</v>
      </c>
      <c r="K13" s="624">
        <f t="shared" si="1"/>
        <v>13.862005440152114</v>
      </c>
      <c r="L13" s="624">
        <f t="shared" si="1"/>
        <v>16.003866902973567</v>
      </c>
      <c r="M13" s="624">
        <f t="shared" si="1"/>
        <v>30.148928871693592</v>
      </c>
      <c r="O13" s="651">
        <f>MEDIAN(J12:L28)</f>
        <v>25.119087038670866</v>
      </c>
    </row>
    <row r="14" spans="2:17" ht="16">
      <c r="B14" s="42" t="str">
        <f>TEXT(Forward_Year_3,"YYYY/MM/DD")&amp;" TEV / Revenue:"</f>
        <v>2027/12/31 TEV / Revenue:</v>
      </c>
      <c r="C14" s="325">
        <v>3.8176199095022625</v>
      </c>
      <c r="D14" s="325">
        <v>2.836921500213518</v>
      </c>
      <c r="E14" s="325">
        <v>2.56730330777037</v>
      </c>
      <c r="F14" s="325">
        <v>2.2006377337484921</v>
      </c>
      <c r="G14" s="325">
        <v>1.114496910856134</v>
      </c>
      <c r="H14" s="327">
        <v>665.59781540194535</v>
      </c>
      <c r="I14" s="624">
        <f t="shared" ref="I14:M14" si="2">((I34+SUM($E$31:$E$37))/$E$40)</f>
        <v>8.2262778379802874</v>
      </c>
      <c r="J14" s="624">
        <f t="shared" si="2"/>
        <v>15.724026841672726</v>
      </c>
      <c r="K14" s="624">
        <f t="shared" si="2"/>
        <v>18.255159439184261</v>
      </c>
      <c r="L14" s="624">
        <f t="shared" si="2"/>
        <v>20.116363337574434</v>
      </c>
      <c r="M14" s="624">
        <f t="shared" si="2"/>
        <v>26.886231817047069</v>
      </c>
    </row>
    <row r="15" spans="2:17" ht="16">
      <c r="B15" s="42" t="s">
        <v>446</v>
      </c>
      <c r="C15" s="325">
        <v>65.659659419014091</v>
      </c>
      <c r="D15" s="325">
        <v>22.685848115375549</v>
      </c>
      <c r="E15" s="325">
        <v>15.079059738186828</v>
      </c>
      <c r="F15" s="325">
        <v>12.536591459304326</v>
      </c>
      <c r="G15" s="325">
        <v>4.4872710497572825</v>
      </c>
      <c r="H15" s="327">
        <v>207.07066342692798</v>
      </c>
      <c r="I15" s="624">
        <f t="shared" ref="I15:M15" si="3">((I35+SUM($E$31:$E$37))/$E$40)</f>
        <v>10.169603746626093</v>
      </c>
      <c r="J15" s="624">
        <f t="shared" si="3"/>
        <v>27.456246739167245</v>
      </c>
      <c r="K15" s="624">
        <f t="shared" si="3"/>
        <v>32.916427129647637</v>
      </c>
      <c r="L15" s="624">
        <f t="shared" si="3"/>
        <v>49.252692591302001</v>
      </c>
      <c r="M15" s="624">
        <f t="shared" si="3"/>
        <v>141.54283588758958</v>
      </c>
      <c r="O15" s="383"/>
      <c r="P15" s="383"/>
      <c r="Q15" s="383"/>
    </row>
    <row r="16" spans="2:17" ht="16">
      <c r="B16" s="42" t="str">
        <f>TEXT(Forward_Year_1,"YYYY/MM/DD")&amp;" TEV / R&amp;D:"</f>
        <v>2025/12/31 TEV / R&amp;D:</v>
      </c>
      <c r="C16" s="325">
        <v>99.695999999999998</v>
      </c>
      <c r="D16" s="325">
        <v>41.126531922157724</v>
      </c>
      <c r="E16" s="325">
        <v>23.495641430522362</v>
      </c>
      <c r="F16" s="325">
        <v>15.709424727767695</v>
      </c>
      <c r="G16" s="325">
        <v>2.8633219954648523</v>
      </c>
      <c r="H16" s="327">
        <v>5.2889759999999999</v>
      </c>
      <c r="I16" s="624">
        <f t="shared" ref="I16:M16" si="4">((I36+SUM($E$31:$E$37))/$E$40)</f>
        <v>0.68984693335703906</v>
      </c>
      <c r="J16" s="624">
        <f t="shared" si="4"/>
        <v>1.3945008334263624</v>
      </c>
      <c r="K16" s="624">
        <f t="shared" si="4"/>
        <v>1.8216021948832031</v>
      </c>
      <c r="L16" s="624">
        <f t="shared" si="4"/>
        <v>2.788718526234454</v>
      </c>
      <c r="M16" s="624">
        <f t="shared" si="4"/>
        <v>6.0014597728272134</v>
      </c>
      <c r="O16" s="383"/>
      <c r="P16" s="383"/>
      <c r="Q16" s="383"/>
    </row>
    <row r="17" spans="2:13" ht="16">
      <c r="B17" s="42" t="str">
        <f>TEXT(Forward_Year_2,"YYYY/MM/DD")&amp;" TEV / R&amp;D:"</f>
        <v>2026/12/31 TEV / R&amp;D:</v>
      </c>
      <c r="C17" s="325">
        <v>94.448842105263154</v>
      </c>
      <c r="D17" s="325">
        <v>38.286281313571635</v>
      </c>
      <c r="E17" s="325">
        <v>21.284063377330821</v>
      </c>
      <c r="F17" s="325">
        <v>14.299153513558895</v>
      </c>
      <c r="G17" s="325">
        <v>2.5204091816367264</v>
      </c>
      <c r="H17" s="327">
        <v>5.4648172800000001</v>
      </c>
      <c r="I17" s="624">
        <f t="shared" ref="I17:M17" si="5">((I37+SUM($E$31:$E$37))/$E$40)</f>
        <v>0.67563343340052939</v>
      </c>
      <c r="J17" s="624">
        <f t="shared" si="5"/>
        <v>1.3432198839480334</v>
      </c>
      <c r="K17" s="624">
        <f t="shared" si="5"/>
        <v>1.7391051372438564</v>
      </c>
      <c r="L17" s="624">
        <f t="shared" si="5"/>
        <v>2.7027435356704768</v>
      </c>
      <c r="M17" s="624">
        <f t="shared" si="5"/>
        <v>5.8858811907574529</v>
      </c>
    </row>
    <row r="18" spans="2:13" ht="16">
      <c r="B18" s="42" t="str">
        <f>TEXT(Forward_Year_3,"YYYY/MM/DD")&amp;" TEV / R&amp;D:"</f>
        <v>2027/12/31 TEV / R&amp;D:</v>
      </c>
      <c r="C18" s="325">
        <v>85.453714285714284</v>
      </c>
      <c r="D18" s="325">
        <v>38.48365378998276</v>
      </c>
      <c r="E18" s="325">
        <v>20.80965688826592</v>
      </c>
      <c r="F18" s="325">
        <v>13.656654716297371</v>
      </c>
      <c r="G18" s="325">
        <v>2.2309628975265015</v>
      </c>
      <c r="H18" s="327">
        <v>5.3247825232155641</v>
      </c>
      <c r="I18" s="624">
        <f t="shared" ref="I18:M18" si="6">((I38+SUM($E$31:$E$37))/$E$40)</f>
        <v>0.65598830374083672</v>
      </c>
      <c r="J18" s="624">
        <f t="shared" si="6"/>
        <v>1.2869707151932135</v>
      </c>
      <c r="K18" s="624">
        <f t="shared" si="6"/>
        <v>1.6819943716319308</v>
      </c>
      <c r="L18" s="624">
        <f t="shared" si="6"/>
        <v>2.6580386551584585</v>
      </c>
      <c r="M18" s="624">
        <f t="shared" si="6"/>
        <v>5.2519544116617674</v>
      </c>
    </row>
    <row r="19" spans="2:13" ht="16">
      <c r="B19" s="42"/>
      <c r="C19" s="325"/>
      <c r="D19" s="325"/>
      <c r="E19" s="325"/>
      <c r="F19" s="325"/>
      <c r="G19" s="325"/>
      <c r="H19" s="327"/>
      <c r="I19" s="624"/>
      <c r="J19" s="624"/>
      <c r="K19" s="624"/>
      <c r="L19" s="624"/>
      <c r="M19" s="624"/>
    </row>
    <row r="20" spans="2:13" ht="16">
      <c r="B20" s="195" t="s">
        <v>254</v>
      </c>
      <c r="C20" s="325"/>
      <c r="D20" s="325"/>
      <c r="E20" s="325"/>
      <c r="F20" s="325"/>
      <c r="G20" s="325"/>
      <c r="H20" s="327"/>
      <c r="I20" s="624"/>
      <c r="J20" s="624"/>
      <c r="K20" s="624"/>
      <c r="L20" s="624"/>
      <c r="M20" s="624"/>
    </row>
    <row r="21" spans="2:13" ht="16">
      <c r="B21" s="328" t="str">
        <f>PubComps_Data!C72</f>
        <v>2025-12-31 Revenue</v>
      </c>
      <c r="C21" s="325" cm="1">
        <f t="array" ref="C21:G22">TRANSPOSE(MAComps!H19:I23)</f>
        <v>319.44718909710389</v>
      </c>
      <c r="D21" s="325">
        <v>19.323417798996207</v>
      </c>
      <c r="E21" s="325">
        <v>16.236351901086174</v>
      </c>
      <c r="F21" s="325">
        <v>15.837402665962783</v>
      </c>
      <c r="G21" s="325">
        <v>12.868325714610876</v>
      </c>
      <c r="H21" s="327">
        <f>Model!M62/Units</f>
        <v>264.44880000000001</v>
      </c>
      <c r="I21" s="624">
        <f t="shared" ref="I21:M22" si="7">(I40+SUM($E$31:$E$37))/$E$40</f>
        <v>35.826429093943048</v>
      </c>
      <c r="J21" s="624">
        <f t="shared" si="7"/>
        <v>43.969644577169248</v>
      </c>
      <c r="K21" s="624">
        <f t="shared" si="7"/>
        <v>45.063832987139158</v>
      </c>
      <c r="L21" s="624">
        <f t="shared" si="7"/>
        <v>53.530653897979548</v>
      </c>
      <c r="M21" s="624">
        <f t="shared" si="7"/>
        <v>876.67285646237508</v>
      </c>
    </row>
    <row r="22" spans="2:13" ht="16">
      <c r="B22" s="328" t="s">
        <v>447</v>
      </c>
      <c r="C22" s="325">
        <v>5.2187000000000001</v>
      </c>
      <c r="D22" s="325">
        <v>5.1063829787234045</v>
      </c>
      <c r="E22" s="325">
        <v>2.7271196969696971</v>
      </c>
      <c r="F22" s="325">
        <v>2.0448666666666666</v>
      </c>
      <c r="G22" s="325">
        <v>1.9731624999999999</v>
      </c>
      <c r="H22" s="327">
        <f>PubComps_Data!H8</f>
        <v>1210.2371035644185</v>
      </c>
      <c r="I22" s="624">
        <f t="shared" si="7"/>
        <v>25.29937221387603</v>
      </c>
      <c r="J22" s="624">
        <f t="shared" si="7"/>
        <v>26.199383030928168</v>
      </c>
      <c r="K22" s="624">
        <f t="shared" si="7"/>
        <v>34.762833884402419</v>
      </c>
      <c r="L22" s="624">
        <f t="shared" si="7"/>
        <v>64.62668684775835</v>
      </c>
      <c r="M22" s="624">
        <f t="shared" si="7"/>
        <v>66.03645895427951</v>
      </c>
    </row>
    <row r="23" spans="2:13" ht="16">
      <c r="B23" s="328" t="s">
        <v>255</v>
      </c>
      <c r="C23" s="329" cm="1">
        <f t="array" ref="C23:G25">TRANSPOSE(MAComps!N19:P23)</f>
        <v>0.88796680497925284</v>
      </c>
      <c r="D23" s="329">
        <v>0.7892469608776248</v>
      </c>
      <c r="E23" s="329">
        <v>0.77159687264040422</v>
      </c>
      <c r="F23" s="329">
        <v>0.63110954796564056</v>
      </c>
      <c r="G23" s="329">
        <v>0.50427350427350426</v>
      </c>
      <c r="H23" s="327">
        <f>Share_Price</f>
        <v>15.4</v>
      </c>
      <c r="I23" s="613">
        <f>+$H23*(1+G23)</f>
        <v>23.165811965811965</v>
      </c>
      <c r="J23" s="613">
        <f>+$H23*(1+F23)</f>
        <v>25.119087038670866</v>
      </c>
      <c r="K23" s="613">
        <f>+$H23*(1+E23)</f>
        <v>27.282591838662224</v>
      </c>
      <c r="L23" s="613">
        <f>+$H23*(1+D23)</f>
        <v>27.554403197515423</v>
      </c>
      <c r="M23" s="613">
        <f>+$H23*(1+C23)</f>
        <v>29.074688796680494</v>
      </c>
    </row>
    <row r="24" spans="2:13" ht="16">
      <c r="B24" s="328" t="s">
        <v>256</v>
      </c>
      <c r="C24" s="329">
        <v>0.80064308681672025</v>
      </c>
      <c r="D24" s="329">
        <v>0.75653846795171087</v>
      </c>
      <c r="E24" s="329">
        <v>0.69692917830762768</v>
      </c>
      <c r="F24" s="329">
        <v>0.57905462349349046</v>
      </c>
      <c r="G24" s="329">
        <v>0.38827538335331613</v>
      </c>
      <c r="H24" s="327">
        <f>Share_Price</f>
        <v>15.4</v>
      </c>
      <c r="I24" s="613">
        <f t="shared" ref="I24:I25" si="8">+$H24*(1+G24)</f>
        <v>21.379440903641068</v>
      </c>
      <c r="J24" s="613">
        <f t="shared" ref="J24:J25" si="9">+$H24*(1+F24)</f>
        <v>24.317441201799753</v>
      </c>
      <c r="K24" s="613">
        <f t="shared" ref="K24:K25" si="10">+$H24*(1+E24)</f>
        <v>26.132709345937467</v>
      </c>
      <c r="L24" s="613">
        <f>+$H24*(1+D24)</f>
        <v>27.050692406456349</v>
      </c>
      <c r="M24" s="613">
        <f>+$H24*(1+C24)</f>
        <v>27.729903536977492</v>
      </c>
    </row>
    <row r="25" spans="2:13" ht="16">
      <c r="B25" s="328" t="s">
        <v>257</v>
      </c>
      <c r="C25" s="329">
        <v>1.136150234741784</v>
      </c>
      <c r="D25" s="329">
        <v>0.90102200164143031</v>
      </c>
      <c r="E25" s="329">
        <v>0.82781920022375477</v>
      </c>
      <c r="F25" s="329">
        <v>0.75412101810968557</v>
      </c>
      <c r="G25" s="329">
        <v>0.25337609723160015</v>
      </c>
      <c r="H25" s="327">
        <f>Share_Price</f>
        <v>15.4</v>
      </c>
      <c r="I25" s="613">
        <f t="shared" si="8"/>
        <v>19.301991897366644</v>
      </c>
      <c r="J25" s="613">
        <f t="shared" si="9"/>
        <v>27.01346367888916</v>
      </c>
      <c r="K25" s="613">
        <f t="shared" si="10"/>
        <v>28.148415683445823</v>
      </c>
      <c r="L25" s="613">
        <f>+$H25*(1+D25)</f>
        <v>29.275738825278026</v>
      </c>
      <c r="M25" s="613">
        <f>+$H25*(1+C25)</f>
        <v>32.896713615023472</v>
      </c>
    </row>
    <row r="26" spans="2:13" ht="16">
      <c r="B26" s="10"/>
      <c r="C26" s="10"/>
      <c r="D26" s="10"/>
      <c r="E26" s="10"/>
      <c r="F26" s="10"/>
      <c r="G26" s="10"/>
      <c r="H26" s="10"/>
      <c r="I26" s="10"/>
      <c r="J26" s="10"/>
      <c r="K26" s="10"/>
      <c r="L26" s="10"/>
      <c r="M26" s="10"/>
    </row>
    <row r="27" spans="2:13" ht="16">
      <c r="B27" s="27" t="s">
        <v>448</v>
      </c>
      <c r="C27" s="10"/>
      <c r="D27" s="10"/>
      <c r="E27" s="10"/>
      <c r="F27" s="10"/>
      <c r="G27" s="10"/>
      <c r="H27" s="10"/>
      <c r="I27" s="625"/>
      <c r="J27" s="625"/>
      <c r="K27" s="625"/>
      <c r="L27" s="625"/>
      <c r="M27" s="625"/>
    </row>
    <row r="28" spans="2:13" ht="16">
      <c r="B28" s="42" t="s">
        <v>481</v>
      </c>
      <c r="C28" s="10"/>
      <c r="D28" s="10"/>
      <c r="E28" s="10"/>
      <c r="F28" s="10"/>
      <c r="G28" s="10"/>
      <c r="H28" s="10"/>
      <c r="I28" s="625">
        <f>NPV!G173</f>
        <v>38.617396446620845</v>
      </c>
      <c r="J28" s="625">
        <f>NPV!I174</f>
        <v>42.470555584485261</v>
      </c>
      <c r="K28" s="625">
        <f>NPV!K176</f>
        <v>47.942536741228928</v>
      </c>
      <c r="L28" s="625">
        <f>NPV!M178</f>
        <v>54.064732999933717</v>
      </c>
      <c r="M28" s="625">
        <f>NPV!O180</f>
        <v>60.923084581491871</v>
      </c>
    </row>
    <row r="29" spans="2:13" ht="16">
      <c r="B29" s="42"/>
      <c r="C29" s="10"/>
      <c r="D29" s="10"/>
      <c r="E29" s="10"/>
      <c r="F29" s="10"/>
      <c r="G29" s="10"/>
      <c r="H29" s="10"/>
      <c r="I29" s="10"/>
      <c r="J29" s="10"/>
      <c r="K29" s="10"/>
      <c r="L29" s="10"/>
      <c r="M29" s="10"/>
    </row>
    <row r="30" spans="2:13" ht="16">
      <c r="B30" s="330" t="s">
        <v>258</v>
      </c>
      <c r="C30" s="331"/>
      <c r="D30" s="331"/>
      <c r="E30" s="626">
        <f>K32</f>
        <v>1059.3879133322359</v>
      </c>
      <c r="F30" s="10"/>
      <c r="G30" s="627" t="s">
        <v>450</v>
      </c>
      <c r="H30" s="627"/>
      <c r="I30" s="627"/>
      <c r="J30" s="628"/>
      <c r="K30" s="628"/>
      <c r="L30" s="628"/>
      <c r="M30" s="628"/>
    </row>
    <row r="31" spans="2:13" ht="16">
      <c r="B31" s="63" t="s">
        <v>118</v>
      </c>
      <c r="C31" s="12"/>
      <c r="D31" s="12"/>
      <c r="E31" s="629">
        <f>NPV!M26</f>
        <v>51.371000000000002</v>
      </c>
      <c r="F31" s="10"/>
      <c r="G31" s="10"/>
      <c r="H31" s="10"/>
      <c r="I31" s="10"/>
      <c r="J31" s="10"/>
      <c r="K31" s="10"/>
      <c r="L31" s="10"/>
      <c r="M31" s="10"/>
    </row>
    <row r="32" spans="2:13" ht="16">
      <c r="B32" s="63" t="s">
        <v>119</v>
      </c>
      <c r="C32" s="10"/>
      <c r="D32" s="10"/>
      <c r="E32" s="629">
        <f>NPV!M27</f>
        <v>0</v>
      </c>
      <c r="F32" s="10"/>
      <c r="G32" s="324" t="s">
        <v>259</v>
      </c>
      <c r="H32" s="28"/>
      <c r="I32" s="89">
        <f t="shared" ref="I32" si="11">G12*$H12</f>
        <v>516.88948033373049</v>
      </c>
      <c r="J32" s="89">
        <f t="shared" ref="J32" si="12">F12*$H12</f>
        <v>953.15030062054075</v>
      </c>
      <c r="K32" s="89">
        <f t="shared" ref="K32" si="13">E12*$H12</f>
        <v>1059.3879133322359</v>
      </c>
      <c r="L32" s="89">
        <f t="shared" ref="L32:L38" si="14">D12*$H12</f>
        <v>1217.6120179819968</v>
      </c>
      <c r="M32" s="89">
        <f t="shared" ref="M32:M38" si="15">C12*$H12</f>
        <v>3266.1962504347825</v>
      </c>
    </row>
    <row r="33" spans="2:13" ht="16">
      <c r="B33" s="63" t="s">
        <v>120</v>
      </c>
      <c r="C33" s="10"/>
      <c r="D33" s="10"/>
      <c r="E33" s="629">
        <f>NPV!M28</f>
        <v>0</v>
      </c>
      <c r="F33" s="10"/>
      <c r="G33" s="324" t="s">
        <v>259</v>
      </c>
      <c r="H33" s="10"/>
      <c r="I33" s="89">
        <f t="shared" ref="I33:I38" si="16">G13*$H13</f>
        <v>598.77317019289342</v>
      </c>
      <c r="J33" s="89">
        <f t="shared" ref="J33:J38" si="17">F13*$H13</f>
        <v>1165.0963545201382</v>
      </c>
      <c r="K33" s="89">
        <f t="shared" ref="K33:K38" si="18">E13*$H13</f>
        <v>1285.2035645394667</v>
      </c>
      <c r="L33" s="89">
        <f t="shared" si="14"/>
        <v>1491.7218467847113</v>
      </c>
      <c r="M33" s="89">
        <f t="shared" si="15"/>
        <v>2855.5887218086959</v>
      </c>
    </row>
    <row r="34" spans="2:13" ht="16">
      <c r="B34" s="63" t="s">
        <v>121</v>
      </c>
      <c r="C34" s="10"/>
      <c r="D34" s="10"/>
      <c r="E34" s="629">
        <f>NPV!M29</f>
        <v>0</v>
      </c>
      <c r="F34" s="10"/>
      <c r="G34" s="324" t="s">
        <v>259</v>
      </c>
      <c r="H34" s="10"/>
      <c r="I34" s="89">
        <f t="shared" si="16"/>
        <v>741.80670913805943</v>
      </c>
      <c r="J34" s="89">
        <f t="shared" si="17"/>
        <v>1464.7396680740842</v>
      </c>
      <c r="K34" s="89">
        <f t="shared" si="18"/>
        <v>1708.7914731261465</v>
      </c>
      <c r="L34" s="89">
        <f t="shared" si="14"/>
        <v>1888.248753008927</v>
      </c>
      <c r="M34" s="89">
        <f t="shared" si="15"/>
        <v>2540.9994717996783</v>
      </c>
    </row>
    <row r="35" spans="2:13" ht="16">
      <c r="B35" s="63" t="s">
        <v>122</v>
      </c>
      <c r="C35" s="10"/>
      <c r="D35" s="10"/>
      <c r="E35" s="629">
        <f>NPV!M30</f>
        <v>0</v>
      </c>
      <c r="F35" s="10"/>
      <c r="G35" s="324" t="s">
        <v>259</v>
      </c>
      <c r="H35" s="10"/>
      <c r="I35" s="89">
        <f t="shared" si="16"/>
        <v>929.182193249688</v>
      </c>
      <c r="J35" s="89">
        <f t="shared" si="17"/>
        <v>2595.9603105905057</v>
      </c>
      <c r="K35" s="89">
        <f t="shared" si="18"/>
        <v>3122.4309038406254</v>
      </c>
      <c r="L35" s="89">
        <f t="shared" si="14"/>
        <v>4697.5736196533389</v>
      </c>
      <c r="M35" s="89">
        <f t="shared" si="15"/>
        <v>13596.189236281389</v>
      </c>
    </row>
    <row r="36" spans="2:13" ht="16">
      <c r="B36" s="63" t="s">
        <v>123</v>
      </c>
      <c r="C36" s="10"/>
      <c r="D36" s="10"/>
      <c r="E36" s="629">
        <f>NPV!M31</f>
        <v>0</v>
      </c>
      <c r="F36" s="10"/>
      <c r="G36" s="324" t="s">
        <v>259</v>
      </c>
      <c r="H36" s="10"/>
      <c r="I36" s="89">
        <f t="shared" si="16"/>
        <v>15.144041314285712</v>
      </c>
      <c r="J36" s="89">
        <f t="shared" si="17"/>
        <v>83.086770358969872</v>
      </c>
      <c r="K36" s="89">
        <f t="shared" si="18"/>
        <v>124.26788363063844</v>
      </c>
      <c r="L36" s="89">
        <f t="shared" si="14"/>
        <v>217.51724029952607</v>
      </c>
      <c r="M36" s="89">
        <f t="shared" si="15"/>
        <v>527.28975129599996</v>
      </c>
    </row>
    <row r="37" spans="2:13" ht="16">
      <c r="B37" s="63" t="s">
        <v>124</v>
      </c>
      <c r="C37" s="10"/>
      <c r="D37" s="10"/>
      <c r="E37" s="630">
        <f>NPV!M32</f>
        <v>0</v>
      </c>
      <c r="F37" s="10"/>
      <c r="G37" s="324" t="s">
        <v>259</v>
      </c>
      <c r="H37" s="10"/>
      <c r="I37" s="89">
        <f t="shared" si="16"/>
        <v>13.773575648479042</v>
      </c>
      <c r="J37" s="89">
        <f t="shared" si="17"/>
        <v>78.142261210269368</v>
      </c>
      <c r="K37" s="89">
        <f t="shared" si="18"/>
        <v>116.31351733305263</v>
      </c>
      <c r="L37" s="89">
        <f t="shared" si="14"/>
        <v>209.22753170934737</v>
      </c>
      <c r="M37" s="89">
        <f t="shared" si="15"/>
        <v>516.14566441283364</v>
      </c>
    </row>
    <row r="38" spans="2:13" ht="16">
      <c r="B38" s="332" t="s">
        <v>125</v>
      </c>
      <c r="C38" s="333"/>
      <c r="D38" s="333"/>
      <c r="E38" s="631">
        <f>SUM(E30:E37)</f>
        <v>1110.758913332236</v>
      </c>
      <c r="F38" s="10"/>
      <c r="G38" s="324" t="s">
        <v>260</v>
      </c>
      <c r="H38" s="10"/>
      <c r="I38" s="89">
        <f t="shared" si="16"/>
        <v>11.87939224669147</v>
      </c>
      <c r="J38" s="89">
        <f t="shared" si="17"/>
        <v>72.718716358929655</v>
      </c>
      <c r="K38" s="89">
        <f t="shared" si="18"/>
        <v>110.80689731275075</v>
      </c>
      <c r="L38" s="89">
        <f t="shared" si="14"/>
        <v>204.9170871303786</v>
      </c>
      <c r="M38" s="89">
        <f t="shared" si="15"/>
        <v>455.02244437242763</v>
      </c>
    </row>
    <row r="39" spans="2:13" ht="16">
      <c r="F39" s="10"/>
      <c r="G39" s="324"/>
      <c r="H39" s="10"/>
      <c r="I39" s="89"/>
      <c r="J39" s="89"/>
      <c r="K39" s="89"/>
      <c r="L39" s="89"/>
      <c r="M39" s="89"/>
    </row>
    <row r="40" spans="2:13" ht="16">
      <c r="B40" s="12" t="s">
        <v>11</v>
      </c>
      <c r="C40" s="12"/>
      <c r="D40" s="12"/>
      <c r="E40" s="632">
        <f>Diluted</f>
        <v>96.42</v>
      </c>
      <c r="F40" s="10"/>
      <c r="G40" s="324" t="s">
        <v>259</v>
      </c>
      <c r="H40" s="324"/>
      <c r="I40" s="89">
        <f>+G21*$H21</f>
        <v>3403.0132932379888</v>
      </c>
      <c r="J40" s="89">
        <f>H21*F21</f>
        <v>4188.1821301306591</v>
      </c>
      <c r="K40" s="89">
        <f>H21*E21</f>
        <v>4293.6837766199578</v>
      </c>
      <c r="L40" s="89">
        <f>H21*D21</f>
        <v>5110.0546488431883</v>
      </c>
      <c r="M40" s="89">
        <f>H21*C21</f>
        <v>84477.425820102202</v>
      </c>
    </row>
    <row r="41" spans="2:13" ht="16">
      <c r="F41" s="10"/>
      <c r="G41" s="324" t="s">
        <v>259</v>
      </c>
      <c r="H41" s="324"/>
      <c r="I41" s="89">
        <f>+G22*$H22</f>
        <v>2387.9944688619266</v>
      </c>
      <c r="J41" s="89">
        <f>H22*F22</f>
        <v>2474.7735118420937</v>
      </c>
      <c r="K41" s="89">
        <f>H22*E22</f>
        <v>3300.461443134081</v>
      </c>
      <c r="L41" s="89">
        <f>H22*D22</f>
        <v>6179.9341458608606</v>
      </c>
      <c r="M41" s="89">
        <f>H22*C22</f>
        <v>6315.8643723716305</v>
      </c>
    </row>
    <row r="42" spans="2:13" ht="16">
      <c r="B42" s="334" t="s">
        <v>451</v>
      </c>
      <c r="C42" s="335"/>
      <c r="D42" s="335"/>
      <c r="E42" s="336">
        <f>E38/E40</f>
        <v>11.520005323918648</v>
      </c>
      <c r="F42" s="10"/>
    </row>
    <row r="43" spans="2:13" ht="16">
      <c r="B43" s="337" t="s">
        <v>127</v>
      </c>
      <c r="C43" s="338"/>
      <c r="D43" s="338"/>
      <c r="E43" s="339">
        <f>E42/Share_Price-1</f>
        <v>-0.25194770623904883</v>
      </c>
      <c r="F43"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34</vt:i4>
      </vt:variant>
    </vt:vector>
  </HeadingPairs>
  <TitlesOfParts>
    <vt:vector size="48" baseType="lpstr">
      <vt:lpstr>Cover</vt:lpstr>
      <vt:lpstr>Summary</vt:lpstr>
      <vt:lpstr>Graphs</vt:lpstr>
      <vt:lpstr>Model</vt:lpstr>
      <vt:lpstr>Drivers</vt:lpstr>
      <vt:lpstr>Q1</vt:lpstr>
      <vt:lpstr>NPV</vt:lpstr>
      <vt:lpstr>WACC</vt:lpstr>
      <vt:lpstr>ValSum</vt:lpstr>
      <vt:lpstr>ValGraph</vt:lpstr>
      <vt:lpstr>PubComps</vt:lpstr>
      <vt:lpstr>PubComps_Data</vt:lpstr>
      <vt:lpstr>MAComps</vt:lpstr>
      <vt:lpstr>PPT</vt:lpstr>
      <vt:lpstr>ASP</vt:lpstr>
      <vt:lpstr>Classpen</vt:lpstr>
      <vt:lpstr>Company_Name</vt:lpstr>
      <vt:lpstr>Cost_of_Debt</vt:lpstr>
      <vt:lpstr>Cost_of_Preferred</vt:lpstr>
      <vt:lpstr>Diluted</vt:lpstr>
      <vt:lpstr>Discount_Rate</vt:lpstr>
      <vt:lpstr>Equity_Risk_Premium</vt:lpstr>
      <vt:lpstr>Forward_Year_1</vt:lpstr>
      <vt:lpstr>Forward_Year_2</vt:lpstr>
      <vt:lpstr>Forward_Year_3</vt:lpstr>
      <vt:lpstr>Hist_Year</vt:lpstr>
      <vt:lpstr>IH</vt:lpstr>
      <vt:lpstr>Legal</vt:lpstr>
      <vt:lpstr>LTM</vt:lpstr>
      <vt:lpstr>Model_Params</vt:lpstr>
      <vt:lpstr>Model_Range</vt:lpstr>
      <vt:lpstr>Model_Years</vt:lpstr>
      <vt:lpstr>Premium_Case</vt:lpstr>
      <vt:lpstr>Premium_Uplift</vt:lpstr>
      <vt:lpstr>Pub_Comps_Params</vt:lpstr>
      <vt:lpstr>Pub_Comps_Range</vt:lpstr>
      <vt:lpstr>Pub_Comps_Tickers</vt:lpstr>
      <vt:lpstr>Risk_Free_Rate</vt:lpstr>
      <vt:lpstr>RoyaltyJ</vt:lpstr>
      <vt:lpstr>Royaltyxw</vt:lpstr>
      <vt:lpstr>Scenario</vt:lpstr>
      <vt:lpstr>Share_Price</vt:lpstr>
      <vt:lpstr>Tax_Rate</vt:lpstr>
      <vt:lpstr>Terminal_Growth_Rate</vt:lpstr>
      <vt:lpstr>Ticker</vt:lpstr>
      <vt:lpstr>Units</vt:lpstr>
      <vt:lpstr>Vali</vt:lpstr>
      <vt:lpstr>Valuation_Date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glenn Rentrop</dc:creator>
  <cp:lastModifiedBy>glenn Rentrop</cp:lastModifiedBy>
  <dcterms:created xsi:type="dcterms:W3CDTF">2025-01-10T19:17:57Z</dcterms:created>
  <dcterms:modified xsi:type="dcterms:W3CDTF">2025-09-25T18:46:34Z</dcterms:modified>
</cp:coreProperties>
</file>