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harts/chart11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59063f627c2eb15/Documents/atlantic-walk-research/public/models/"/>
    </mc:Choice>
  </mc:AlternateContent>
  <xr:revisionPtr revIDLastSave="0" documentId="8_{894D7524-AB8C-474A-BF3C-2716976ED288}" xr6:coauthVersionLast="47" xr6:coauthVersionMax="47" xr10:uidLastSave="{00000000-0000-0000-0000-000000000000}"/>
  <bookViews>
    <workbookView xWindow="-110" yWindow="-110" windowWidth="19420" windowHeight="11500" tabRatio="672" xr2:uid="{90E066BF-3363-4C5E-9700-072A28001777}"/>
  </bookViews>
  <sheets>
    <sheet name="Cover" sheetId="15" r:id="rId1"/>
    <sheet name="Summary" sheetId="14" r:id="rId2"/>
    <sheet name="Graphs" sheetId="13" r:id="rId3"/>
    <sheet name="Model" sheetId="1" r:id="rId4"/>
    <sheet name="Debt" sheetId="9" r:id="rId5"/>
    <sheet name="Q3_Results" sheetId="12" r:id="rId6"/>
    <sheet name="DCF" sheetId="3" r:id="rId7"/>
    <sheet name="WACC" sheetId="4" r:id="rId8"/>
    <sheet name="ValSum" sheetId="6" r:id="rId9"/>
    <sheet name="ValGraph" sheetId="7" r:id="rId10"/>
    <sheet name="PubComps" sheetId="5" r:id="rId11"/>
    <sheet name="PubCompsData" sheetId="10" r:id="rId12"/>
    <sheet name="MAComps" sheetId="11" r:id="rId13"/>
  </sheets>
  <externalReferences>
    <externalReference r:id="rId14"/>
    <externalReference r:id="rId15"/>
  </externalReferences>
  <definedNames>
    <definedName name="_xlnm._FilterDatabase" localSheetId="3" hidden="1">Model!$R$110:$T$116</definedName>
    <definedName name="CompanyName">Model!$G$5</definedName>
    <definedName name="Cost_of_Debt">WACC!$F$8</definedName>
    <definedName name="Cost_of_Preferred">WACC!$F$9</definedName>
    <definedName name="DilutedShares">Model!$G$8</definedName>
    <definedName name="DiscountRate">DCF!$G$13</definedName>
    <definedName name="Equity_Risk_Premium">WACC!$F$7</definedName>
    <definedName name="Forward_Year_1">Model!$O$12</definedName>
    <definedName name="Forward_Year_2">Model!$O$13</definedName>
    <definedName name="Forward_Year_3">Model!$O$14</definedName>
    <definedName name="Hist_Year">Model!$O$5</definedName>
    <definedName name="LTM">Model!$O$11</definedName>
    <definedName name="Min_Cash_Pct_Revenue">Debt!#REF!</definedName>
    <definedName name="Next_Year">Model!$O$6</definedName>
    <definedName name="Pub_Comps_Params">PubCompsData!$C$3:$C$102</definedName>
    <definedName name="Pub_Comps_Range">PubCompsData!$C$3:$AG$104</definedName>
    <definedName name="Pub_Comps_Tickers">PubCompsData!$C$3:$AG$3</definedName>
    <definedName name="Risk_Free_Rate">WACC!$F$6</definedName>
    <definedName name="Scenario">DCF!$G$6</definedName>
    <definedName name="SharePrice">Model!$G$7</definedName>
    <definedName name="TaxRate">Model!$G$10</definedName>
    <definedName name="ThreeStateparams">Model!$C$81:$C$189</definedName>
    <definedName name="ThreeStateRange">Model!$C$81:$P$189</definedName>
    <definedName name="ThreeStateyears">Model!$C$81:$P$81</definedName>
    <definedName name="Ticker">Model!$G$6</definedName>
    <definedName name="Units">Model!$G$13</definedName>
    <definedName name="Units1">PubComps!$Y$25</definedName>
    <definedName name="Valuation_Date">Model!$O$8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9" i="7" l="1"/>
  <c r="F39" i="7"/>
  <c r="G39" i="7"/>
  <c r="H39" i="7"/>
  <c r="I39" i="7"/>
  <c r="E40" i="7"/>
  <c r="F40" i="7"/>
  <c r="G40" i="7"/>
  <c r="H40" i="7"/>
  <c r="I40" i="7"/>
  <c r="E41" i="7"/>
  <c r="F41" i="7"/>
  <c r="G41" i="7"/>
  <c r="H41" i="7"/>
  <c r="I41" i="7"/>
  <c r="E42" i="7"/>
  <c r="F42" i="7"/>
  <c r="G42" i="7"/>
  <c r="H42" i="7"/>
  <c r="I42" i="7"/>
  <c r="E43" i="7"/>
  <c r="F43" i="7"/>
  <c r="G43" i="7"/>
  <c r="H43" i="7"/>
  <c r="I43" i="7"/>
  <c r="E44" i="7"/>
  <c r="F44" i="7"/>
  <c r="G44" i="7"/>
  <c r="H44" i="7"/>
  <c r="I44" i="7"/>
  <c r="E45" i="7"/>
  <c r="F45" i="7"/>
  <c r="G45" i="7"/>
  <c r="H45" i="7"/>
  <c r="I45" i="7"/>
  <c r="E46" i="7"/>
  <c r="F46" i="7"/>
  <c r="G46" i="7"/>
  <c r="H46" i="7"/>
  <c r="I46" i="7"/>
  <c r="E47" i="7"/>
  <c r="F47" i="7"/>
  <c r="G47" i="7"/>
  <c r="H47" i="7"/>
  <c r="I47" i="7"/>
  <c r="E48" i="7"/>
  <c r="F48" i="7"/>
  <c r="G48" i="7"/>
  <c r="H48" i="7"/>
  <c r="I48" i="7"/>
  <c r="E49" i="7"/>
  <c r="F49" i="7"/>
  <c r="G49" i="7"/>
  <c r="H49" i="7"/>
  <c r="I49" i="7"/>
  <c r="E50" i="7"/>
  <c r="F50" i="7"/>
  <c r="G50" i="7"/>
  <c r="H50" i="7"/>
  <c r="I50" i="7"/>
  <c r="J67" i="10"/>
  <c r="B36" i="7"/>
  <c r="H41" i="14" l="1"/>
  <c r="I41" i="14"/>
  <c r="J41" i="14"/>
  <c r="K41" i="14"/>
  <c r="L41" i="14"/>
  <c r="M41" i="14"/>
  <c r="N41" i="14"/>
  <c r="O41" i="14"/>
  <c r="P41" i="14"/>
  <c r="Q41" i="14"/>
  <c r="H42" i="14"/>
  <c r="I42" i="14"/>
  <c r="J42" i="14"/>
  <c r="K42" i="14"/>
  <c r="L42" i="14"/>
  <c r="M42" i="14"/>
  <c r="N42" i="14"/>
  <c r="O42" i="14"/>
  <c r="P42" i="14"/>
  <c r="Q42" i="14"/>
  <c r="H38" i="14"/>
  <c r="I38" i="14"/>
  <c r="J38" i="14"/>
  <c r="K38" i="14"/>
  <c r="L38" i="14"/>
  <c r="M38" i="14"/>
  <c r="N38" i="14"/>
  <c r="O38" i="14"/>
  <c r="P38" i="14"/>
  <c r="Q38" i="14"/>
  <c r="H39" i="14"/>
  <c r="I39" i="14"/>
  <c r="J39" i="14"/>
  <c r="K39" i="14"/>
  <c r="L39" i="14"/>
  <c r="M39" i="14"/>
  <c r="N39" i="14"/>
  <c r="O39" i="14"/>
  <c r="P39" i="14"/>
  <c r="Q39" i="14"/>
  <c r="H37" i="14"/>
  <c r="I37" i="14"/>
  <c r="J37" i="14"/>
  <c r="K37" i="14"/>
  <c r="L37" i="14"/>
  <c r="M37" i="14"/>
  <c r="N37" i="14"/>
  <c r="O37" i="14"/>
  <c r="P37" i="14"/>
  <c r="Q37" i="14"/>
  <c r="G34" i="14"/>
  <c r="H34" i="14"/>
  <c r="G33" i="14"/>
  <c r="G35" i="14"/>
  <c r="Q33" i="14"/>
  <c r="Q35" i="14"/>
  <c r="Q34" i="14"/>
  <c r="Q21" i="14"/>
  <c r="Q22" i="14"/>
  <c r="Q24" i="14"/>
  <c r="Q25" i="14"/>
  <c r="Q27" i="14"/>
  <c r="Q28" i="14"/>
  <c r="Q30" i="14"/>
  <c r="O11" i="14"/>
  <c r="P11" i="14"/>
  <c r="Q11" i="14"/>
  <c r="O12" i="14"/>
  <c r="P12" i="14"/>
  <c r="Q12" i="14"/>
  <c r="O13" i="14"/>
  <c r="P13" i="14"/>
  <c r="Q13" i="14"/>
  <c r="O14" i="14"/>
  <c r="P14" i="14"/>
  <c r="Q14" i="14"/>
  <c r="O15" i="14"/>
  <c r="P15" i="14"/>
  <c r="Q15" i="14"/>
  <c r="O16" i="14"/>
  <c r="P16" i="14"/>
  <c r="Q16" i="14"/>
  <c r="O17" i="14"/>
  <c r="P17" i="14"/>
  <c r="Q17" i="14"/>
  <c r="P10" i="14"/>
  <c r="Q10" i="14"/>
  <c r="O10" i="14"/>
  <c r="Q7" i="14"/>
  <c r="L13" i="3"/>
  <c r="Q13" i="3"/>
  <c r="P22" i="1"/>
  <c r="O22" i="1"/>
  <c r="N22" i="1"/>
  <c r="M22" i="1"/>
  <c r="L22" i="1"/>
  <c r="L21" i="1" s="1"/>
  <c r="P28" i="1"/>
  <c r="O28" i="1"/>
  <c r="N28" i="1"/>
  <c r="M28" i="1"/>
  <c r="L28" i="1"/>
  <c r="L27" i="1" s="1"/>
  <c r="P34" i="1"/>
  <c r="O34" i="1"/>
  <c r="N34" i="1"/>
  <c r="M34" i="1"/>
  <c r="L34" i="1"/>
  <c r="L33" i="1" s="1"/>
  <c r="P40" i="1"/>
  <c r="O40" i="1"/>
  <c r="N40" i="1"/>
  <c r="M40" i="1"/>
  <c r="L40" i="1"/>
  <c r="L39" i="1" s="1"/>
  <c r="G56" i="3"/>
  <c r="H56" i="3"/>
  <c r="I56" i="3"/>
  <c r="J56" i="3"/>
  <c r="K56" i="3"/>
  <c r="F56" i="3"/>
  <c r="B41" i="5"/>
  <c r="F41" i="5"/>
  <c r="M41" i="5"/>
  <c r="Q41" i="5"/>
  <c r="T41" i="5"/>
  <c r="N41" i="5"/>
  <c r="L41" i="1"/>
  <c r="N29" i="1"/>
  <c r="O29" i="1" s="1"/>
  <c r="P29" i="1" s="1"/>
  <c r="M29" i="1"/>
  <c r="M30" i="1"/>
  <c r="N30" i="1" s="1"/>
  <c r="O30" i="1" s="1"/>
  <c r="P30" i="1" s="1"/>
  <c r="N23" i="1"/>
  <c r="O23" i="1" s="1"/>
  <c r="P23" i="1" s="1"/>
  <c r="P73" i="3"/>
  <c r="O46" i="3"/>
  <c r="O54" i="3" s="1"/>
  <c r="P3" i="3"/>
  <c r="P46" i="3" s="1"/>
  <c r="P54" i="3" s="1"/>
  <c r="P167" i="1"/>
  <c r="P179" i="1"/>
  <c r="P180" i="1"/>
  <c r="P17" i="1"/>
  <c r="P81" i="1" s="1"/>
  <c r="J47" i="1"/>
  <c r="K163" i="1"/>
  <c r="K42" i="1"/>
  <c r="K36" i="1"/>
  <c r="K30" i="1"/>
  <c r="K24" i="1"/>
  <c r="AA106" i="13"/>
  <c r="AA105" i="13"/>
  <c r="AA104" i="13"/>
  <c r="AA103" i="13"/>
  <c r="AA102" i="13"/>
  <c r="X106" i="13"/>
  <c r="X105" i="13"/>
  <c r="X104" i="13"/>
  <c r="X103" i="13"/>
  <c r="X102" i="13"/>
  <c r="U106" i="13"/>
  <c r="U105" i="13"/>
  <c r="U104" i="13"/>
  <c r="U103" i="13"/>
  <c r="U102" i="13"/>
  <c r="R103" i="13"/>
  <c r="R104" i="13"/>
  <c r="R105" i="13"/>
  <c r="R106" i="13"/>
  <c r="R102" i="13"/>
  <c r="AG57" i="10"/>
  <c r="AG36" i="10"/>
  <c r="AG16" i="10"/>
  <c r="AG11" i="10"/>
  <c r="AD66" i="10"/>
  <c r="AG52" i="10"/>
  <c r="AG51" i="10"/>
  <c r="AG48" i="10"/>
  <c r="AG47" i="10"/>
  <c r="AG46" i="10"/>
  <c r="AG45" i="10"/>
  <c r="AG44" i="10"/>
  <c r="AG43" i="10"/>
  <c r="AG42" i="10"/>
  <c r="AG41" i="10"/>
  <c r="AG40" i="10"/>
  <c r="AG13" i="10"/>
  <c r="AG12" i="10"/>
  <c r="AG8" i="10"/>
  <c r="M27" i="6"/>
  <c r="L27" i="6"/>
  <c r="K27" i="6"/>
  <c r="J27" i="6"/>
  <c r="I27" i="6"/>
  <c r="M26" i="6"/>
  <c r="L26" i="6"/>
  <c r="K26" i="6"/>
  <c r="J26" i="6"/>
  <c r="I26" i="6"/>
  <c r="G9" i="3"/>
  <c r="H25" i="6"/>
  <c r="L25" i="6" s="1"/>
  <c r="C25" i="6" a="1"/>
  <c r="C25" i="6" s="1"/>
  <c r="C23" i="6" a="1"/>
  <c r="C23" i="6" s="1"/>
  <c r="T101" i="13"/>
  <c r="Q101" i="13"/>
  <c r="P93" i="13"/>
  <c r="P94" i="13"/>
  <c r="P95" i="13"/>
  <c r="P96" i="13"/>
  <c r="P92" i="13"/>
  <c r="P103" i="13"/>
  <c r="P104" i="13"/>
  <c r="P105" i="13"/>
  <c r="P106" i="13"/>
  <c r="P102" i="13"/>
  <c r="M27" i="1" l="1"/>
  <c r="N27" i="1" s="1"/>
  <c r="O27" i="1" s="1"/>
  <c r="P27" i="1" s="1"/>
  <c r="M33" i="1"/>
  <c r="N33" i="1" s="1"/>
  <c r="O33" i="1" s="1"/>
  <c r="P33" i="1" s="1"/>
  <c r="M39" i="1"/>
  <c r="N39" i="1" s="1"/>
  <c r="O39" i="1" s="1"/>
  <c r="P39" i="1" s="1"/>
  <c r="M21" i="1"/>
  <c r="N21" i="1" s="1"/>
  <c r="O21" i="1" s="1"/>
  <c r="P21" i="1" s="1"/>
  <c r="P120" i="1"/>
  <c r="P156" i="1"/>
  <c r="I25" i="6"/>
  <c r="J25" i="6"/>
  <c r="K25" i="6"/>
  <c r="M25" i="6"/>
  <c r="AG61" i="10"/>
  <c r="AG14" i="10"/>
  <c r="AG88" i="10" s="1"/>
  <c r="AD69" i="10" l="1"/>
  <c r="AG94" i="10" s="1"/>
  <c r="AG62" i="10"/>
  <c r="AD67" i="10" l="1"/>
  <c r="AG92" i="10" s="1"/>
  <c r="AD68" i="10"/>
  <c r="AG93" i="10" s="1"/>
  <c r="D12" i="15" l="1"/>
  <c r="B2" i="15"/>
  <c r="D17" i="15"/>
  <c r="D16" i="15"/>
  <c r="P7" i="14"/>
  <c r="H7" i="14"/>
  <c r="I7" i="14"/>
  <c r="J7" i="14"/>
  <c r="K7" i="14"/>
  <c r="L7" i="14"/>
  <c r="M7" i="14"/>
  <c r="N7" i="14"/>
  <c r="O7" i="14"/>
  <c r="G7" i="14"/>
  <c r="C57" i="14"/>
  <c r="C54" i="14"/>
  <c r="C52" i="14"/>
  <c r="C49" i="14"/>
  <c r="C47" i="14"/>
  <c r="C3" i="14"/>
  <c r="E45" i="14"/>
  <c r="K44" i="14"/>
  <c r="E7" i="14"/>
  <c r="K6" i="14"/>
  <c r="G6" i="14"/>
  <c r="C4" i="14"/>
  <c r="P48" i="13"/>
  <c r="P33" i="13"/>
  <c r="AA101" i="13"/>
  <c r="X101" i="13"/>
  <c r="U101" i="13"/>
  <c r="B2" i="13"/>
  <c r="H28" i="12"/>
  <c r="H21" i="12"/>
  <c r="H15" i="12"/>
  <c r="H32" i="12" s="1"/>
  <c r="I9" i="12"/>
  <c r="B30" i="15"/>
  <c r="B24" i="15"/>
  <c r="B29" i="15"/>
  <c r="B26" i="15"/>
  <c r="B31" i="15"/>
  <c r="B25" i="15"/>
  <c r="B32" i="15"/>
  <c r="B35" i="15"/>
  <c r="B34" i="15"/>
  <c r="B28" i="15"/>
  <c r="B33" i="15"/>
  <c r="B27" i="15"/>
  <c r="G39" i="14" l="1"/>
  <c r="G37" i="14"/>
  <c r="G42" i="14"/>
  <c r="G41" i="14"/>
  <c r="G38" i="14"/>
  <c r="M21" i="14"/>
  <c r="M24" i="14"/>
  <c r="M25" i="14"/>
  <c r="M28" i="14"/>
  <c r="M30" i="14"/>
  <c r="M27" i="14"/>
  <c r="M22" i="14"/>
  <c r="N25" i="14"/>
  <c r="N21" i="14"/>
  <c r="N24" i="14"/>
  <c r="N22" i="14"/>
  <c r="N30" i="14"/>
  <c r="N28" i="14"/>
  <c r="N27" i="14"/>
  <c r="K16" i="14"/>
  <c r="K24" i="14"/>
  <c r="K22" i="14"/>
  <c r="K28" i="14"/>
  <c r="K21" i="14"/>
  <c r="K27" i="14"/>
  <c r="K25" i="14"/>
  <c r="K30" i="14"/>
  <c r="J10" i="14"/>
  <c r="J28" i="14"/>
  <c r="J30" i="14"/>
  <c r="J22" i="14"/>
  <c r="J24" i="14"/>
  <c r="J27" i="14"/>
  <c r="J25" i="14"/>
  <c r="J21" i="14"/>
  <c r="I22" i="14"/>
  <c r="I28" i="14"/>
  <c r="I27" i="14"/>
  <c r="I21" i="14"/>
  <c r="I25" i="14"/>
  <c r="I30" i="14"/>
  <c r="I24" i="14"/>
  <c r="H16" i="14"/>
  <c r="H22" i="14"/>
  <c r="H27" i="14"/>
  <c r="H25" i="14"/>
  <c r="H21" i="14"/>
  <c r="H30" i="14"/>
  <c r="H28" i="14"/>
  <c r="H24" i="14"/>
  <c r="L13" i="14"/>
  <c r="L24" i="14"/>
  <c r="L30" i="14"/>
  <c r="L22" i="14"/>
  <c r="L27" i="14"/>
  <c r="L28" i="14"/>
  <c r="L21" i="14"/>
  <c r="L25" i="14"/>
  <c r="P27" i="14"/>
  <c r="P24" i="14"/>
  <c r="P28" i="14"/>
  <c r="P30" i="14"/>
  <c r="P25" i="14"/>
  <c r="P21" i="14"/>
  <c r="P22" i="14"/>
  <c r="G11" i="14"/>
  <c r="G28" i="14"/>
  <c r="G27" i="14"/>
  <c r="G24" i="14"/>
  <c r="G21" i="14"/>
  <c r="G30" i="14"/>
  <c r="O25" i="14"/>
  <c r="O30" i="14"/>
  <c r="O21" i="14"/>
  <c r="O22" i="14"/>
  <c r="O24" i="14"/>
  <c r="O28" i="14"/>
  <c r="O27" i="14"/>
  <c r="G10" i="14"/>
  <c r="G14" i="14"/>
  <c r="G12" i="14"/>
  <c r="I12" i="14"/>
  <c r="H12" i="14"/>
  <c r="H10" i="14"/>
  <c r="L15" i="14"/>
  <c r="K14" i="14"/>
  <c r="L11" i="14"/>
  <c r="G13" i="14"/>
  <c r="L17" i="14"/>
  <c r="I10" i="14"/>
  <c r="J14" i="14"/>
  <c r="J16" i="14"/>
  <c r="G16" i="14"/>
  <c r="K12" i="14"/>
  <c r="I14" i="14"/>
  <c r="K10" i="14"/>
  <c r="J12" i="14"/>
  <c r="H14" i="14"/>
  <c r="I16" i="14"/>
  <c r="G15" i="14"/>
  <c r="G17" i="14"/>
  <c r="B2" i="12"/>
  <c r="I28" i="12"/>
  <c r="I21" i="12"/>
  <c r="I15" i="12"/>
  <c r="I11" i="12"/>
  <c r="B3" i="12"/>
  <c r="N15" i="11"/>
  <c r="O15" i="11"/>
  <c r="P15" i="11"/>
  <c r="H15" i="11"/>
  <c r="G15" i="11"/>
  <c r="I15" i="11" s="1"/>
  <c r="N14" i="11"/>
  <c r="O14" i="11"/>
  <c r="P14" i="11"/>
  <c r="H14" i="11"/>
  <c r="I14" i="11"/>
  <c r="N13" i="11"/>
  <c r="O13" i="11"/>
  <c r="P13" i="11"/>
  <c r="H13" i="11"/>
  <c r="I13" i="11"/>
  <c r="N12" i="11"/>
  <c r="O12" i="11"/>
  <c r="P12" i="11"/>
  <c r="H12" i="11"/>
  <c r="I12" i="11"/>
  <c r="I32" i="12" l="1"/>
  <c r="E22" i="11"/>
  <c r="E11" i="11"/>
  <c r="B6" i="11"/>
  <c r="G22" i="11"/>
  <c r="F22" i="11"/>
  <c r="G21" i="11"/>
  <c r="F21" i="11"/>
  <c r="G20" i="11"/>
  <c r="F20" i="11"/>
  <c r="G19" i="11"/>
  <c r="F19" i="11"/>
  <c r="E19" i="11"/>
  <c r="G18" i="11"/>
  <c r="F18" i="11"/>
  <c r="P11" i="11"/>
  <c r="P22" i="11" s="1"/>
  <c r="O11" i="11"/>
  <c r="O22" i="11" s="1"/>
  <c r="N11" i="11"/>
  <c r="N22" i="11" s="1"/>
  <c r="B4" i="11"/>
  <c r="D86" i="3"/>
  <c r="D87" i="3" s="1"/>
  <c r="D88" i="3" s="1"/>
  <c r="D89" i="3" s="1"/>
  <c r="D90" i="3" s="1"/>
  <c r="D91" i="3" s="1"/>
  <c r="D92" i="3" s="1"/>
  <c r="D93" i="3" s="1"/>
  <c r="D94" i="3" s="1"/>
  <c r="D95" i="3" s="1"/>
  <c r="L29" i="3"/>
  <c r="Q29" i="3" s="1"/>
  <c r="L30" i="3"/>
  <c r="Q30" i="3" s="1"/>
  <c r="L31" i="3"/>
  <c r="Q31" i="3" s="1"/>
  <c r="L32" i="3"/>
  <c r="Q32" i="3" s="1"/>
  <c r="L33" i="3"/>
  <c r="Q33" i="3" s="1"/>
  <c r="L34" i="3"/>
  <c r="Q34" i="3" s="1"/>
  <c r="L28" i="3"/>
  <c r="Q28" i="3" s="1"/>
  <c r="F84" i="3"/>
  <c r="G84" i="3" s="1"/>
  <c r="H84" i="3" s="1"/>
  <c r="I84" i="3" s="1"/>
  <c r="J84" i="3" s="1"/>
  <c r="K84" i="3" s="1"/>
  <c r="L84" i="3" s="1"/>
  <c r="M84" i="3" s="1"/>
  <c r="N84" i="3" s="1"/>
  <c r="O84" i="3" s="1"/>
  <c r="J73" i="3"/>
  <c r="I73" i="3"/>
  <c r="H73" i="3"/>
  <c r="G73" i="3"/>
  <c r="F73" i="3"/>
  <c r="Q38" i="3"/>
  <c r="L38" i="3"/>
  <c r="G59" i="3"/>
  <c r="H59" i="3"/>
  <c r="I59" i="3"/>
  <c r="J59" i="3"/>
  <c r="F59" i="3"/>
  <c r="G69" i="3"/>
  <c r="H69" i="3"/>
  <c r="I69" i="3"/>
  <c r="J69" i="3"/>
  <c r="G71" i="3"/>
  <c r="H71" i="3"/>
  <c r="I71" i="3"/>
  <c r="J71" i="3"/>
  <c r="G75" i="3"/>
  <c r="H75" i="3"/>
  <c r="I75" i="3"/>
  <c r="J75" i="3"/>
  <c r="F75" i="3"/>
  <c r="F71" i="3"/>
  <c r="F69" i="3"/>
  <c r="C15" i="4" a="1"/>
  <c r="C15" i="4" s="1"/>
  <c r="F28" i="5"/>
  <c r="M28" i="5"/>
  <c r="F29" i="5"/>
  <c r="M29" i="5"/>
  <c r="F30" i="5"/>
  <c r="M30" i="5"/>
  <c r="F31" i="5"/>
  <c r="M31" i="5"/>
  <c r="D29" i="5"/>
  <c r="D30" i="5"/>
  <c r="D31" i="5"/>
  <c r="D32" i="5"/>
  <c r="D28" i="5"/>
  <c r="B29" i="5"/>
  <c r="B30" i="5"/>
  <c r="B31" i="5"/>
  <c r="B32" i="5"/>
  <c r="B28" i="5"/>
  <c r="D10" i="5"/>
  <c r="E10" i="5"/>
  <c r="F10" i="5"/>
  <c r="G10" i="5"/>
  <c r="H10" i="5"/>
  <c r="I10" i="5"/>
  <c r="J10" i="5"/>
  <c r="K10" i="5"/>
  <c r="L10" i="5"/>
  <c r="M10" i="5"/>
  <c r="N10" i="5"/>
  <c r="Q10" i="5"/>
  <c r="T10" i="5"/>
  <c r="D11" i="5"/>
  <c r="E11" i="5"/>
  <c r="F11" i="5"/>
  <c r="G11" i="5"/>
  <c r="H11" i="5"/>
  <c r="I11" i="5"/>
  <c r="J11" i="5"/>
  <c r="K11" i="5"/>
  <c r="L11" i="5"/>
  <c r="M11" i="5"/>
  <c r="N11" i="5"/>
  <c r="Q11" i="5"/>
  <c r="T11" i="5"/>
  <c r="D12" i="5"/>
  <c r="E12" i="5"/>
  <c r="F12" i="5"/>
  <c r="G12" i="5"/>
  <c r="H12" i="5"/>
  <c r="I12" i="5"/>
  <c r="J12" i="5"/>
  <c r="K12" i="5"/>
  <c r="L12" i="5"/>
  <c r="M12" i="5"/>
  <c r="N12" i="5"/>
  <c r="Q12" i="5"/>
  <c r="T12" i="5"/>
  <c r="D13" i="5"/>
  <c r="G13" i="5"/>
  <c r="H13" i="5"/>
  <c r="I13" i="5"/>
  <c r="J13" i="5"/>
  <c r="K13" i="5"/>
  <c r="L13" i="5"/>
  <c r="N13" i="5"/>
  <c r="Q13" i="5"/>
  <c r="T13" i="5"/>
  <c r="B10" i="5"/>
  <c r="B11" i="5"/>
  <c r="B12" i="5"/>
  <c r="B13" i="5"/>
  <c r="Q9" i="5"/>
  <c r="T9" i="5"/>
  <c r="G9" i="5"/>
  <c r="H9" i="5"/>
  <c r="I9" i="5"/>
  <c r="J9" i="5"/>
  <c r="K9" i="5"/>
  <c r="L9" i="5"/>
  <c r="M9" i="5"/>
  <c r="N9" i="5"/>
  <c r="E9" i="5"/>
  <c r="F9" i="5"/>
  <c r="D9" i="5"/>
  <c r="B9" i="5"/>
  <c r="AA33" i="10"/>
  <c r="Z33" i="10"/>
  <c r="AB79" i="10" s="1"/>
  <c r="Y33" i="10"/>
  <c r="AB75" i="10" s="1"/>
  <c r="Z32" i="10"/>
  <c r="AB78" i="10" s="1"/>
  <c r="AA32" i="10"/>
  <c r="AB82" i="10" s="1"/>
  <c r="Y32" i="10"/>
  <c r="AB74" i="10" s="1"/>
  <c r="AA31" i="10"/>
  <c r="AB81" i="10" s="1"/>
  <c r="Z31" i="10"/>
  <c r="AB77" i="10" s="1"/>
  <c r="Y31" i="10"/>
  <c r="AB73" i="10" s="1"/>
  <c r="T31" i="10"/>
  <c r="U31" i="10"/>
  <c r="V31" i="10" s="1"/>
  <c r="T32" i="10"/>
  <c r="U32" i="10"/>
  <c r="T33" i="10"/>
  <c r="U33" i="10"/>
  <c r="V33" i="10" s="1"/>
  <c r="W83" i="10" s="1"/>
  <c r="AB16" i="10"/>
  <c r="AA12" i="10"/>
  <c r="AB12" i="10" s="1"/>
  <c r="J69" i="10"/>
  <c r="O67" i="10"/>
  <c r="Q68" i="10"/>
  <c r="R68" i="10"/>
  <c r="P68" i="10"/>
  <c r="O68" i="10"/>
  <c r="R67" i="10"/>
  <c r="Q67" i="10"/>
  <c r="P67" i="10"/>
  <c r="F67" i="10"/>
  <c r="G67" i="10"/>
  <c r="H67" i="10"/>
  <c r="E67" i="10"/>
  <c r="G68" i="10"/>
  <c r="H68" i="10"/>
  <c r="F68" i="10"/>
  <c r="E68" i="10"/>
  <c r="P69" i="10"/>
  <c r="Q33" i="10"/>
  <c r="R83" i="10" s="1"/>
  <c r="P33" i="10"/>
  <c r="Q69" i="10" s="1"/>
  <c r="O33" i="10"/>
  <c r="P32" i="10"/>
  <c r="Q32" i="10"/>
  <c r="R82" i="10" s="1"/>
  <c r="O32" i="10"/>
  <c r="Q31" i="10"/>
  <c r="R81" i="10" s="1"/>
  <c r="P31" i="10"/>
  <c r="R77" i="10" s="1"/>
  <c r="O31" i="10"/>
  <c r="W78" i="10"/>
  <c r="W74" i="10"/>
  <c r="W16" i="10"/>
  <c r="T12" i="10"/>
  <c r="U12" i="10"/>
  <c r="V12" i="10"/>
  <c r="W13" i="10"/>
  <c r="W11" i="10"/>
  <c r="W9" i="10"/>
  <c r="W8" i="10"/>
  <c r="V8" i="10"/>
  <c r="R16" i="10"/>
  <c r="R73" i="10"/>
  <c r="Q12" i="10"/>
  <c r="R12" i="10" s="1"/>
  <c r="M6" i="10"/>
  <c r="K69" i="10"/>
  <c r="L69" i="10"/>
  <c r="F69" i="10"/>
  <c r="H98" i="10" s="1"/>
  <c r="G69" i="10"/>
  <c r="M69" i="10"/>
  <c r="H69" i="10"/>
  <c r="E69" i="10"/>
  <c r="K33" i="10"/>
  <c r="L33" i="10"/>
  <c r="J33" i="10"/>
  <c r="M79" i="10"/>
  <c r="J32" i="10"/>
  <c r="M74" i="10" s="1"/>
  <c r="M77" i="10"/>
  <c r="M16" i="10"/>
  <c r="M13" i="10"/>
  <c r="M11" i="10"/>
  <c r="M14" i="10" s="1"/>
  <c r="M88" i="10" s="1"/>
  <c r="M9" i="10"/>
  <c r="M8" i="10"/>
  <c r="E32" i="10"/>
  <c r="H74" i="10" s="1"/>
  <c r="E31" i="10"/>
  <c r="F31" i="10" s="1"/>
  <c r="F32" i="10" s="1"/>
  <c r="H78" i="10" s="1"/>
  <c r="F33" i="10"/>
  <c r="E33" i="10"/>
  <c r="G55" i="10"/>
  <c r="H55" i="10" s="1"/>
  <c r="O11" i="1"/>
  <c r="O6" i="1"/>
  <c r="O12" i="1" s="1"/>
  <c r="AD30" i="10" s="1"/>
  <c r="AE66" i="10" s="1"/>
  <c r="H16" i="10"/>
  <c r="H8" i="10"/>
  <c r="L65" i="1"/>
  <c r="M65" i="1" s="1"/>
  <c r="N65" i="1" s="1"/>
  <c r="O65" i="1" s="1"/>
  <c r="P65" i="1" s="1"/>
  <c r="M83" i="10"/>
  <c r="R79" i="10"/>
  <c r="R78" i="10"/>
  <c r="H75" i="10"/>
  <c r="R74" i="10"/>
  <c r="W73" i="10"/>
  <c r="M73" i="10"/>
  <c r="J66" i="10"/>
  <c r="E66" i="10"/>
  <c r="C94" i="10" s="1"/>
  <c r="AB55" i="10"/>
  <c r="W55" i="10"/>
  <c r="R55" i="10"/>
  <c r="M55" i="10"/>
  <c r="AB52" i="10"/>
  <c r="W52" i="10"/>
  <c r="R52" i="10"/>
  <c r="M52" i="10"/>
  <c r="H52" i="10"/>
  <c r="AB51" i="10"/>
  <c r="W51" i="10"/>
  <c r="R51" i="10"/>
  <c r="M51" i="10"/>
  <c r="H51" i="10"/>
  <c r="AB48" i="10"/>
  <c r="W48" i="10"/>
  <c r="R48" i="10"/>
  <c r="M48" i="10"/>
  <c r="H48" i="10"/>
  <c r="AB47" i="10"/>
  <c r="W47" i="10"/>
  <c r="R47" i="10"/>
  <c r="M47" i="10"/>
  <c r="H47" i="10"/>
  <c r="AB46" i="10"/>
  <c r="W46" i="10"/>
  <c r="R46" i="10"/>
  <c r="M46" i="10"/>
  <c r="H46" i="10"/>
  <c r="AB45" i="10"/>
  <c r="W45" i="10"/>
  <c r="R45" i="10"/>
  <c r="M45" i="10"/>
  <c r="H45" i="10"/>
  <c r="AB44" i="10"/>
  <c r="W44" i="10"/>
  <c r="R44" i="10"/>
  <c r="M44" i="10"/>
  <c r="H44" i="10"/>
  <c r="AB43" i="10"/>
  <c r="W43" i="10"/>
  <c r="R43" i="10"/>
  <c r="M43" i="10"/>
  <c r="H43" i="10"/>
  <c r="AB42" i="10"/>
  <c r="W42" i="10"/>
  <c r="R42" i="10"/>
  <c r="M42" i="10"/>
  <c r="H42" i="10"/>
  <c r="AB41" i="10"/>
  <c r="W41" i="10"/>
  <c r="R41" i="10"/>
  <c r="M41" i="10"/>
  <c r="H41" i="10"/>
  <c r="AB40" i="10"/>
  <c r="W40" i="10"/>
  <c r="R40" i="10"/>
  <c r="M40" i="10"/>
  <c r="H40" i="10"/>
  <c r="H73" i="10"/>
  <c r="W23" i="10"/>
  <c r="AB13" i="10"/>
  <c r="R13" i="10"/>
  <c r="H13" i="10"/>
  <c r="H12" i="10"/>
  <c r="AB11" i="10"/>
  <c r="R11" i="10"/>
  <c r="H11" i="10"/>
  <c r="AB9" i="10"/>
  <c r="R9" i="10"/>
  <c r="H9" i="10"/>
  <c r="AB8" i="10"/>
  <c r="R8" i="10"/>
  <c r="Y66" i="10"/>
  <c r="T66" i="10"/>
  <c r="O66" i="10"/>
  <c r="W6" i="10"/>
  <c r="R6" i="10"/>
  <c r="H6" i="10"/>
  <c r="J45" i="14" l="1"/>
  <c r="B39" i="7"/>
  <c r="B24" i="6"/>
  <c r="B23" i="6"/>
  <c r="B38" i="7"/>
  <c r="C89" i="10"/>
  <c r="Q65" i="13"/>
  <c r="Q66" i="13"/>
  <c r="E18" i="11"/>
  <c r="E21" i="11"/>
  <c r="H11" i="11"/>
  <c r="H20" i="11" s="1"/>
  <c r="I11" i="11"/>
  <c r="I20" i="11" s="1"/>
  <c r="E20" i="11"/>
  <c r="E30" i="10"/>
  <c r="F66" i="10" s="1"/>
  <c r="O19" i="11"/>
  <c r="N18" i="11"/>
  <c r="N21" i="11"/>
  <c r="O18" i="11"/>
  <c r="O21" i="11"/>
  <c r="P18" i="11"/>
  <c r="P21" i="11"/>
  <c r="N20" i="11"/>
  <c r="O20" i="11"/>
  <c r="P20" i="11"/>
  <c r="N19" i="11"/>
  <c r="P19" i="11"/>
  <c r="AB83" i="10"/>
  <c r="AB89" i="10"/>
  <c r="AB85" i="10"/>
  <c r="V32" i="10"/>
  <c r="W82" i="10" s="1"/>
  <c r="W81" i="10"/>
  <c r="W77" i="10"/>
  <c r="W90" i="10" s="1"/>
  <c r="W79" i="10"/>
  <c r="AB14" i="10"/>
  <c r="M94" i="10"/>
  <c r="R69" i="10"/>
  <c r="R75" i="10"/>
  <c r="W75" i="10"/>
  <c r="W89" i="10"/>
  <c r="W12" i="10"/>
  <c r="W14" i="10" s="1"/>
  <c r="W88" i="10" s="1"/>
  <c r="R57" i="10"/>
  <c r="R89" i="10"/>
  <c r="H102" i="10"/>
  <c r="H94" i="10"/>
  <c r="M57" i="10"/>
  <c r="M61" i="10" s="1"/>
  <c r="M62" i="10" s="1"/>
  <c r="M102" i="10"/>
  <c r="H79" i="10"/>
  <c r="R85" i="10"/>
  <c r="G33" i="10"/>
  <c r="K32" i="10"/>
  <c r="M78" i="10" s="1"/>
  <c r="M90" i="10" s="1"/>
  <c r="L31" i="10"/>
  <c r="M75" i="10"/>
  <c r="M98" i="10"/>
  <c r="M89" i="10"/>
  <c r="H77" i="10"/>
  <c r="H85" i="10" s="1"/>
  <c r="G31" i="10"/>
  <c r="R14" i="10"/>
  <c r="H89" i="10"/>
  <c r="C96" i="10"/>
  <c r="W91" i="13" s="1"/>
  <c r="Y30" i="10"/>
  <c r="Z66" i="10" s="1"/>
  <c r="C97" i="10"/>
  <c r="Z91" i="13" s="1"/>
  <c r="C75" i="10"/>
  <c r="T30" i="10"/>
  <c r="U66" i="10" s="1"/>
  <c r="C74" i="10"/>
  <c r="T91" i="13" s="1"/>
  <c r="O13" i="1"/>
  <c r="C73" i="10"/>
  <c r="J30" i="10"/>
  <c r="K66" i="10" s="1"/>
  <c r="C98" i="10"/>
  <c r="O30" i="10"/>
  <c r="P66" i="10" s="1"/>
  <c r="H57" i="10"/>
  <c r="H61" i="10" s="1"/>
  <c r="AB86" i="10"/>
  <c r="AB57" i="10"/>
  <c r="W86" i="10"/>
  <c r="W57" i="10"/>
  <c r="W61" i="10" s="1"/>
  <c r="R86" i="10"/>
  <c r="M85" i="10"/>
  <c r="H14" i="10"/>
  <c r="H88" i="10" s="1"/>
  <c r="H86" i="10"/>
  <c r="M86" i="10"/>
  <c r="C93" i="10"/>
  <c r="R90" i="10"/>
  <c r="AB90" i="10"/>
  <c r="C92" i="10"/>
  <c r="T92" i="13" l="1"/>
  <c r="T93" i="13"/>
  <c r="T94" i="13"/>
  <c r="T95" i="13"/>
  <c r="T96" i="13"/>
  <c r="Q91" i="13"/>
  <c r="P66" i="13"/>
  <c r="AE30" i="10"/>
  <c r="AF66" i="10" s="1"/>
  <c r="P81" i="13"/>
  <c r="P80" i="13"/>
  <c r="P65" i="13"/>
  <c r="P30" i="10"/>
  <c r="Q66" i="10" s="1"/>
  <c r="R65" i="13"/>
  <c r="P84" i="13"/>
  <c r="P83" i="13"/>
  <c r="R66" i="13"/>
  <c r="AB61" i="10"/>
  <c r="E13" i="5"/>
  <c r="H19" i="11"/>
  <c r="H18" i="11"/>
  <c r="H22" i="11"/>
  <c r="I19" i="11"/>
  <c r="I18" i="11"/>
  <c r="I22" i="11"/>
  <c r="I21" i="11"/>
  <c r="H21" i="11"/>
  <c r="R9" i="5"/>
  <c r="U10" i="5"/>
  <c r="U11" i="5"/>
  <c r="U12" i="5"/>
  <c r="U9" i="5"/>
  <c r="O10" i="5"/>
  <c r="O11" i="5"/>
  <c r="O12" i="5"/>
  <c r="O13" i="5"/>
  <c r="R12" i="5"/>
  <c r="O9" i="5"/>
  <c r="R13" i="5"/>
  <c r="R10" i="5"/>
  <c r="R11" i="5"/>
  <c r="U13" i="5"/>
  <c r="AB62" i="10"/>
  <c r="W85" i="10"/>
  <c r="J68" i="10"/>
  <c r="M93" i="10" s="1"/>
  <c r="K67" i="10"/>
  <c r="M96" i="10" s="1"/>
  <c r="L67" i="10"/>
  <c r="M100" i="10" s="1"/>
  <c r="M67" i="10"/>
  <c r="K68" i="10"/>
  <c r="M97" i="10" s="1"/>
  <c r="L68" i="10"/>
  <c r="M101" i="10" s="1"/>
  <c r="M68" i="10"/>
  <c r="AB88" i="10"/>
  <c r="W62" i="10"/>
  <c r="T69" i="10"/>
  <c r="W94" i="10" s="1"/>
  <c r="W69" i="10"/>
  <c r="V69" i="10"/>
  <c r="W102" i="10" s="1"/>
  <c r="U69" i="10"/>
  <c r="W98" i="10" s="1"/>
  <c r="R61" i="10"/>
  <c r="R93" i="10" s="1"/>
  <c r="R88" i="10"/>
  <c r="M92" i="10"/>
  <c r="H83" i="10"/>
  <c r="H81" i="10"/>
  <c r="G32" i="10"/>
  <c r="H82" i="10" s="1"/>
  <c r="M81" i="10"/>
  <c r="L32" i="10"/>
  <c r="H90" i="10"/>
  <c r="H92" i="10"/>
  <c r="K30" i="10"/>
  <c r="L66" i="10" s="1"/>
  <c r="C78" i="10"/>
  <c r="U91" i="13" s="1"/>
  <c r="U30" i="10"/>
  <c r="V66" i="10" s="1"/>
  <c r="Z30" i="10"/>
  <c r="AA66" i="10" s="1"/>
  <c r="C100" i="10"/>
  <c r="X91" i="13" s="1"/>
  <c r="C102" i="10"/>
  <c r="W101" i="13" s="1"/>
  <c r="C77" i="10"/>
  <c r="R91" i="13" s="1"/>
  <c r="C101" i="10"/>
  <c r="F30" i="10"/>
  <c r="G66" i="10" s="1"/>
  <c r="C90" i="10"/>
  <c r="C79" i="10"/>
  <c r="O14" i="1"/>
  <c r="AF30" i="10" s="1"/>
  <c r="AG66" i="10" s="1"/>
  <c r="H101" i="10"/>
  <c r="H100" i="10"/>
  <c r="H96" i="10"/>
  <c r="H97" i="10"/>
  <c r="H62" i="10"/>
  <c r="H93" i="10"/>
  <c r="Q93" i="13" l="1"/>
  <c r="Q94" i="13"/>
  <c r="Q95" i="13"/>
  <c r="Q92" i="13"/>
  <c r="Q96" i="13"/>
  <c r="U92" i="13"/>
  <c r="U93" i="13"/>
  <c r="U96" i="13"/>
  <c r="U95" i="13"/>
  <c r="U94" i="13"/>
  <c r="Z101" i="13"/>
  <c r="AA91" i="13"/>
  <c r="R94" i="13"/>
  <c r="R95" i="13"/>
  <c r="R93" i="13"/>
  <c r="R96" i="13"/>
  <c r="R92" i="13"/>
  <c r="AB69" i="10"/>
  <c r="F32" i="5"/>
  <c r="Z69" i="10"/>
  <c r="AB98" i="10" s="1"/>
  <c r="Y69" i="10"/>
  <c r="AB94" i="10" s="1"/>
  <c r="F13" i="5"/>
  <c r="AA69" i="10"/>
  <c r="AB102" i="10" s="1"/>
  <c r="AA67" i="10"/>
  <c r="AB100" i="10" s="1"/>
  <c r="Z67" i="10"/>
  <c r="AB96" i="10" s="1"/>
  <c r="Y67" i="10"/>
  <c r="AB92" i="10" s="1"/>
  <c r="AB67" i="10"/>
  <c r="M13" i="5"/>
  <c r="M32" i="5"/>
  <c r="AA68" i="10"/>
  <c r="AB101" i="10" s="1"/>
  <c r="AB68" i="10"/>
  <c r="Z68" i="10"/>
  <c r="AB97" i="10" s="1"/>
  <c r="Y68" i="10"/>
  <c r="AB93" i="10" s="1"/>
  <c r="P11" i="5"/>
  <c r="S13" i="5"/>
  <c r="P12" i="5"/>
  <c r="V9" i="5"/>
  <c r="V13" i="5"/>
  <c r="V12" i="5"/>
  <c r="V11" i="5"/>
  <c r="P9" i="5"/>
  <c r="P10" i="5"/>
  <c r="S11" i="5"/>
  <c r="AA30" i="10"/>
  <c r="AB66" i="10" s="1"/>
  <c r="C82" i="10"/>
  <c r="Q30" i="10"/>
  <c r="R66" i="10" s="1"/>
  <c r="L30" i="10"/>
  <c r="M66" i="10" s="1"/>
  <c r="G30" i="10"/>
  <c r="H66" i="10" s="1"/>
  <c r="V30" i="10"/>
  <c r="W66" i="10" s="1"/>
  <c r="C83" i="10"/>
  <c r="C81" i="10"/>
  <c r="V10" i="5"/>
  <c r="S9" i="5"/>
  <c r="P13" i="5"/>
  <c r="S12" i="5"/>
  <c r="S10" i="5"/>
  <c r="V68" i="10"/>
  <c r="W101" i="10" s="1"/>
  <c r="T68" i="10"/>
  <c r="W93" i="10" s="1"/>
  <c r="U68" i="10"/>
  <c r="W97" i="10" s="1"/>
  <c r="U67" i="10"/>
  <c r="W96" i="10" s="1"/>
  <c r="W68" i="10"/>
  <c r="V67" i="10"/>
  <c r="W100" i="10" s="1"/>
  <c r="W67" i="10"/>
  <c r="T67" i="10"/>
  <c r="W92" i="10" s="1"/>
  <c r="R102" i="10"/>
  <c r="R92" i="10"/>
  <c r="R98" i="10"/>
  <c r="R101" i="10"/>
  <c r="R96" i="10"/>
  <c r="O69" i="10"/>
  <c r="R94" i="10" s="1"/>
  <c r="R97" i="10"/>
  <c r="R100" i="10"/>
  <c r="R62" i="10"/>
  <c r="M82" i="10"/>
  <c r="W106" i="13" l="1"/>
  <c r="AA92" i="13"/>
  <c r="AA93" i="13"/>
  <c r="AA95" i="13"/>
  <c r="AA94" i="13"/>
  <c r="AA96" i="13"/>
  <c r="Z92" i="13"/>
  <c r="W104" i="13"/>
  <c r="Z103" i="13"/>
  <c r="Z104" i="13"/>
  <c r="Z105" i="13"/>
  <c r="Z102" i="13"/>
  <c r="Z106" i="13"/>
  <c r="T105" i="13"/>
  <c r="W103" i="13"/>
  <c r="Q104" i="13"/>
  <c r="T106" i="13"/>
  <c r="Z93" i="13"/>
  <c r="Q103" i="13"/>
  <c r="Z96" i="13"/>
  <c r="T102" i="13"/>
  <c r="W96" i="13"/>
  <c r="Q105" i="13"/>
  <c r="W94" i="13"/>
  <c r="Q106" i="13"/>
  <c r="X95" i="13"/>
  <c r="Z95" i="13"/>
  <c r="X92" i="13"/>
  <c r="W92" i="13"/>
  <c r="T103" i="13"/>
  <c r="W95" i="13"/>
  <c r="W93" i="13"/>
  <c r="W102" i="13"/>
  <c r="Q102" i="13"/>
  <c r="X93" i="13"/>
  <c r="Z94" i="13"/>
  <c r="X94" i="13"/>
  <c r="W105" i="13"/>
  <c r="T104" i="13"/>
  <c r="X96" i="13"/>
  <c r="O29" i="5"/>
  <c r="Z13" i="5"/>
  <c r="O32" i="5"/>
  <c r="T31" i="5"/>
  <c r="Y11" i="5"/>
  <c r="AA10" i="5"/>
  <c r="W9" i="5"/>
  <c r="W10" i="5"/>
  <c r="S32" i="5"/>
  <c r="Z12" i="5"/>
  <c r="S31" i="5"/>
  <c r="T30" i="5"/>
  <c r="Q29" i="5"/>
  <c r="X12" i="5"/>
  <c r="R30" i="5"/>
  <c r="R32" i="5"/>
  <c r="P29" i="5"/>
  <c r="AA12" i="5"/>
  <c r="Q31" i="5"/>
  <c r="X9" i="5"/>
  <c r="T28" i="5"/>
  <c r="Y9" i="5"/>
  <c r="V29" i="5"/>
  <c r="X11" i="5"/>
  <c r="N31" i="5"/>
  <c r="O31" i="5"/>
  <c r="Y13" i="5"/>
  <c r="P31" i="5"/>
  <c r="N29" i="5"/>
  <c r="Y10" i="5"/>
  <c r="AA9" i="5"/>
  <c r="V28" i="5"/>
  <c r="Y12" i="5"/>
  <c r="P30" i="5"/>
  <c r="N30" i="5"/>
  <c r="T32" i="5"/>
  <c r="U31" i="5"/>
  <c r="W12" i="5"/>
  <c r="P32" i="5"/>
  <c r="U29" i="5"/>
  <c r="T29" i="5"/>
  <c r="S28" i="5"/>
  <c r="R29" i="5"/>
  <c r="Q30" i="5"/>
  <c r="P28" i="5"/>
  <c r="Q32" i="5"/>
  <c r="N32" i="5"/>
  <c r="V30" i="5"/>
  <c r="W11" i="5"/>
  <c r="V32" i="5"/>
  <c r="X10" i="5"/>
  <c r="Q28" i="5"/>
  <c r="AA11" i="5"/>
  <c r="S29" i="5"/>
  <c r="O30" i="5"/>
  <c r="X13" i="5"/>
  <c r="Z10" i="5"/>
  <c r="U28" i="5"/>
  <c r="U30" i="5"/>
  <c r="S30" i="5"/>
  <c r="V31" i="5"/>
  <c r="AA13" i="5"/>
  <c r="O28" i="5"/>
  <c r="R28" i="5"/>
  <c r="Z11" i="5"/>
  <c r="U32" i="5"/>
  <c r="Z9" i="5"/>
  <c r="R31" i="5"/>
  <c r="W13" i="5"/>
  <c r="N28" i="5"/>
  <c r="F28" i="9"/>
  <c r="G28" i="9"/>
  <c r="H28" i="9"/>
  <c r="I28" i="9"/>
  <c r="E28" i="9"/>
  <c r="K188" i="1"/>
  <c r="J180" i="1"/>
  <c r="L167" i="1"/>
  <c r="M167" i="1"/>
  <c r="N167" i="1"/>
  <c r="O167" i="1"/>
  <c r="K167" i="1"/>
  <c r="J174" i="1"/>
  <c r="K180" i="1"/>
  <c r="L180" i="1"/>
  <c r="M180" i="1"/>
  <c r="N180" i="1"/>
  <c r="O180" i="1"/>
  <c r="G40" i="9"/>
  <c r="H40" i="9"/>
  <c r="I40" i="9"/>
  <c r="F40" i="9"/>
  <c r="F10" i="9"/>
  <c r="G10" i="9"/>
  <c r="H10" i="9"/>
  <c r="I10" i="9"/>
  <c r="E10" i="9"/>
  <c r="J126" i="1"/>
  <c r="I126" i="1"/>
  <c r="H126" i="1"/>
  <c r="G126" i="1"/>
  <c r="F126" i="1"/>
  <c r="L24" i="1" l="1"/>
  <c r="K173" i="1"/>
  <c r="M24" i="1" l="1"/>
  <c r="M15" i="14"/>
  <c r="M13" i="14"/>
  <c r="M17" i="14"/>
  <c r="M11" i="14"/>
  <c r="G179" i="1"/>
  <c r="H179" i="1"/>
  <c r="I179" i="1"/>
  <c r="J179" i="1"/>
  <c r="K179" i="1"/>
  <c r="L179" i="1"/>
  <c r="M179" i="1"/>
  <c r="N179" i="1"/>
  <c r="O179" i="1"/>
  <c r="F179" i="1"/>
  <c r="G180" i="1"/>
  <c r="H180" i="1"/>
  <c r="I180" i="1"/>
  <c r="F24" i="9"/>
  <c r="G24" i="9"/>
  <c r="H24" i="9"/>
  <c r="I24" i="9"/>
  <c r="E24" i="9"/>
  <c r="F53" i="9"/>
  <c r="F60" i="9" s="1"/>
  <c r="G53" i="9"/>
  <c r="G60" i="9" s="1"/>
  <c r="H53" i="9"/>
  <c r="H60" i="9" s="1"/>
  <c r="I53" i="9"/>
  <c r="I60" i="9" s="1"/>
  <c r="E53" i="9"/>
  <c r="E60" i="9" s="1"/>
  <c r="K51" i="9"/>
  <c r="E41" i="9"/>
  <c r="F41" i="9"/>
  <c r="G41" i="9"/>
  <c r="H41" i="9"/>
  <c r="I41" i="9"/>
  <c r="E12" i="9"/>
  <c r="D5" i="9"/>
  <c r="F35" i="9"/>
  <c r="G35" i="9" s="1"/>
  <c r="H35" i="9" s="1"/>
  <c r="I35" i="9" s="1"/>
  <c r="J35" i="9" s="1"/>
  <c r="K35" i="9" s="1"/>
  <c r="L35" i="9" s="1"/>
  <c r="M35" i="9" s="1"/>
  <c r="N35" i="9" s="1"/>
  <c r="O35" i="9" s="1"/>
  <c r="E42" i="9"/>
  <c r="F3" i="9"/>
  <c r="G3" i="9" s="1"/>
  <c r="H3" i="9" s="1"/>
  <c r="I3" i="9" s="1"/>
  <c r="J3" i="9" s="1"/>
  <c r="K3" i="9" s="1"/>
  <c r="L3" i="9" s="1"/>
  <c r="M3" i="9" s="1"/>
  <c r="N3" i="9" s="1"/>
  <c r="O3" i="9" s="1"/>
  <c r="D6" i="9"/>
  <c r="F48" i="9"/>
  <c r="G48" i="9"/>
  <c r="H48" i="9"/>
  <c r="I48" i="9"/>
  <c r="E48" i="9"/>
  <c r="L51" i="9" l="1"/>
  <c r="M51" i="9" s="1"/>
  <c r="N51" i="9" s="1"/>
  <c r="O51" i="9" s="1"/>
  <c r="N24" i="1"/>
  <c r="N15" i="14"/>
  <c r="N17" i="14"/>
  <c r="N11" i="14"/>
  <c r="N13" i="14"/>
  <c r="I42" i="9"/>
  <c r="H42" i="9"/>
  <c r="G42" i="9"/>
  <c r="F42" i="9"/>
  <c r="J53" i="9"/>
  <c r="F46" i="9"/>
  <c r="G46" i="9"/>
  <c r="K50" i="9"/>
  <c r="K53" i="9" s="1"/>
  <c r="I46" i="9"/>
  <c r="H46" i="9"/>
  <c r="H50" i="9"/>
  <c r="G50" i="9"/>
  <c r="E50" i="9"/>
  <c r="I50" i="9"/>
  <c r="F50" i="9"/>
  <c r="J40" i="9"/>
  <c r="J39" i="9" s="1"/>
  <c r="J41" i="9"/>
  <c r="O24" i="1" l="1"/>
  <c r="P24" i="1" s="1"/>
  <c r="L50" i="9"/>
  <c r="L53" i="9" s="1"/>
  <c r="M50" i="9"/>
  <c r="M53" i="9" s="1"/>
  <c r="K39" i="9"/>
  <c r="N50" i="9" l="1"/>
  <c r="L39" i="9"/>
  <c r="N53" i="9" l="1"/>
  <c r="O50" i="9"/>
  <c r="O53" i="9" s="1"/>
  <c r="M39" i="9"/>
  <c r="N39" i="9" l="1"/>
  <c r="O39" i="9" s="1"/>
  <c r="F52" i="7" l="1"/>
  <c r="G52" i="7"/>
  <c r="H52" i="7"/>
  <c r="I52" i="7"/>
  <c r="E52" i="7"/>
  <c r="J30" i="6"/>
  <c r="L30" i="6"/>
  <c r="M30" i="6"/>
  <c r="K30" i="6"/>
  <c r="I30" i="6"/>
  <c r="B40" i="6"/>
  <c r="B34" i="6"/>
  <c r="B35" i="6"/>
  <c r="B36" i="6"/>
  <c r="B37" i="6"/>
  <c r="B38" i="6"/>
  <c r="B39" i="6"/>
  <c r="B33" i="6"/>
  <c r="I5" i="6"/>
  <c r="C5" i="6"/>
  <c r="B5" i="6"/>
  <c r="B2" i="6"/>
  <c r="B20" i="6"/>
  <c r="B19" i="6"/>
  <c r="B17" i="6"/>
  <c r="B16" i="6"/>
  <c r="B14" i="6"/>
  <c r="B13" i="6"/>
  <c r="B3" i="6"/>
  <c r="E36" i="7" l="1"/>
  <c r="K36" i="7" s="1"/>
  <c r="G36" i="7"/>
  <c r="I36" i="7"/>
  <c r="H36" i="7"/>
  <c r="F36" i="7"/>
  <c r="G149" i="1"/>
  <c r="H149" i="1"/>
  <c r="I149" i="1"/>
  <c r="J149" i="1"/>
  <c r="P8" i="5"/>
  <c r="D101" i="3"/>
  <c r="D102" i="3" s="1"/>
  <c r="D103" i="3" s="1"/>
  <c r="D104" i="3" s="1"/>
  <c r="D105" i="3" s="1"/>
  <c r="D106" i="3" s="1"/>
  <c r="D107" i="3" s="1"/>
  <c r="D108" i="3" s="1"/>
  <c r="D109" i="3" s="1"/>
  <c r="D110" i="3" s="1"/>
  <c r="F99" i="3"/>
  <c r="G99" i="3" s="1"/>
  <c r="H99" i="3" s="1"/>
  <c r="I99" i="3" s="1"/>
  <c r="J99" i="3" s="1"/>
  <c r="K99" i="3" s="1"/>
  <c r="L99" i="3" s="1"/>
  <c r="M99" i="3" s="1"/>
  <c r="N99" i="3" s="1"/>
  <c r="O99" i="3" s="1"/>
  <c r="L36" i="7" l="1"/>
  <c r="N36" i="7"/>
  <c r="O36" i="7"/>
  <c r="M36" i="7"/>
  <c r="E37" i="6"/>
  <c r="E35" i="6"/>
  <c r="E33" i="6"/>
  <c r="E42" i="6"/>
  <c r="E39" i="6"/>
  <c r="E38" i="6"/>
  <c r="E36" i="6"/>
  <c r="E34" i="6"/>
  <c r="B26" i="4" l="1"/>
  <c r="D20" i="5"/>
  <c r="B24" i="4"/>
  <c r="R8" i="5"/>
  <c r="AA8" i="5"/>
  <c r="C41" i="5"/>
  <c r="V27" i="5"/>
  <c r="U27" i="5"/>
  <c r="T27" i="5"/>
  <c r="R27" i="5"/>
  <c r="Q27" i="5"/>
  <c r="O27" i="5"/>
  <c r="N27" i="5"/>
  <c r="C22" i="5"/>
  <c r="T20" i="5"/>
  <c r="P20" i="5"/>
  <c r="N20" i="5"/>
  <c r="V19" i="5"/>
  <c r="U19" i="5"/>
  <c r="T19" i="5"/>
  <c r="N19" i="5"/>
  <c r="T18" i="5"/>
  <c r="N18" i="5"/>
  <c r="V17" i="5"/>
  <c r="U17" i="5"/>
  <c r="T17" i="5"/>
  <c r="N17" i="5"/>
  <c r="T16" i="5"/>
  <c r="N16" i="5"/>
  <c r="V20" i="5"/>
  <c r="U20" i="5"/>
  <c r="O18" i="5"/>
  <c r="V16" i="5"/>
  <c r="U16" i="5"/>
  <c r="P16" i="5"/>
  <c r="O20" i="5"/>
  <c r="Z8" i="5"/>
  <c r="Y8" i="5"/>
  <c r="V8" i="5"/>
  <c r="U8" i="5"/>
  <c r="T8" i="5"/>
  <c r="Q8" i="5"/>
  <c r="G20" i="3"/>
  <c r="G28" i="3" s="1"/>
  <c r="G46" i="3"/>
  <c r="F46" i="3" s="1"/>
  <c r="B2" i="4"/>
  <c r="C24" i="4"/>
  <c r="C29" i="4" s="1"/>
  <c r="K11" i="4"/>
  <c r="I11" i="4"/>
  <c r="G11" i="4"/>
  <c r="E11" i="4"/>
  <c r="D11" i="4"/>
  <c r="B11" i="4"/>
  <c r="B3" i="4"/>
  <c r="G54" i="3"/>
  <c r="F54" i="3" s="1"/>
  <c r="G3" i="3"/>
  <c r="F3" i="3" s="1"/>
  <c r="E22" i="5" l="1"/>
  <c r="F22" i="5"/>
  <c r="I22" i="5"/>
  <c r="G22" i="5"/>
  <c r="D24" i="4" s="1"/>
  <c r="H22" i="5"/>
  <c r="T22" i="5"/>
  <c r="J22" i="5"/>
  <c r="B22" i="5"/>
  <c r="K22" i="5"/>
  <c r="G24" i="4" s="1"/>
  <c r="D22" i="5"/>
  <c r="L22" i="5"/>
  <c r="M22" i="5"/>
  <c r="N22" i="5"/>
  <c r="H23" i="6" s="1"/>
  <c r="Q22" i="5"/>
  <c r="H24" i="6" s="1"/>
  <c r="B15" i="4"/>
  <c r="B17" i="4"/>
  <c r="B18" i="4"/>
  <c r="B19" i="4"/>
  <c r="B16" i="4"/>
  <c r="I19" i="4"/>
  <c r="I18" i="4"/>
  <c r="I17" i="4"/>
  <c r="I16" i="4"/>
  <c r="E18" i="4"/>
  <c r="E19" i="4"/>
  <c r="E17" i="4"/>
  <c r="E16" i="4"/>
  <c r="G18" i="4"/>
  <c r="G19" i="4"/>
  <c r="G16" i="4"/>
  <c r="G17" i="4"/>
  <c r="D18" i="4"/>
  <c r="D16" i="4"/>
  <c r="D17" i="4"/>
  <c r="D19" i="4"/>
  <c r="K17" i="4"/>
  <c r="K16" i="4"/>
  <c r="K18" i="4"/>
  <c r="K19" i="4"/>
  <c r="I15" i="4"/>
  <c r="E15" i="4"/>
  <c r="P27" i="5"/>
  <c r="S27" i="5"/>
  <c r="S8" i="5"/>
  <c r="D15" i="4"/>
  <c r="K15" i="4"/>
  <c r="G15" i="4"/>
  <c r="Y18" i="5"/>
  <c r="D19" i="5"/>
  <c r="D16" i="5"/>
  <c r="D17" i="5"/>
  <c r="D18" i="5"/>
  <c r="R17" i="5"/>
  <c r="S19" i="5"/>
  <c r="S17" i="5"/>
  <c r="S20" i="5"/>
  <c r="Q16" i="5"/>
  <c r="Q18" i="5"/>
  <c r="Q20" i="5"/>
  <c r="Q17" i="5"/>
  <c r="Q19" i="5"/>
  <c r="W18" i="5"/>
  <c r="L48" i="14" s="1"/>
  <c r="F19" i="5"/>
  <c r="F16" i="5"/>
  <c r="F17" i="5"/>
  <c r="AA18" i="5"/>
  <c r="R20" i="5"/>
  <c r="Y19" i="5"/>
  <c r="S18" i="5"/>
  <c r="S16" i="5"/>
  <c r="U18" i="5"/>
  <c r="P19" i="5"/>
  <c r="Y16" i="5"/>
  <c r="Y22" i="5" s="1"/>
  <c r="O17" i="5"/>
  <c r="AA17" i="5"/>
  <c r="V18" i="5"/>
  <c r="F20" i="5"/>
  <c r="X20" i="5"/>
  <c r="R16" i="5"/>
  <c r="Y17" i="5"/>
  <c r="X18" i="5"/>
  <c r="L53" i="14" s="1"/>
  <c r="P17" i="5"/>
  <c r="R19" i="5"/>
  <c r="Y20" i="5"/>
  <c r="P18" i="5"/>
  <c r="O19" i="5"/>
  <c r="AA16" i="5"/>
  <c r="AA22" i="5" s="1"/>
  <c r="F18" i="5"/>
  <c r="O16" i="5"/>
  <c r="R18" i="5"/>
  <c r="Z18" i="5"/>
  <c r="L19" i="4" l="1"/>
  <c r="L18" i="4"/>
  <c r="L17" i="4"/>
  <c r="L15" i="4"/>
  <c r="F8" i="4"/>
  <c r="L16" i="4"/>
  <c r="L34" i="4"/>
  <c r="E24" i="4"/>
  <c r="L38" i="4"/>
  <c r="M45" i="6"/>
  <c r="M24" i="6" s="1"/>
  <c r="I45" i="6"/>
  <c r="I24" i="6" s="1"/>
  <c r="K39" i="7" s="1"/>
  <c r="J45" i="6"/>
  <c r="J24" i="6" s="1"/>
  <c r="L45" i="6"/>
  <c r="L24" i="6" s="1"/>
  <c r="K45" i="6"/>
  <c r="K24" i="6" s="1"/>
  <c r="L44" i="6"/>
  <c r="L23" i="6" s="1"/>
  <c r="H38" i="7" s="1"/>
  <c r="I44" i="6"/>
  <c r="I23" i="6" s="1"/>
  <c r="E38" i="7" s="1"/>
  <c r="K38" i="7" s="1"/>
  <c r="K44" i="6"/>
  <c r="K23" i="6" s="1"/>
  <c r="G38" i="7" s="1"/>
  <c r="J44" i="6"/>
  <c r="J23" i="6" s="1"/>
  <c r="F38" i="7" s="1"/>
  <c r="M44" i="6"/>
  <c r="M23" i="6" s="1"/>
  <c r="I38" i="7" s="1"/>
  <c r="G22" i="4"/>
  <c r="F17" i="4"/>
  <c r="J18" i="4"/>
  <c r="J19" i="4"/>
  <c r="H16" i="4"/>
  <c r="K22" i="4"/>
  <c r="F19" i="4"/>
  <c r="F18" i="4"/>
  <c r="D22" i="4"/>
  <c r="J16" i="4"/>
  <c r="J17" i="4"/>
  <c r="E22" i="4"/>
  <c r="I22" i="4"/>
  <c r="H19" i="4"/>
  <c r="H18" i="4"/>
  <c r="H17" i="4"/>
  <c r="F16" i="4"/>
  <c r="J57" i="14"/>
  <c r="I24" i="4"/>
  <c r="H15" i="4"/>
  <c r="F15" i="4"/>
  <c r="J15" i="4"/>
  <c r="F36" i="5"/>
  <c r="V38" i="5"/>
  <c r="F39" i="5"/>
  <c r="T36" i="5"/>
  <c r="T37" i="5"/>
  <c r="J56" i="14" s="1"/>
  <c r="T38" i="5"/>
  <c r="T39" i="5"/>
  <c r="T35" i="5"/>
  <c r="Z19" i="5"/>
  <c r="AA20" i="5"/>
  <c r="W16" i="5"/>
  <c r="W22" i="5" s="1"/>
  <c r="L49" i="14" s="1"/>
  <c r="W19" i="5"/>
  <c r="W17" i="5"/>
  <c r="AA19" i="5"/>
  <c r="V35" i="5"/>
  <c r="V37" i="5"/>
  <c r="L56" i="14" s="1"/>
  <c r="F37" i="5"/>
  <c r="F35" i="5"/>
  <c r="V39" i="5"/>
  <c r="U37" i="5"/>
  <c r="K56" i="14" s="1"/>
  <c r="U36" i="5"/>
  <c r="U38" i="5"/>
  <c r="U39" i="5"/>
  <c r="U35" i="5"/>
  <c r="X19" i="5"/>
  <c r="X17" i="5"/>
  <c r="X16" i="5"/>
  <c r="X22" i="5" s="1"/>
  <c r="L54" i="14" s="1"/>
  <c r="M18" i="5"/>
  <c r="M17" i="5"/>
  <c r="M16" i="5"/>
  <c r="M20" i="5"/>
  <c r="M19" i="5"/>
  <c r="Z20" i="5"/>
  <c r="F38" i="5"/>
  <c r="Z16" i="5"/>
  <c r="Z22" i="5" s="1"/>
  <c r="V36" i="5"/>
  <c r="Z17" i="5"/>
  <c r="W20" i="5"/>
  <c r="G57" i="3"/>
  <c r="H57" i="3"/>
  <c r="I57" i="3"/>
  <c r="J57" i="3"/>
  <c r="L24" i="4" l="1"/>
  <c r="H24" i="4"/>
  <c r="L38" i="7"/>
  <c r="M39" i="7"/>
  <c r="N38" i="7"/>
  <c r="L39" i="7"/>
  <c r="O38" i="7"/>
  <c r="M38" i="7"/>
  <c r="N39" i="7"/>
  <c r="O39" i="7"/>
  <c r="F22" i="4"/>
  <c r="F30" i="4" s="1"/>
  <c r="E30" i="4" s="1"/>
  <c r="J22" i="4"/>
  <c r="J30" i="4" s="1"/>
  <c r="I30" i="4" s="1"/>
  <c r="L22" i="4"/>
  <c r="D30" i="4" s="1"/>
  <c r="H22" i="4"/>
  <c r="K57" i="3"/>
  <c r="D29" i="4"/>
  <c r="J24" i="4"/>
  <c r="F24" i="4"/>
  <c r="M38" i="5"/>
  <c r="M37" i="5"/>
  <c r="M35" i="5"/>
  <c r="M36" i="5"/>
  <c r="M39" i="5"/>
  <c r="Q35" i="5"/>
  <c r="Q38" i="5"/>
  <c r="Q36" i="5"/>
  <c r="Q37" i="5"/>
  <c r="J51" i="14" s="1"/>
  <c r="Q39" i="5"/>
  <c r="N37" i="5"/>
  <c r="J46" i="14" s="1"/>
  <c r="N38" i="5"/>
  <c r="N39" i="5"/>
  <c r="N35" i="5"/>
  <c r="N36" i="5"/>
  <c r="O38" i="5"/>
  <c r="O37" i="5"/>
  <c r="K46" i="14" s="1"/>
  <c r="O36" i="5"/>
  <c r="O35" i="5"/>
  <c r="O39" i="5"/>
  <c r="P37" i="5"/>
  <c r="L46" i="14" s="1"/>
  <c r="P35" i="5"/>
  <c r="P38" i="5"/>
  <c r="P39" i="5"/>
  <c r="P36" i="5"/>
  <c r="R35" i="5"/>
  <c r="R36" i="5"/>
  <c r="R37" i="5"/>
  <c r="K51" i="14" s="1"/>
  <c r="R39" i="5"/>
  <c r="R38" i="5"/>
  <c r="S35" i="5"/>
  <c r="S36" i="5"/>
  <c r="S37" i="5"/>
  <c r="S38" i="5"/>
  <c r="S39" i="5"/>
  <c r="L10" i="3" l="1"/>
  <c r="L51" i="14"/>
  <c r="C12" i="6" a="1"/>
  <c r="C12" i="6" l="1"/>
  <c r="L77" i="1" l="1"/>
  <c r="M77" i="1" s="1"/>
  <c r="N77" i="1" s="1"/>
  <c r="O77" i="1" s="1"/>
  <c r="P77" i="1" s="1"/>
  <c r="L61" i="1" l="1"/>
  <c r="M61" i="1" s="1"/>
  <c r="N61" i="1" s="1"/>
  <c r="O61" i="1" s="1"/>
  <c r="P61" i="1" s="1"/>
  <c r="L60" i="1"/>
  <c r="M60" i="1" s="1"/>
  <c r="N60" i="1" s="1"/>
  <c r="O60" i="1" s="1"/>
  <c r="P60" i="1" s="1"/>
  <c r="L64" i="1" l="1"/>
  <c r="M64" i="1" s="1"/>
  <c r="N64" i="1" s="1"/>
  <c r="O64" i="1" s="1"/>
  <c r="P64" i="1" s="1"/>
  <c r="L78" i="1"/>
  <c r="M78" i="1" s="1"/>
  <c r="N78" i="1" s="1"/>
  <c r="O78" i="1" s="1"/>
  <c r="P78" i="1" s="1"/>
  <c r="G141" i="1"/>
  <c r="H141" i="1"/>
  <c r="I141" i="1"/>
  <c r="J141" i="1"/>
  <c r="F141" i="1"/>
  <c r="K106" i="1"/>
  <c r="K105" i="1"/>
  <c r="K104" i="1"/>
  <c r="G73" i="1"/>
  <c r="H73" i="1"/>
  <c r="I73" i="1"/>
  <c r="J73" i="1"/>
  <c r="K73" i="1" s="1"/>
  <c r="L73" i="1" s="1"/>
  <c r="M73" i="1" s="1"/>
  <c r="N73" i="1" s="1"/>
  <c r="O73" i="1" s="1"/>
  <c r="P73" i="1" s="1"/>
  <c r="F73" i="1"/>
  <c r="G65" i="1"/>
  <c r="H65" i="1"/>
  <c r="I65" i="1"/>
  <c r="J65" i="1"/>
  <c r="F65" i="1"/>
  <c r="G52" i="1" l="1"/>
  <c r="H52" i="1"/>
  <c r="I52" i="1"/>
  <c r="J52" i="1"/>
  <c r="F52" i="1"/>
  <c r="G48" i="1" l="1"/>
  <c r="H48" i="1"/>
  <c r="I48" i="1"/>
  <c r="J48" i="1"/>
  <c r="G49" i="1"/>
  <c r="H49" i="1"/>
  <c r="I49" i="1"/>
  <c r="J49" i="1"/>
  <c r="G50" i="1"/>
  <c r="H50" i="1"/>
  <c r="I50" i="1"/>
  <c r="J50" i="1"/>
  <c r="F49" i="1"/>
  <c r="F50" i="1"/>
  <c r="F48" i="1"/>
  <c r="G47" i="1"/>
  <c r="H47" i="1"/>
  <c r="I47" i="1"/>
  <c r="F47" i="1"/>
  <c r="L10" i="14"/>
  <c r="J42" i="1"/>
  <c r="I42" i="1"/>
  <c r="H42" i="1"/>
  <c r="G42" i="1"/>
  <c r="J36" i="1"/>
  <c r="I36" i="1"/>
  <c r="H36" i="1"/>
  <c r="G36" i="1"/>
  <c r="J30" i="1"/>
  <c r="I30" i="1"/>
  <c r="H30" i="1"/>
  <c r="G30" i="1"/>
  <c r="H24" i="1"/>
  <c r="I24" i="1"/>
  <c r="J24" i="1"/>
  <c r="G24" i="1"/>
  <c r="G45" i="1"/>
  <c r="H45" i="1"/>
  <c r="I45" i="1"/>
  <c r="J45" i="1"/>
  <c r="F45" i="1"/>
  <c r="G94" i="1"/>
  <c r="G60" i="3" s="1"/>
  <c r="G62" i="3" s="1"/>
  <c r="H94" i="1"/>
  <c r="H60" i="3" s="1"/>
  <c r="H62" i="3" s="1"/>
  <c r="I94" i="1"/>
  <c r="I60" i="3" s="1"/>
  <c r="I62" i="3" s="1"/>
  <c r="J94" i="1"/>
  <c r="J60" i="3" s="1"/>
  <c r="J62" i="3" s="1"/>
  <c r="F94" i="1"/>
  <c r="F60" i="3" s="1"/>
  <c r="F62" i="3" s="1"/>
  <c r="L42" i="1" l="1"/>
  <c r="I15" i="14"/>
  <c r="I11" i="14"/>
  <c r="I17" i="14"/>
  <c r="I13" i="14"/>
  <c r="I51" i="3"/>
  <c r="I66" i="3"/>
  <c r="I79" i="3"/>
  <c r="G51" i="3"/>
  <c r="G66" i="3"/>
  <c r="G79" i="3"/>
  <c r="L14" i="14"/>
  <c r="M12" i="14"/>
  <c r="L12" i="14"/>
  <c r="H15" i="14"/>
  <c r="H17" i="14"/>
  <c r="H11" i="14"/>
  <c r="H13" i="14"/>
  <c r="K17" i="14"/>
  <c r="K15" i="14"/>
  <c r="K13" i="14"/>
  <c r="K11" i="14"/>
  <c r="J51" i="3"/>
  <c r="J66" i="3"/>
  <c r="J79" i="3"/>
  <c r="H51" i="3"/>
  <c r="H66" i="3"/>
  <c r="H79" i="3"/>
  <c r="F51" i="3"/>
  <c r="F79" i="3"/>
  <c r="F66" i="3"/>
  <c r="F77" i="3" s="1"/>
  <c r="J17" i="14"/>
  <c r="J15" i="14"/>
  <c r="J11" i="14"/>
  <c r="J13" i="14"/>
  <c r="F38" i="9"/>
  <c r="I38" i="9"/>
  <c r="H38" i="9"/>
  <c r="G38" i="9"/>
  <c r="E38" i="9"/>
  <c r="F71" i="1"/>
  <c r="I71" i="1"/>
  <c r="J71" i="1"/>
  <c r="H71" i="1"/>
  <c r="G71" i="1"/>
  <c r="N10" i="14" l="1"/>
  <c r="M10" i="14"/>
  <c r="M14" i="14"/>
  <c r="L45" i="1"/>
  <c r="L83" i="1" s="1"/>
  <c r="L56" i="3" s="1"/>
  <c r="L16" i="14"/>
  <c r="N12" i="14"/>
  <c r="K71" i="1"/>
  <c r="L71" i="1" s="1"/>
  <c r="M71" i="1" s="1"/>
  <c r="N71" i="1" s="1"/>
  <c r="O71" i="1" s="1"/>
  <c r="P71" i="1" s="1"/>
  <c r="K45" i="1"/>
  <c r="K83" i="1" s="1"/>
  <c r="AD31" i="10" l="1"/>
  <c r="L57" i="3"/>
  <c r="K49" i="1"/>
  <c r="K47" i="1"/>
  <c r="K50" i="1"/>
  <c r="K48" i="1"/>
  <c r="S10" i="14"/>
  <c r="S12" i="14"/>
  <c r="M16" i="14"/>
  <c r="N14" i="14"/>
  <c r="K162" i="1"/>
  <c r="L133" i="1"/>
  <c r="L85" i="1"/>
  <c r="L90" i="1"/>
  <c r="L91" i="1"/>
  <c r="L89" i="1"/>
  <c r="K84" i="1"/>
  <c r="L84" i="1"/>
  <c r="K59" i="3"/>
  <c r="AG73" i="10" l="1"/>
  <c r="AE67" i="10"/>
  <c r="AG96" i="10" s="1"/>
  <c r="L86" i="1"/>
  <c r="L87" i="1" s="1"/>
  <c r="L59" i="3"/>
  <c r="S14" i="14"/>
  <c r="N45" i="1"/>
  <c r="N83" i="1" s="1"/>
  <c r="N56" i="3" s="1"/>
  <c r="N16" i="14"/>
  <c r="M45" i="1"/>
  <c r="M83" i="1" s="1"/>
  <c r="M56" i="3" s="1"/>
  <c r="L162" i="1"/>
  <c r="L71" i="3" s="1"/>
  <c r="K71" i="3"/>
  <c r="K86" i="1"/>
  <c r="K87" i="1" s="1"/>
  <c r="L94" i="1"/>
  <c r="K94" i="1"/>
  <c r="AE31" i="10" l="1"/>
  <c r="M57" i="3"/>
  <c r="AF31" i="10"/>
  <c r="N57" i="3"/>
  <c r="W97" i="13"/>
  <c r="O41" i="5"/>
  <c r="Q97" i="13"/>
  <c r="O22" i="5"/>
  <c r="K60" i="3"/>
  <c r="K62" i="3" s="1"/>
  <c r="J38" i="9"/>
  <c r="K38" i="9" s="1"/>
  <c r="L38" i="9" s="1"/>
  <c r="M38" i="9" s="1"/>
  <c r="N38" i="9" s="1"/>
  <c r="O38" i="9" s="1"/>
  <c r="N90" i="1"/>
  <c r="N133" i="1"/>
  <c r="N84" i="1"/>
  <c r="N85" i="1"/>
  <c r="N59" i="3" s="1"/>
  <c r="N91" i="1"/>
  <c r="N89" i="1"/>
  <c r="M84" i="1"/>
  <c r="M85" i="1"/>
  <c r="M59" i="3" s="1"/>
  <c r="M89" i="1"/>
  <c r="M133" i="1"/>
  <c r="M162" i="1" s="1"/>
  <c r="M71" i="3" s="1"/>
  <c r="M90" i="1"/>
  <c r="M91" i="1"/>
  <c r="S16" i="14"/>
  <c r="L60" i="3"/>
  <c r="L62" i="3" s="1"/>
  <c r="L140" i="1"/>
  <c r="K140" i="1"/>
  <c r="K166" i="1" s="1"/>
  <c r="L95" i="1"/>
  <c r="K95" i="1"/>
  <c r="K53" i="1" s="1"/>
  <c r="AG67" i="10" l="1"/>
  <c r="AG81" i="10"/>
  <c r="AG77" i="10"/>
  <c r="AF67" i="10"/>
  <c r="AG100" i="10" s="1"/>
  <c r="K37" i="9"/>
  <c r="P45" i="1"/>
  <c r="P83" i="1" s="1"/>
  <c r="P56" i="3" s="1"/>
  <c r="N86" i="1"/>
  <c r="N87" i="1" s="1"/>
  <c r="M86" i="1"/>
  <c r="M87" i="1" s="1"/>
  <c r="N162" i="1"/>
  <c r="N71" i="3" s="1"/>
  <c r="N94" i="1"/>
  <c r="N60" i="3" s="1"/>
  <c r="N62" i="3" s="1"/>
  <c r="M94" i="1"/>
  <c r="O45" i="1"/>
  <c r="O83" i="1" s="1"/>
  <c r="O56" i="3" s="1"/>
  <c r="O57" i="3" s="1"/>
  <c r="J42" i="9"/>
  <c r="O54" i="9" s="1"/>
  <c r="K172" i="1"/>
  <c r="K75" i="3" s="1"/>
  <c r="L166" i="1"/>
  <c r="L96" i="1"/>
  <c r="J183" i="1"/>
  <c r="K35" i="14" s="1"/>
  <c r="G183" i="1"/>
  <c r="H35" i="14" s="1"/>
  <c r="H183" i="1"/>
  <c r="I35" i="14" s="1"/>
  <c r="I183" i="1"/>
  <c r="J35" i="14" s="1"/>
  <c r="G175" i="1"/>
  <c r="H175" i="1"/>
  <c r="I34" i="14" s="1"/>
  <c r="I175" i="1"/>
  <c r="J34" i="14" s="1"/>
  <c r="J175" i="1"/>
  <c r="K34" i="14" s="1"/>
  <c r="F175" i="1"/>
  <c r="G117" i="1"/>
  <c r="F30" i="9" s="1"/>
  <c r="H117" i="1"/>
  <c r="G30" i="9" s="1"/>
  <c r="I117" i="1"/>
  <c r="H30" i="9" s="1"/>
  <c r="J117" i="1"/>
  <c r="I30" i="9" s="1"/>
  <c r="G146" i="1"/>
  <c r="G151" i="1" s="1"/>
  <c r="H146" i="1"/>
  <c r="H151" i="1" s="1"/>
  <c r="I146" i="1"/>
  <c r="I151" i="1" s="1"/>
  <c r="J146" i="1"/>
  <c r="J151" i="1" s="1"/>
  <c r="F146" i="1"/>
  <c r="G127" i="1"/>
  <c r="G48" i="3" s="1"/>
  <c r="H127" i="1"/>
  <c r="H48" i="3" s="1"/>
  <c r="I127" i="1"/>
  <c r="I48" i="3" s="1"/>
  <c r="J127" i="1"/>
  <c r="J48" i="3" s="1"/>
  <c r="F127" i="1"/>
  <c r="F48" i="3" s="1"/>
  <c r="G86" i="1"/>
  <c r="H86" i="1"/>
  <c r="I86" i="1"/>
  <c r="J86" i="1"/>
  <c r="J87" i="1" s="1"/>
  <c r="F86" i="1"/>
  <c r="F87" i="1" s="1"/>
  <c r="H84" i="1"/>
  <c r="I84" i="1"/>
  <c r="J84" i="1"/>
  <c r="G84" i="1"/>
  <c r="O156" i="1"/>
  <c r="N156" i="1"/>
  <c r="M156" i="1"/>
  <c r="L156" i="1"/>
  <c r="K156" i="1"/>
  <c r="J156" i="1"/>
  <c r="I156" i="1"/>
  <c r="H156" i="1"/>
  <c r="E156" i="1"/>
  <c r="O120" i="1"/>
  <c r="N120" i="1"/>
  <c r="M120" i="1"/>
  <c r="L120" i="1"/>
  <c r="K120" i="1"/>
  <c r="J120" i="1"/>
  <c r="I120" i="1"/>
  <c r="H120" i="1"/>
  <c r="E120" i="1"/>
  <c r="O81" i="1"/>
  <c r="N81" i="1"/>
  <c r="N45" i="14" s="1"/>
  <c r="M81" i="1"/>
  <c r="M45" i="14" s="1"/>
  <c r="L81" i="1"/>
  <c r="L45" i="14" s="1"/>
  <c r="K81" i="1"/>
  <c r="J81" i="1"/>
  <c r="I81" i="1"/>
  <c r="H81" i="1"/>
  <c r="E81" i="1"/>
  <c r="G156" i="1"/>
  <c r="E3" i="1"/>
  <c r="P57" i="3" l="1"/>
  <c r="X97" i="13"/>
  <c r="P41" i="5"/>
  <c r="AG85" i="10"/>
  <c r="Q107" i="13" s="1"/>
  <c r="R107" i="13" s="1"/>
  <c r="R97" i="13"/>
  <c r="P22" i="5"/>
  <c r="M37" i="9"/>
  <c r="O45" i="14"/>
  <c r="P139" i="1"/>
  <c r="P125" i="1"/>
  <c r="P84" i="1"/>
  <c r="P90" i="1"/>
  <c r="P89" i="1"/>
  <c r="P91" i="1"/>
  <c r="P133" i="1"/>
  <c r="P85" i="1"/>
  <c r="L172" i="1"/>
  <c r="L75" i="3" s="1"/>
  <c r="K42" i="9"/>
  <c r="N95" i="1"/>
  <c r="N140" i="1"/>
  <c r="S41" i="14"/>
  <c r="K45" i="14"/>
  <c r="S38" i="14"/>
  <c r="S30" i="14"/>
  <c r="H95" i="1"/>
  <c r="H53" i="1" s="1"/>
  <c r="H87" i="1"/>
  <c r="G95" i="1"/>
  <c r="G53" i="1" s="1"/>
  <c r="G87" i="1"/>
  <c r="O133" i="1"/>
  <c r="O162" i="1" s="1"/>
  <c r="O71" i="3" s="1"/>
  <c r="O84" i="1"/>
  <c r="O85" i="1"/>
  <c r="O59" i="3" s="1"/>
  <c r="O91" i="1"/>
  <c r="O89" i="1"/>
  <c r="O90" i="1"/>
  <c r="Q5" i="13" a="1"/>
  <c r="I95" i="1"/>
  <c r="I53" i="1" s="1"/>
  <c r="I87" i="1"/>
  <c r="M60" i="3"/>
  <c r="M62" i="3" s="1"/>
  <c r="M95" i="1"/>
  <c r="M140" i="1"/>
  <c r="M166" i="1" s="1"/>
  <c r="L37" i="9"/>
  <c r="K54" i="9"/>
  <c r="J54" i="9"/>
  <c r="J60" i="9" s="1"/>
  <c r="N54" i="9"/>
  <c r="L54" i="9"/>
  <c r="M54" i="9"/>
  <c r="N172" i="1"/>
  <c r="N75" i="3" s="1"/>
  <c r="M42" i="9"/>
  <c r="O57" i="9" s="1"/>
  <c r="G77" i="3"/>
  <c r="F134" i="1"/>
  <c r="H70" i="1"/>
  <c r="H61" i="1"/>
  <c r="I70" i="1"/>
  <c r="I61" i="1"/>
  <c r="J70" i="1"/>
  <c r="J61" i="1"/>
  <c r="L126" i="1"/>
  <c r="M126" i="1"/>
  <c r="N126" i="1"/>
  <c r="M139" i="1"/>
  <c r="L139" i="1"/>
  <c r="N139" i="1"/>
  <c r="N141" i="1" s="1"/>
  <c r="N146" i="1" s="1"/>
  <c r="K165" i="1"/>
  <c r="O139" i="1"/>
  <c r="L125" i="1"/>
  <c r="L163" i="1" s="1"/>
  <c r="O125" i="1"/>
  <c r="J60" i="1"/>
  <c r="I134" i="1"/>
  <c r="I153" i="1" s="1"/>
  <c r="G134" i="1"/>
  <c r="G153" i="1" s="1"/>
  <c r="M125" i="1"/>
  <c r="N125" i="1"/>
  <c r="I60" i="1"/>
  <c r="H134" i="1"/>
  <c r="H153" i="1" s="1"/>
  <c r="J95" i="1"/>
  <c r="F95" i="1"/>
  <c r="G120" i="1"/>
  <c r="G81" i="1"/>
  <c r="G61" i="1" s="1"/>
  <c r="P86" i="1" l="1"/>
  <c r="P87" i="1" s="1"/>
  <c r="P59" i="3"/>
  <c r="P162" i="1"/>
  <c r="P71" i="3" s="1"/>
  <c r="P94" i="1"/>
  <c r="P126" i="1"/>
  <c r="P163" i="1"/>
  <c r="P165" i="1"/>
  <c r="O55" i="9"/>
  <c r="L55" i="9"/>
  <c r="M55" i="9"/>
  <c r="K55" i="9"/>
  <c r="K60" i="9" s="1"/>
  <c r="L161" i="1" s="1"/>
  <c r="L69" i="3" s="1"/>
  <c r="L79" i="3" s="1"/>
  <c r="AD32" i="10" s="1"/>
  <c r="N55" i="9"/>
  <c r="M141" i="1"/>
  <c r="M146" i="1" s="1"/>
  <c r="O86" i="1"/>
  <c r="O87" i="1" s="1"/>
  <c r="O126" i="1"/>
  <c r="O164" i="1" s="1"/>
  <c r="M96" i="1"/>
  <c r="N96" i="1"/>
  <c r="O94" i="1"/>
  <c r="M172" i="1"/>
  <c r="M75" i="3" s="1"/>
  <c r="L42" i="9"/>
  <c r="O56" i="9" s="1"/>
  <c r="L165" i="1"/>
  <c r="L141" i="1"/>
  <c r="L146" i="1" s="1"/>
  <c r="Q5" i="13"/>
  <c r="Q20" i="13"/>
  <c r="Q22" i="13"/>
  <c r="Q23" i="13"/>
  <c r="Q21" i="13"/>
  <c r="N166" i="1"/>
  <c r="M165" i="1"/>
  <c r="O165" i="1"/>
  <c r="N165" i="1"/>
  <c r="M164" i="1"/>
  <c r="N164" i="1"/>
  <c r="M163" i="1"/>
  <c r="O163" i="1"/>
  <c r="N163" i="1"/>
  <c r="N57" i="9"/>
  <c r="M57" i="9"/>
  <c r="I77" i="3"/>
  <c r="H77" i="3"/>
  <c r="J77" i="3"/>
  <c r="J53" i="1"/>
  <c r="F53" i="1"/>
  <c r="H60" i="1"/>
  <c r="G70" i="1"/>
  <c r="F101" i="1"/>
  <c r="K96" i="1"/>
  <c r="G96" i="1"/>
  <c r="G101" i="1" s="1"/>
  <c r="H96" i="1"/>
  <c r="H101" i="1" s="1"/>
  <c r="H77" i="1" s="1"/>
  <c r="I96" i="1"/>
  <c r="I101" i="1" s="1"/>
  <c r="I77" i="1" s="1"/>
  <c r="J96" i="1"/>
  <c r="J101" i="1" s="1"/>
  <c r="J77" i="1" s="1"/>
  <c r="F120" i="1"/>
  <c r="P5" i="13" s="1" a="1"/>
  <c r="F156" i="1"/>
  <c r="F81" i="1"/>
  <c r="P164" i="1" l="1"/>
  <c r="P95" i="1"/>
  <c r="P60" i="3"/>
  <c r="P62" i="3" s="1"/>
  <c r="P140" i="1"/>
  <c r="O37" i="9"/>
  <c r="AG74" i="10"/>
  <c r="AE68" i="10"/>
  <c r="AG97" i="10" s="1"/>
  <c r="P5" i="13"/>
  <c r="P20" i="13"/>
  <c r="P23" i="13"/>
  <c r="P22" i="13"/>
  <c r="P21" i="13"/>
  <c r="M56" i="9"/>
  <c r="M60" i="9" s="1"/>
  <c r="N161" i="1" s="1"/>
  <c r="N56" i="9"/>
  <c r="L56" i="9"/>
  <c r="L60" i="9" s="1"/>
  <c r="M161" i="1" s="1"/>
  <c r="K69" i="3"/>
  <c r="K79" i="3" s="1"/>
  <c r="O60" i="3"/>
  <c r="O62" i="3" s="1"/>
  <c r="O95" i="1"/>
  <c r="N37" i="9"/>
  <c r="O140" i="1"/>
  <c r="K131" i="1"/>
  <c r="L131" i="1" s="1"/>
  <c r="K45" i="9"/>
  <c r="J48" i="9"/>
  <c r="J46" i="9"/>
  <c r="G78" i="1"/>
  <c r="G77" i="1"/>
  <c r="F78" i="1"/>
  <c r="F77" i="1"/>
  <c r="I64" i="1"/>
  <c r="I78" i="1"/>
  <c r="H64" i="1"/>
  <c r="H78" i="1"/>
  <c r="J64" i="1"/>
  <c r="J78" i="1"/>
  <c r="G64" i="1"/>
  <c r="F64" i="1"/>
  <c r="J111" i="1"/>
  <c r="J116" i="1" s="1"/>
  <c r="I111" i="1"/>
  <c r="I116" i="1" s="1"/>
  <c r="H111" i="1"/>
  <c r="H116" i="1" s="1"/>
  <c r="F111" i="1"/>
  <c r="F70" i="1"/>
  <c r="F61" i="1"/>
  <c r="F60" i="1"/>
  <c r="G60" i="1"/>
  <c r="F159" i="1"/>
  <c r="F168" i="1" s="1"/>
  <c r="F108" i="1"/>
  <c r="G102" i="1"/>
  <c r="G108" i="1" s="1"/>
  <c r="G111" i="1"/>
  <c r="G116" i="1" s="1"/>
  <c r="H102" i="1"/>
  <c r="H108" i="1" s="1"/>
  <c r="J102" i="1"/>
  <c r="J108" i="1" s="1"/>
  <c r="I102" i="1"/>
  <c r="I108" i="1" s="1"/>
  <c r="I115" i="1" s="1"/>
  <c r="J159" i="1"/>
  <c r="J168" i="1" s="1"/>
  <c r="I159" i="1"/>
  <c r="I168" i="1" s="1"/>
  <c r="H159" i="1"/>
  <c r="H168" i="1" s="1"/>
  <c r="G159" i="1"/>
  <c r="G168" i="1" s="1"/>
  <c r="Z97" i="13" l="1"/>
  <c r="R41" i="5"/>
  <c r="O42" i="9"/>
  <c r="O58" i="9" s="1"/>
  <c r="O60" i="9" s="1"/>
  <c r="P161" i="1" s="1"/>
  <c r="O59" i="9"/>
  <c r="P172" i="1"/>
  <c r="P75" i="3" s="1"/>
  <c r="P166" i="1"/>
  <c r="P141" i="1"/>
  <c r="P146" i="1" s="1"/>
  <c r="P96" i="1"/>
  <c r="F115" i="1"/>
  <c r="I187" i="1"/>
  <c r="J33" i="14"/>
  <c r="J187" i="1"/>
  <c r="K33" i="14"/>
  <c r="G187" i="1"/>
  <c r="H33" i="14"/>
  <c r="J115" i="1"/>
  <c r="G115" i="1"/>
  <c r="H187" i="1"/>
  <c r="I33" i="14"/>
  <c r="H115" i="1"/>
  <c r="M131" i="1"/>
  <c r="N131" i="1" s="1"/>
  <c r="AG89" i="10"/>
  <c r="T97" i="13"/>
  <c r="R22" i="5"/>
  <c r="S21" i="14"/>
  <c r="S24" i="14"/>
  <c r="P27" i="13"/>
  <c r="N69" i="3"/>
  <c r="N79" i="3" s="1"/>
  <c r="AF32" i="10" s="1"/>
  <c r="M69" i="3"/>
  <c r="M79" i="3" s="1"/>
  <c r="AE32" i="10" s="1"/>
  <c r="O166" i="1"/>
  <c r="O141" i="1"/>
  <c r="O146" i="1" s="1"/>
  <c r="O172" i="1"/>
  <c r="O75" i="3" s="1"/>
  <c r="N42" i="9"/>
  <c r="N58" i="9" s="1"/>
  <c r="N60" i="9" s="1"/>
  <c r="O161" i="1" s="1"/>
  <c r="F116" i="1"/>
  <c r="O96" i="1"/>
  <c r="L45" i="9"/>
  <c r="K48" i="9"/>
  <c r="K46" i="9"/>
  <c r="L164" i="1"/>
  <c r="K164" i="1"/>
  <c r="K64" i="3"/>
  <c r="H112" i="1"/>
  <c r="I112" i="1"/>
  <c r="F112" i="1"/>
  <c r="J112" i="1"/>
  <c r="L53" i="1"/>
  <c r="G109" i="1"/>
  <c r="G112" i="1"/>
  <c r="I109" i="1"/>
  <c r="H109" i="1"/>
  <c r="J109" i="1"/>
  <c r="L100" i="1" l="1"/>
  <c r="L64" i="3" s="1"/>
  <c r="P69" i="3"/>
  <c r="P79" i="3" s="1"/>
  <c r="AG78" i="10"/>
  <c r="AF68" i="10"/>
  <c r="AG101" i="10" s="1"/>
  <c r="S41" i="5" s="1"/>
  <c r="AG68" i="10"/>
  <c r="AG82" i="10"/>
  <c r="O69" i="3"/>
  <c r="O79" i="3" s="1"/>
  <c r="L19" i="3" s="1"/>
  <c r="O131" i="1"/>
  <c r="P131" i="1" s="1"/>
  <c r="M45" i="9"/>
  <c r="L48" i="9"/>
  <c r="L46" i="9"/>
  <c r="K51" i="3"/>
  <c r="K66" i="3"/>
  <c r="M53" i="1"/>
  <c r="AA97" i="13" l="1"/>
  <c r="Z107" i="13"/>
  <c r="AA107" i="13" s="1"/>
  <c r="AG90" i="10"/>
  <c r="AG86" i="10"/>
  <c r="T107" i="13" s="1"/>
  <c r="U107" i="13" s="1"/>
  <c r="U97" i="13"/>
  <c r="S22" i="5"/>
  <c r="N45" i="9"/>
  <c r="O45" i="9" s="1"/>
  <c r="M48" i="9"/>
  <c r="M46" i="9"/>
  <c r="M100" i="1"/>
  <c r="M64" i="3" s="1"/>
  <c r="L51" i="3"/>
  <c r="L66" i="3"/>
  <c r="N53" i="1"/>
  <c r="N100" i="1" s="1"/>
  <c r="N64" i="3" s="1"/>
  <c r="O48" i="9" l="1"/>
  <c r="O46" i="9"/>
  <c r="N46" i="9"/>
  <c r="N48" i="9"/>
  <c r="O53" i="1"/>
  <c r="P53" i="1" s="1"/>
  <c r="P100" i="1" s="1"/>
  <c r="P64" i="3" s="1"/>
  <c r="P51" i="3" l="1"/>
  <c r="P66" i="3"/>
  <c r="P77" i="3" s="1"/>
  <c r="N51" i="3"/>
  <c r="N66" i="3"/>
  <c r="M51" i="3"/>
  <c r="M66" i="3"/>
  <c r="O100" i="1"/>
  <c r="O64" i="3" s="1"/>
  <c r="G10" i="1"/>
  <c r="O66" i="3" l="1"/>
  <c r="O51" i="3"/>
  <c r="G12" i="3" s="1"/>
  <c r="L30" i="4" l="1"/>
  <c r="L33" i="4" s="1"/>
  <c r="L37" i="4" s="1"/>
  <c r="L29" i="4"/>
  <c r="L32" i="4" s="1"/>
  <c r="L36" i="4" s="1"/>
  <c r="L40" i="4" l="1"/>
  <c r="G188" i="1"/>
  <c r="H188" i="1"/>
  <c r="I188" i="1"/>
  <c r="J188" i="1"/>
  <c r="G11" i="1" l="1"/>
  <c r="L47" i="14"/>
  <c r="J52" i="14"/>
  <c r="K52" i="14"/>
  <c r="J47" i="14"/>
  <c r="K47" i="14"/>
  <c r="L11" i="3" l="1"/>
  <c r="L52" i="14"/>
  <c r="L22" i="3"/>
  <c r="K141" i="1"/>
  <c r="K146" i="1" l="1"/>
  <c r="F149" i="1" l="1"/>
  <c r="F117" i="1" s="1"/>
  <c r="E30" i="9" s="1"/>
  <c r="F151" i="1" l="1"/>
  <c r="F153" i="1" s="1"/>
  <c r="J134" i="1"/>
  <c r="J153" i="1" s="1"/>
  <c r="M73" i="3" l="1"/>
  <c r="M77" i="3" s="1"/>
  <c r="O73" i="3"/>
  <c r="O77" i="3" s="1"/>
  <c r="Q19" i="3" s="1"/>
  <c r="Q20" i="3" s="1"/>
  <c r="L73" i="3"/>
  <c r="L77" i="3" s="1"/>
  <c r="N73" i="3"/>
  <c r="N77" i="3" s="1"/>
  <c r="K73" i="3"/>
  <c r="K77" i="3" s="1"/>
  <c r="Q22" i="3" l="1"/>
  <c r="L20" i="3"/>
  <c r="Q23" i="3"/>
  <c r="L23" i="3"/>
  <c r="L26" i="3" s="1"/>
  <c r="Q26" i="3" l="1"/>
  <c r="L24" i="3"/>
  <c r="L36" i="3" s="1"/>
  <c r="L40" i="3" s="1"/>
  <c r="Q24" i="3"/>
  <c r="Q36" i="3" l="1"/>
  <c r="Q40" i="3" s="1"/>
  <c r="D99" i="3" s="1"/>
  <c r="D84" i="3"/>
  <c r="L41" i="3"/>
  <c r="Q41" i="3" l="1"/>
  <c r="F180" i="1"/>
  <c r="F183" i="1" s="1"/>
  <c r="E15" i="9"/>
  <c r="F187" i="1" l="1"/>
  <c r="F12" i="9"/>
  <c r="F15" i="9" s="1"/>
  <c r="E17" i="9"/>
  <c r="E20" i="9" s="1"/>
  <c r="E19" i="9"/>
  <c r="E22" i="9" l="1"/>
  <c r="E25" i="9"/>
  <c r="F19" i="9"/>
  <c r="F17" i="9"/>
  <c r="F20" i="9" s="1"/>
  <c r="G12" i="9"/>
  <c r="G15" i="9" s="1"/>
  <c r="F25" i="9" l="1"/>
  <c r="F22" i="9"/>
  <c r="G17" i="9"/>
  <c r="G20" i="9" s="1"/>
  <c r="G19" i="9"/>
  <c r="H12" i="9"/>
  <c r="H15" i="9" s="1"/>
  <c r="G22" i="9" l="1"/>
  <c r="G25" i="9"/>
  <c r="I12" i="9"/>
  <c r="I15" i="9" s="1"/>
  <c r="H17" i="9"/>
  <c r="H20" i="9" s="1"/>
  <c r="H19" i="9"/>
  <c r="H22" i="9" l="1"/>
  <c r="H25" i="9"/>
  <c r="I17" i="9"/>
  <c r="J17" i="9" s="1"/>
  <c r="I19" i="9"/>
  <c r="J19" i="9" s="1"/>
  <c r="I20" i="9"/>
  <c r="J12" i="9"/>
  <c r="J15" i="9" s="1"/>
  <c r="J16" i="9" l="1"/>
  <c r="J18" i="9"/>
  <c r="J20" i="9" s="1"/>
  <c r="J22" i="9" s="1"/>
  <c r="K12" i="9"/>
  <c r="K15" i="9" s="1"/>
  <c r="I25" i="9"/>
  <c r="J25" i="9" s="1"/>
  <c r="J24" i="9" s="1"/>
  <c r="K101" i="1" s="1"/>
  <c r="I22" i="9"/>
  <c r="K159" i="1" l="1"/>
  <c r="K181" i="1"/>
  <c r="K111" i="1"/>
  <c r="K102" i="1"/>
  <c r="K108" i="1" s="1"/>
  <c r="K115" i="1" s="1"/>
  <c r="K182" i="1"/>
  <c r="K24" i="9"/>
  <c r="L98" i="1" s="1"/>
  <c r="K18" i="9"/>
  <c r="L12" i="9"/>
  <c r="L15" i="9" s="1"/>
  <c r="K16" i="9"/>
  <c r="K20" i="9" s="1"/>
  <c r="K22" i="9" s="1"/>
  <c r="K109" i="1" l="1"/>
  <c r="K183" i="1"/>
  <c r="L35" i="14" s="1"/>
  <c r="L24" i="9"/>
  <c r="M98" i="1" s="1"/>
  <c r="L16" i="9"/>
  <c r="L18" i="9"/>
  <c r="M12" i="9"/>
  <c r="M15" i="9" s="1"/>
  <c r="K116" i="1"/>
  <c r="K112" i="1"/>
  <c r="K174" i="1"/>
  <c r="K175" i="1" s="1"/>
  <c r="L34" i="14" s="1"/>
  <c r="K148" i="1"/>
  <c r="K168" i="1"/>
  <c r="L33" i="14" s="1"/>
  <c r="K187" i="1" l="1"/>
  <c r="K189" i="1" s="1"/>
  <c r="K124" i="1" s="1"/>
  <c r="L20" i="9"/>
  <c r="L22" i="9" s="1"/>
  <c r="K149" i="1"/>
  <c r="M24" i="9"/>
  <c r="N98" i="1" s="1"/>
  <c r="M16" i="9"/>
  <c r="M18" i="9"/>
  <c r="N12" i="9"/>
  <c r="N15" i="9" s="1"/>
  <c r="O12" i="9" s="1"/>
  <c r="O15" i="9" s="1"/>
  <c r="O18" i="9" l="1"/>
  <c r="O24" i="9"/>
  <c r="P98" i="1" s="1"/>
  <c r="O16" i="9"/>
  <c r="O20" i="9" s="1"/>
  <c r="O22" i="9" s="1"/>
  <c r="K52" i="1"/>
  <c r="L188" i="1"/>
  <c r="M20" i="9"/>
  <c r="M22" i="9" s="1"/>
  <c r="K127" i="1"/>
  <c r="J28" i="9"/>
  <c r="N18" i="9"/>
  <c r="N16" i="9"/>
  <c r="N24" i="9"/>
  <c r="O98" i="1" s="1"/>
  <c r="K117" i="1"/>
  <c r="J30" i="9" s="1"/>
  <c r="K151" i="1"/>
  <c r="L52" i="1" l="1"/>
  <c r="L99" i="1" s="1"/>
  <c r="L101" i="1" s="1"/>
  <c r="N20" i="9"/>
  <c r="N22" i="9" s="1"/>
  <c r="S27" i="14"/>
  <c r="K48" i="3"/>
  <c r="K134" i="1"/>
  <c r="M52" i="1" l="1"/>
  <c r="N52" i="1" s="1"/>
  <c r="N99" i="1" s="1"/>
  <c r="N101" i="1" s="1"/>
  <c r="AD33" i="10"/>
  <c r="L182" i="1"/>
  <c r="L102" i="1"/>
  <c r="L108" i="1" s="1"/>
  <c r="L159" i="1"/>
  <c r="L130" i="1"/>
  <c r="L111" i="1"/>
  <c r="L181" i="1"/>
  <c r="K153" i="1"/>
  <c r="M99" i="1" l="1"/>
  <c r="M101" i="1" s="1"/>
  <c r="L183" i="1"/>
  <c r="M35" i="14" s="1"/>
  <c r="L112" i="1"/>
  <c r="L116" i="1"/>
  <c r="L174" i="1"/>
  <c r="L175" i="1" s="1"/>
  <c r="M34" i="14" s="1"/>
  <c r="L168" i="1"/>
  <c r="L148" i="1"/>
  <c r="L115" i="1"/>
  <c r="L109" i="1"/>
  <c r="AG75" i="10"/>
  <c r="AE69" i="10"/>
  <c r="AG98" i="10" s="1"/>
  <c r="U41" i="5" s="1"/>
  <c r="AE33" i="10"/>
  <c r="M182" i="1"/>
  <c r="M102" i="1"/>
  <c r="M108" i="1" s="1"/>
  <c r="M130" i="1"/>
  <c r="M174" i="1" s="1"/>
  <c r="M175" i="1" s="1"/>
  <c r="N34" i="14" s="1"/>
  <c r="M159" i="1"/>
  <c r="M168" i="1" s="1"/>
  <c r="M181" i="1"/>
  <c r="M111" i="1"/>
  <c r="AF33" i="10"/>
  <c r="N181" i="1"/>
  <c r="N130" i="1"/>
  <c r="N174" i="1" s="1"/>
  <c r="N175" i="1" s="1"/>
  <c r="O34" i="14" s="1"/>
  <c r="N111" i="1"/>
  <c r="N102" i="1"/>
  <c r="N108" i="1" s="1"/>
  <c r="N182" i="1"/>
  <c r="N159" i="1"/>
  <c r="N168" i="1" s="1"/>
  <c r="O52" i="1"/>
  <c r="M183" i="1" l="1"/>
  <c r="N35" i="14" s="1"/>
  <c r="AF69" i="10"/>
  <c r="AG102" i="10" s="1"/>
  <c r="AG79" i="10"/>
  <c r="N115" i="1"/>
  <c r="N109" i="1"/>
  <c r="N116" i="1"/>
  <c r="N112" i="1"/>
  <c r="U22" i="5"/>
  <c r="K57" i="14"/>
  <c r="N183" i="1"/>
  <c r="O35" i="14" s="1"/>
  <c r="S35" i="14" s="1"/>
  <c r="M148" i="1"/>
  <c r="L149" i="1"/>
  <c r="AG69" i="10"/>
  <c r="AG83" i="10"/>
  <c r="M112" i="1"/>
  <c r="M116" i="1"/>
  <c r="M33" i="14"/>
  <c r="L187" i="1"/>
  <c r="L189" i="1" s="1"/>
  <c r="O33" i="14"/>
  <c r="S33" i="14" s="1"/>
  <c r="N33" i="14"/>
  <c r="M187" i="1"/>
  <c r="O99" i="1"/>
  <c r="O101" i="1" s="1"/>
  <c r="P52" i="1"/>
  <c r="P99" i="1" s="1"/>
  <c r="P101" i="1" s="1"/>
  <c r="M115" i="1"/>
  <c r="M109" i="1"/>
  <c r="W107" i="13" l="1"/>
  <c r="X107" i="13" s="1"/>
  <c r="V41" i="5"/>
  <c r="L57" i="14" s="1"/>
  <c r="P159" i="1"/>
  <c r="P130" i="1"/>
  <c r="P181" i="1"/>
  <c r="P182" i="1"/>
  <c r="N187" i="1"/>
  <c r="P102" i="1"/>
  <c r="P108" i="1" s="1"/>
  <c r="P111" i="1"/>
  <c r="L151" i="1"/>
  <c r="L117" i="1"/>
  <c r="K30" i="9" s="1"/>
  <c r="N148" i="1"/>
  <c r="M149" i="1"/>
  <c r="M188" i="1"/>
  <c r="M189" i="1" s="1"/>
  <c r="L124" i="1"/>
  <c r="O182" i="1"/>
  <c r="O181" i="1"/>
  <c r="O102" i="1"/>
  <c r="O108" i="1" s="1"/>
  <c r="O111" i="1"/>
  <c r="O130" i="1"/>
  <c r="O174" i="1" s="1"/>
  <c r="O175" i="1" s="1"/>
  <c r="P34" i="14" s="1"/>
  <c r="O159" i="1"/>
  <c r="O168" i="1" s="1"/>
  <c r="V22" i="5"/>
  <c r="H12" i="6" s="1" a="1"/>
  <c r="S37" i="14"/>
  <c r="P183" i="1" l="1"/>
  <c r="P174" i="1"/>
  <c r="P175" i="1" s="1"/>
  <c r="P168" i="1"/>
  <c r="M124" i="1"/>
  <c r="N188" i="1"/>
  <c r="N189" i="1" s="1"/>
  <c r="L127" i="1"/>
  <c r="K28" i="9"/>
  <c r="M117" i="1"/>
  <c r="L30" i="9" s="1"/>
  <c r="M151" i="1"/>
  <c r="K36" i="6"/>
  <c r="K14" i="6" s="1"/>
  <c r="L40" i="6"/>
  <c r="L18" i="6" s="1"/>
  <c r="J42" i="6"/>
  <c r="J20" i="6" s="1"/>
  <c r="K42" i="6"/>
  <c r="K20" i="6" s="1"/>
  <c r="J36" i="6"/>
  <c r="J14" i="6" s="1"/>
  <c r="J40" i="6"/>
  <c r="J18" i="6" s="1"/>
  <c r="J41" i="6"/>
  <c r="J19" i="6" s="1"/>
  <c r="I42" i="6"/>
  <c r="I20" i="6" s="1"/>
  <c r="K42" i="7" s="1"/>
  <c r="L42" i="6"/>
  <c r="L20" i="6" s="1"/>
  <c r="K39" i="6"/>
  <c r="K17" i="6" s="1"/>
  <c r="L38" i="6"/>
  <c r="L16" i="6" s="1"/>
  <c r="K37" i="6"/>
  <c r="K15" i="6" s="1"/>
  <c r="L36" i="6"/>
  <c r="L14" i="6" s="1"/>
  <c r="I40" i="6"/>
  <c r="I18" i="6" s="1"/>
  <c r="K44" i="7" s="1"/>
  <c r="L37" i="6"/>
  <c r="L15" i="6" s="1"/>
  <c r="J35" i="6"/>
  <c r="J13" i="6" s="1"/>
  <c r="M42" i="6"/>
  <c r="M20" i="6" s="1"/>
  <c r="L39" i="6"/>
  <c r="L17" i="6" s="1"/>
  <c r="K35" i="6"/>
  <c r="K13" i="6" s="1"/>
  <c r="L35" i="6"/>
  <c r="L13" i="6" s="1"/>
  <c r="J37" i="6"/>
  <c r="J15" i="6" s="1"/>
  <c r="H12" i="6"/>
  <c r="K41" i="6"/>
  <c r="K19" i="6" s="1"/>
  <c r="M36" i="6"/>
  <c r="M14" i="6" s="1"/>
  <c r="M37" i="6"/>
  <c r="M15" i="6" s="1"/>
  <c r="M35" i="6"/>
  <c r="M13" i="6" s="1"/>
  <c r="K38" i="6"/>
  <c r="K16" i="6" s="1"/>
  <c r="I38" i="6"/>
  <c r="I16" i="6" s="1"/>
  <c r="K46" i="7" s="1"/>
  <c r="M40" i="6"/>
  <c r="M18" i="6" s="1"/>
  <c r="K40" i="6"/>
  <c r="K18" i="6" s="1"/>
  <c r="L41" i="6"/>
  <c r="L19" i="6" s="1"/>
  <c r="I41" i="6"/>
  <c r="I19" i="6" s="1"/>
  <c r="K43" i="7" s="1"/>
  <c r="J39" i="6"/>
  <c r="J17" i="6" s="1"/>
  <c r="I36" i="6"/>
  <c r="I14" i="6" s="1"/>
  <c r="K48" i="7" s="1"/>
  <c r="M39" i="6"/>
  <c r="M17" i="6" s="1"/>
  <c r="M38" i="6"/>
  <c r="M16" i="6" s="1"/>
  <c r="I39" i="6"/>
  <c r="I17" i="6" s="1"/>
  <c r="K45" i="7" s="1"/>
  <c r="I35" i="6"/>
  <c r="I13" i="6" s="1"/>
  <c r="K49" i="7" s="1"/>
  <c r="J38" i="6"/>
  <c r="J16" i="6" s="1"/>
  <c r="I37" i="6"/>
  <c r="I15" i="6" s="1"/>
  <c r="M41" i="6"/>
  <c r="M19" i="6" s="1"/>
  <c r="O148" i="1"/>
  <c r="O149" i="1" s="1"/>
  <c r="N149" i="1"/>
  <c r="P33" i="14"/>
  <c r="R5" i="13" a="1"/>
  <c r="O116" i="1"/>
  <c r="O112" i="1"/>
  <c r="S5" i="13" s="1" a="1"/>
  <c r="P109" i="1"/>
  <c r="P115" i="1"/>
  <c r="O115" i="1"/>
  <c r="O109" i="1"/>
  <c r="P116" i="1"/>
  <c r="P112" i="1"/>
  <c r="O183" i="1"/>
  <c r="P35" i="14" s="1"/>
  <c r="P187" i="1" l="1"/>
  <c r="M44" i="7"/>
  <c r="N48" i="7"/>
  <c r="L44" i="7"/>
  <c r="N46" i="7"/>
  <c r="O44" i="7"/>
  <c r="O46" i="7"/>
  <c r="O48" i="7"/>
  <c r="N49" i="7"/>
  <c r="P148" i="1"/>
  <c r="P149" i="1" s="1"/>
  <c r="O43" i="7"/>
  <c r="M43" i="7"/>
  <c r="N45" i="7"/>
  <c r="O42" i="7"/>
  <c r="L46" i="7"/>
  <c r="K47" i="7"/>
  <c r="K40" i="7"/>
  <c r="L49" i="7"/>
  <c r="M42" i="7"/>
  <c r="L48" i="7"/>
  <c r="M46" i="7"/>
  <c r="L42" i="7"/>
  <c r="O49" i="7"/>
  <c r="N44" i="7"/>
  <c r="M48" i="7"/>
  <c r="O151" i="1"/>
  <c r="O117" i="1"/>
  <c r="N30" i="9" s="1"/>
  <c r="S5" i="13"/>
  <c r="S6" i="13"/>
  <c r="S8" i="13"/>
  <c r="S9" i="13"/>
  <c r="S20" i="13" s="1"/>
  <c r="S7" i="13"/>
  <c r="S12" i="13"/>
  <c r="S23" i="13" s="1"/>
  <c r="S13" i="13"/>
  <c r="S11" i="13"/>
  <c r="S22" i="13" s="1"/>
  <c r="S10" i="13"/>
  <c r="S21" i="13" s="1"/>
  <c r="S14" i="13"/>
  <c r="O45" i="7"/>
  <c r="R5" i="13"/>
  <c r="R12" i="13"/>
  <c r="R23" i="13" s="1"/>
  <c r="R14" i="13"/>
  <c r="R6" i="13"/>
  <c r="R10" i="13"/>
  <c r="R21" i="13" s="1"/>
  <c r="R11" i="13"/>
  <c r="R22" i="13" s="1"/>
  <c r="R9" i="13"/>
  <c r="R20" i="13" s="1"/>
  <c r="R8" i="13"/>
  <c r="R13" i="13"/>
  <c r="R7" i="13"/>
  <c r="L34" i="6"/>
  <c r="L12" i="6" s="1"/>
  <c r="I34" i="6"/>
  <c r="K34" i="6"/>
  <c r="K12" i="6" s="1"/>
  <c r="M34" i="6"/>
  <c r="M12" i="6" s="1"/>
  <c r="J34" i="6"/>
  <c r="J12" i="6" s="1"/>
  <c r="M45" i="7"/>
  <c r="O187" i="1"/>
  <c r="L45" i="7"/>
  <c r="N42" i="7"/>
  <c r="L48" i="3"/>
  <c r="L134" i="1"/>
  <c r="L153" i="1" s="1"/>
  <c r="N124" i="1"/>
  <c r="O188" i="1"/>
  <c r="N151" i="1"/>
  <c r="N117" i="1"/>
  <c r="M30" i="9" s="1"/>
  <c r="N43" i="7"/>
  <c r="M49" i="7"/>
  <c r="L43" i="7"/>
  <c r="M127" i="1"/>
  <c r="L28" i="9"/>
  <c r="L47" i="7" l="1"/>
  <c r="N47" i="7"/>
  <c r="L40" i="7"/>
  <c r="O47" i="7"/>
  <c r="N40" i="7"/>
  <c r="P117" i="1"/>
  <c r="O30" i="9" s="1"/>
  <c r="P151" i="1"/>
  <c r="O189" i="1"/>
  <c r="M47" i="7"/>
  <c r="E32" i="6"/>
  <c r="E40" i="6" s="1"/>
  <c r="E44" i="6" s="1"/>
  <c r="E45" i="6" s="1"/>
  <c r="I12" i="6"/>
  <c r="S39" i="14"/>
  <c r="N127" i="1"/>
  <c r="M28" i="9"/>
  <c r="M40" i="7"/>
  <c r="M134" i="1"/>
  <c r="M153" i="1" s="1"/>
  <c r="M48" i="3"/>
  <c r="O40" i="7"/>
  <c r="O50" i="7" l="1"/>
  <c r="M50" i="7"/>
  <c r="O41" i="7"/>
  <c r="M41" i="7"/>
  <c r="O124" i="1"/>
  <c r="N28" i="9" s="1"/>
  <c r="P188" i="1"/>
  <c r="P189" i="1" s="1"/>
  <c r="P124" i="1" s="1"/>
  <c r="N134" i="1"/>
  <c r="N153" i="1" s="1"/>
  <c r="N48" i="3"/>
  <c r="K50" i="7"/>
  <c r="K41" i="7"/>
  <c r="N41" i="7"/>
  <c r="N50" i="7"/>
  <c r="O127" i="1" l="1"/>
  <c r="O134" i="1" s="1"/>
  <c r="O153" i="1" s="1"/>
  <c r="P127" i="1"/>
  <c r="O28" i="9"/>
  <c r="L50" i="7"/>
  <c r="L41" i="7"/>
  <c r="O48" i="3" l="1"/>
  <c r="P134" i="1"/>
  <c r="P153" i="1" s="1"/>
  <c r="P48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BIWS</author>
  </authors>
  <commentList>
    <comment ref="V363" authorId="0" shapeId="0" xr:uid="{9F88C812-3488-4D09-A0CA-610F213E3D03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This should really be 2019-06-05 - fix for graph label.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glenn Rentrop</author>
  </authors>
  <commentList>
    <comment ref="D14" authorId="0" shapeId="0" xr:uid="{89419BE6-5994-49CD-B0C2-0DCE3A5284D4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Deal scrapped due to lack of Chinese regulatory approval 
</t>
        </r>
      </text>
    </comment>
    <comment ref="N14" authorId="0" shapeId="0" xr:uid="{18D85B8A-1953-47B5-BED9-2014BBCAE860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Likely not useful as market was pricing in possibility of transaction failing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<sst xmlns="http://schemas.openxmlformats.org/spreadsheetml/2006/main" count="1064" uniqueCount="504">
  <si>
    <t>Projected</t>
  </si>
  <si>
    <t>Company Name:</t>
  </si>
  <si>
    <t>Name</t>
  </si>
  <si>
    <t>Ticker:</t>
  </si>
  <si>
    <t>Current Share Price:</t>
  </si>
  <si>
    <t>$ / Share</t>
  </si>
  <si>
    <t>Diluted Shares Outstanding:</t>
  </si>
  <si>
    <t>M Shares</t>
  </si>
  <si>
    <t>Effective Tax Rate:</t>
  </si>
  <si>
    <t>%</t>
  </si>
  <si>
    <t>Discount Rate (WACC):</t>
  </si>
  <si>
    <t>Conversion Units:</t>
  </si>
  <si>
    <t>#</t>
  </si>
  <si>
    <t>Last Fiscal Year:</t>
  </si>
  <si>
    <t>Model Drivers and Assumptions</t>
  </si>
  <si>
    <t>Units:</t>
  </si>
  <si>
    <t>Income Statement:</t>
  </si>
  <si>
    <t>Revenue:</t>
  </si>
  <si>
    <t>Balance Sheet:</t>
  </si>
  <si>
    <t>Cash Flow Statement:</t>
  </si>
  <si>
    <t>Gross Profit:</t>
  </si>
  <si>
    <t>General and administrative</t>
  </si>
  <si>
    <t>Assets:</t>
  </si>
  <si>
    <t>Goodwill:</t>
  </si>
  <si>
    <t xml:space="preserve">Total Assets: </t>
  </si>
  <si>
    <t>Liabilities &amp; Equity:</t>
  </si>
  <si>
    <t>Total Liabilities:</t>
  </si>
  <si>
    <t xml:space="preserve">Stockholder's Equity: </t>
  </si>
  <si>
    <t>Liabilities and Equity:</t>
  </si>
  <si>
    <t>Balance Check:</t>
  </si>
  <si>
    <t>Cash Flow From Operations:</t>
  </si>
  <si>
    <t>Net Income:</t>
  </si>
  <si>
    <t xml:space="preserve">Cash Flow From Operations: </t>
  </si>
  <si>
    <t>Cash Flow From Investing:</t>
  </si>
  <si>
    <t>Cash Flow From Financing:</t>
  </si>
  <si>
    <t>Net Change in Cash:</t>
  </si>
  <si>
    <t>Beginning Cash:</t>
  </si>
  <si>
    <t>Ending Cash:</t>
  </si>
  <si>
    <t>Semiconductor Systems</t>
  </si>
  <si>
    <t>Applied Global Services</t>
  </si>
  <si>
    <t>Display and Adjacent Markets</t>
  </si>
  <si>
    <t>Corporate and Other</t>
  </si>
  <si>
    <t>Net Income</t>
  </si>
  <si>
    <t>Diluted</t>
  </si>
  <si>
    <t>Severance and related charges</t>
  </si>
  <si>
    <t>Other</t>
  </si>
  <si>
    <t>Adjustments required to reconcile net income to cash provided by operating activities:</t>
  </si>
  <si>
    <t>Applied Materials</t>
  </si>
  <si>
    <t>AMAT</t>
  </si>
  <si>
    <t>Revenue Growth:</t>
  </si>
  <si>
    <t>Cost of Products Sold:</t>
  </si>
  <si>
    <t>EBIT:</t>
  </si>
  <si>
    <t>Current:</t>
  </si>
  <si>
    <t>Non-Current:</t>
  </si>
  <si>
    <t>$M</t>
  </si>
  <si>
    <r>
      <rPr>
        <b/>
        <i/>
        <sz val="12"/>
        <color theme="1"/>
        <rFont val="Aptos Narrow"/>
        <family val="2"/>
        <scheme val="minor"/>
      </rPr>
      <t>$M</t>
    </r>
  </si>
  <si>
    <t>Depreciation and amortization:</t>
  </si>
  <si>
    <t>Deferred income taxes:</t>
  </si>
  <si>
    <t>Accounts receivable:</t>
  </si>
  <si>
    <t>Inventories:</t>
  </si>
  <si>
    <t>Income taxes payable:</t>
  </si>
  <si>
    <t>Cash Flows From Financing Activities:</t>
  </si>
  <si>
    <t>Debt borrowings, net of issuance costs:</t>
  </si>
  <si>
    <t>Debt repayments:</t>
  </si>
  <si>
    <t>Common stock repurchases:</t>
  </si>
  <si>
    <t>Payments of dividends to stockholders:</t>
  </si>
  <si>
    <t>Capital expenditures:</t>
  </si>
  <si>
    <t>Cash paid for acquisitions, net of cash acquired:</t>
  </si>
  <si>
    <t>Purchases of investments:</t>
  </si>
  <si>
    <t>Interest Expense:</t>
  </si>
  <si>
    <t>Interest and Other Income, Net:</t>
  </si>
  <si>
    <t>Provision for Income Taxes:</t>
  </si>
  <si>
    <t>Change in Unrealized Gain (Loss) on Available-for-Sale Investments:</t>
  </si>
  <si>
    <t>Change in Unrealized Net Loss on Derivative Instruments:</t>
  </si>
  <si>
    <t>Change in Defined and Postretirement Benefit Plans:</t>
  </si>
  <si>
    <t>Change in Cumulative Translation Adjustments:</t>
  </si>
  <si>
    <t>Comprehensive Income:</t>
  </si>
  <si>
    <t>Cash and Cash Equivalents:</t>
  </si>
  <si>
    <t>Accounts Receivable, Net:</t>
  </si>
  <si>
    <t>Total Current Assets:</t>
  </si>
  <si>
    <t>Long-term Investments:</t>
  </si>
  <si>
    <t>Property, Plant and Equipment, Net:</t>
  </si>
  <si>
    <t>Purchased Technology and Other Intangible Assets, Net:</t>
  </si>
  <si>
    <t>Deferred Income Taxes and Other Assets:</t>
  </si>
  <si>
    <t>Total Current Liabilities:</t>
  </si>
  <si>
    <t>Long-term Debt:</t>
  </si>
  <si>
    <t>Income Taxes Payable:</t>
  </si>
  <si>
    <t>Growth:</t>
  </si>
  <si>
    <t>Research, development and engineering</t>
  </si>
  <si>
    <t>Marketing and selling</t>
  </si>
  <si>
    <t>Deal termination fee</t>
  </si>
  <si>
    <t>Total Operating Expenses:</t>
  </si>
  <si>
    <t>Segment</t>
  </si>
  <si>
    <t>% Sales Growth:</t>
  </si>
  <si>
    <t>Total Revenue:</t>
  </si>
  <si>
    <t>Cost of Products Sold % Revenue:</t>
  </si>
  <si>
    <t>EBITDA:</t>
  </si>
  <si>
    <t>EBITDA Margin:</t>
  </si>
  <si>
    <t>Debt / EBITDA:</t>
  </si>
  <si>
    <t>Debt / Total Capital:</t>
  </si>
  <si>
    <t>Research, development and engineering % Revenue:</t>
  </si>
  <si>
    <t>Marketing and selling % Revenue:</t>
  </si>
  <si>
    <t>General and administrative % Revenue:</t>
  </si>
  <si>
    <t># x</t>
  </si>
  <si>
    <t>Provision for Income Taxes % EBIT:</t>
  </si>
  <si>
    <t>Interest and Other Income, Net % EBIT:</t>
  </si>
  <si>
    <t xml:space="preserve">Day Sales Outstanding: </t>
  </si>
  <si>
    <t>Day Inventories Outstanding:</t>
  </si>
  <si>
    <t>Accounts Payable</t>
  </si>
  <si>
    <t>Day Payables Outstanding:</t>
  </si>
  <si>
    <t>Accounts payable:</t>
  </si>
  <si>
    <t>Other % OpEx:</t>
  </si>
  <si>
    <t>Deferred Income Taxes and Other Assets % Revenue:</t>
  </si>
  <si>
    <t>Payments of dividends to stockholders % Net Income:</t>
  </si>
  <si>
    <t>Liabilities:</t>
  </si>
  <si>
    <t>Common stock repurchases % Net Income:</t>
  </si>
  <si>
    <t>Income Taxes Payable % EBIT:</t>
  </si>
  <si>
    <t>Unlevered Free Cash Flow Projections:</t>
  </si>
  <si>
    <t>Operating Expenses:</t>
  </si>
  <si>
    <t>Operating Income (EBIT):</t>
  </si>
  <si>
    <t>(-) Taxes, Excluding Effect of Interest:</t>
  </si>
  <si>
    <t>Net Operating Profit After Taxes (NOPAT):</t>
  </si>
  <si>
    <t>Adjustments for Non-Cash Charges:</t>
  </si>
  <si>
    <t>Deferred Income Taxes:</t>
  </si>
  <si>
    <t>Net Change in Working Capital:</t>
  </si>
  <si>
    <t>% Change:</t>
  </si>
  <si>
    <t>Discount Rate Calculations - Assumptions:</t>
  </si>
  <si>
    <t>Risk-Free Rate:</t>
  </si>
  <si>
    <t>Equity Risk Premium:</t>
  </si>
  <si>
    <t>Pre-Tax Cost of Debt:</t>
  </si>
  <si>
    <t>Cost of Preferred Stock:</t>
  </si>
  <si>
    <t>Comparable Companies - Unlevered Beta Calculation:</t>
  </si>
  <si>
    <t>Levered</t>
  </si>
  <si>
    <t>Preferred</t>
  </si>
  <si>
    <t>Equity</t>
  </si>
  <si>
    <t>Unlevered</t>
  </si>
  <si>
    <t>Ticker</t>
  </si>
  <si>
    <t>Beta</t>
  </si>
  <si>
    <t>Debt</t>
  </si>
  <si>
    <t>% Debt</t>
  </si>
  <si>
    <t>Stock</t>
  </si>
  <si>
    <t>% Preferred</t>
  </si>
  <si>
    <t>Value</t>
  </si>
  <si>
    <t>% Equity</t>
  </si>
  <si>
    <t>Tax Rate</t>
  </si>
  <si>
    <t>Median:</t>
  </si>
  <si>
    <t>Current Capital Structure:</t>
  </si>
  <si>
    <t>"Optimal" Capital Structure:</t>
  </si>
  <si>
    <t>Cost of Equity Based on Comparables, Current Capital Structure:</t>
  </si>
  <si>
    <t>Cost of Equity Based on Comparables, "Optimal" Capital Structure:</t>
  </si>
  <si>
    <t>Cost of Equity Based on Historical Beta:</t>
  </si>
  <si>
    <t>WACC, Current Capital Structure:</t>
  </si>
  <si>
    <t>WACC, "Optimal" Capital Structure:</t>
  </si>
  <si>
    <t>WACC, Current Capital Structure and Historical Cost of Equity:</t>
  </si>
  <si>
    <t>Average WACC Produced by All Methods:</t>
  </si>
  <si>
    <t>Working Capital:</t>
  </si>
  <si>
    <t>change in working capital:</t>
  </si>
  <si>
    <t xml:space="preserve">Capital Expenditures: </t>
  </si>
  <si>
    <t>Unlevered Free Cash Flow:</t>
  </si>
  <si>
    <t>Sensitivity Analyses:</t>
  </si>
  <si>
    <t>Provision For Income Taxes % EBIT</t>
  </si>
  <si>
    <t xml:space="preserve">Discounted Cash Flow - Model Drivers </t>
  </si>
  <si>
    <t>Current Equity Value:</t>
  </si>
  <si>
    <t>(-) Cash &amp; Investments:</t>
  </si>
  <si>
    <t>(-) Net Operating Losses:</t>
  </si>
  <si>
    <t>(+) Debt &amp; Finance Leases:</t>
  </si>
  <si>
    <t>(+) Preferred Stock:</t>
  </si>
  <si>
    <t>(+) Operating Leases:</t>
  </si>
  <si>
    <t>(+) Noncontrolling Interests:</t>
  </si>
  <si>
    <t>(+) Unfunded Pensions:</t>
  </si>
  <si>
    <t>Current Enterprise Value:</t>
  </si>
  <si>
    <t>($ USD in Millions Except Per Share Amounts in USD as Stated)</t>
  </si>
  <si>
    <t>Operating Statistics:</t>
  </si>
  <si>
    <t>Capitalization</t>
  </si>
  <si>
    <t>Share</t>
  </si>
  <si>
    <t>Other &amp;</t>
  </si>
  <si>
    <t>Enterprise</t>
  </si>
  <si>
    <t>Revenue</t>
  </si>
  <si>
    <t>EBITDA</t>
  </si>
  <si>
    <t>EBITDA Margin</t>
  </si>
  <si>
    <t>Company Name</t>
  </si>
  <si>
    <t>Price</t>
  </si>
  <si>
    <t>Shares</t>
  </si>
  <si>
    <t xml:space="preserve">Value </t>
  </si>
  <si>
    <t>Cash</t>
  </si>
  <si>
    <t>NCI</t>
  </si>
  <si>
    <t>LTM</t>
  </si>
  <si>
    <t>Growth</t>
  </si>
  <si>
    <t>Maximum</t>
  </si>
  <si>
    <t>75th Percentile</t>
  </si>
  <si>
    <t>Median</t>
  </si>
  <si>
    <t>25th Percentile</t>
  </si>
  <si>
    <t>Minimum</t>
  </si>
  <si>
    <t>Valuation Statistics:</t>
  </si>
  <si>
    <t>Enterprise Value /</t>
  </si>
  <si>
    <t>P / E Multiple</t>
  </si>
  <si>
    <t>Lam Research Corp.</t>
  </si>
  <si>
    <t>LRCX</t>
  </si>
  <si>
    <t>ASML Holding, N.V.</t>
  </si>
  <si>
    <t>ASML</t>
  </si>
  <si>
    <t>Discounted Cash Flow  - Assumptions and Output</t>
  </si>
  <si>
    <t>Applied Materials: AMAT - Three Statement Model and Assumptions</t>
  </si>
  <si>
    <t>Comparable Companies - Semiconductor Manufacturing Equipment Provisions and Servicing</t>
  </si>
  <si>
    <t>Terminal Value - Multiples Method:</t>
  </si>
  <si>
    <t>Terminal Value - Perpetuity Growth Method:</t>
  </si>
  <si>
    <t>Expected Long-Term GDP Growth:</t>
  </si>
  <si>
    <t>Baseline Terminal EBITDA Multiple:</t>
  </si>
  <si>
    <t>Baseline Terminal FCF Growth Rate:</t>
  </si>
  <si>
    <t>Baseline Terminal Value:</t>
  </si>
  <si>
    <t>Implied Terminal FCF Growth Rate:</t>
  </si>
  <si>
    <t>Implied Terminal EBITDA Multiple:</t>
  </si>
  <si>
    <t xml:space="preserve">(+) Present Value of Terminal Value: </t>
  </si>
  <si>
    <t>(+) Present Value of UFCF:</t>
  </si>
  <si>
    <t xml:space="preserve">Implied Enterprise Value: </t>
  </si>
  <si>
    <t>% of implied TEV from Terminal Value:</t>
  </si>
  <si>
    <t>(+) Cash and Investments:</t>
  </si>
  <si>
    <t>(+) Net Operating Losses:</t>
  </si>
  <si>
    <t>(-)Debt and Finance Leases:</t>
  </si>
  <si>
    <t>(-)Preferred Stock:</t>
  </si>
  <si>
    <t>(-) Operating Leases:</t>
  </si>
  <si>
    <t>(-) Noncontrolling Interests:</t>
  </si>
  <si>
    <t>(-)Unfunded Pensions:</t>
  </si>
  <si>
    <t xml:space="preserve">Implied Equity Value: </t>
  </si>
  <si>
    <t>Implied Share Price from DCF:</t>
  </si>
  <si>
    <t>Premium / (Discount) to Current:</t>
  </si>
  <si>
    <t>TEV / EBITDA Multiple:</t>
  </si>
  <si>
    <t>Discount Rate: (WACC)</t>
  </si>
  <si>
    <t xml:space="preserve">Terminal FCF Growth Rates: </t>
  </si>
  <si>
    <t>75th</t>
  </si>
  <si>
    <t>25th</t>
  </si>
  <si>
    <t>Applicable</t>
  </si>
  <si>
    <t>Percentile</t>
  </si>
  <si>
    <t>Company</t>
  </si>
  <si>
    <t>Methodology Name</t>
  </si>
  <si>
    <t>Multiple</t>
  </si>
  <si>
    <t>Figure</t>
  </si>
  <si>
    <t>Public Company Comparables:</t>
  </si>
  <si>
    <t>LTM TEV / Revenue:</t>
  </si>
  <si>
    <t>LTM TEV / EBITDA:</t>
  </si>
  <si>
    <t>LTM P / E:</t>
  </si>
  <si>
    <t>Precedent Transactions:</t>
  </si>
  <si>
    <t>Discounted Cash Flow Analysis:</t>
  </si>
  <si>
    <t>Implied Enterprise Value:</t>
  </si>
  <si>
    <t>Implied Enterprise Value or Equity Value at a Range of Multiples:</t>
  </si>
  <si>
    <t>Enterprise Value --&gt;</t>
  </si>
  <si>
    <t>Equity Value --&gt;</t>
  </si>
  <si>
    <t>CY 22 P / E:</t>
  </si>
  <si>
    <t>CY 21 P / E:</t>
  </si>
  <si>
    <t>CY 22 TEV / EBITDA:</t>
  </si>
  <si>
    <t>CY 21 TEV / EBITDA:</t>
  </si>
  <si>
    <t>CY 22 TEV / Revenue:</t>
  </si>
  <si>
    <t>CY 21 TEV / Revenue:</t>
  </si>
  <si>
    <t>Current Share Price</t>
  </si>
  <si>
    <t>Min.</t>
  </si>
  <si>
    <t>Max</t>
  </si>
  <si>
    <t>Min Point</t>
  </si>
  <si>
    <t>25th Point</t>
  </si>
  <si>
    <t>Median Point</t>
  </si>
  <si>
    <t>75th Point</t>
  </si>
  <si>
    <t>Max Point</t>
  </si>
  <si>
    <t>DCF Output:</t>
  </si>
  <si>
    <t>Comparable Public Companies:</t>
  </si>
  <si>
    <t>D&amp;A of Existing Net PP&amp;E and Intangibles:</t>
  </si>
  <si>
    <t>D&amp;A of NEW CapEx &amp; Intangible Purchases:</t>
  </si>
  <si>
    <t>D&amp;A - Year 1 CapEx &amp; Intangible Purchases:</t>
  </si>
  <si>
    <t>Total Depreciation &amp; Amortisation:</t>
  </si>
  <si>
    <t>Debt Schedule:</t>
  </si>
  <si>
    <t>CapEx:</t>
  </si>
  <si>
    <t>Purchased Technology and Other Intangible Assets, Net % Revenue:</t>
  </si>
  <si>
    <t>Cash:</t>
  </si>
  <si>
    <t>Cash - Interest:</t>
  </si>
  <si>
    <t>Cash - Interest Income:</t>
  </si>
  <si>
    <t>Benchmark Interest Rate:</t>
  </si>
  <si>
    <t>Bonds &amp; Senior Notes:</t>
  </si>
  <si>
    <t>% Principal:</t>
  </si>
  <si>
    <t>Debt Repayments (Maturities):</t>
  </si>
  <si>
    <t>Debt Borrowings (Issuances):</t>
  </si>
  <si>
    <t>Senior Notes - Beginning:</t>
  </si>
  <si>
    <t>Senior Notes - Interest:</t>
  </si>
  <si>
    <t>Senior Notes - Issuance Cost:</t>
  </si>
  <si>
    <t>Discount:</t>
  </si>
  <si>
    <t>Senior Notes - Ending</t>
  </si>
  <si>
    <t>Long Term Debt:</t>
  </si>
  <si>
    <t xml:space="preserve">Current Portion: </t>
  </si>
  <si>
    <t>Total Long Term Debt:</t>
  </si>
  <si>
    <t>% Ending Balance:</t>
  </si>
  <si>
    <t>Target Structure:</t>
  </si>
  <si>
    <t>Additional Debt Issuances / Repayments:</t>
  </si>
  <si>
    <t>D&amp;A - Existing PP&amp;E and Intangibles, Net:</t>
  </si>
  <si>
    <t>CapEx % OpEx:</t>
  </si>
  <si>
    <t>Change:</t>
  </si>
  <si>
    <t>D&amp;A - Year 2 CapEx &amp; Intangible Purchases:</t>
  </si>
  <si>
    <t>D&amp;A - Year 3 CapEx &amp; Intangible Purchases:</t>
  </si>
  <si>
    <t>D&amp;A - Year 4 CapEx &amp; Intangible Purchases:</t>
  </si>
  <si>
    <t>D&amp;A - Year 5 CapEx &amp; Intangible Purchases:</t>
  </si>
  <si>
    <t>Depreciation &amp; CapEx:</t>
  </si>
  <si>
    <t>Total CapEx:</t>
  </si>
  <si>
    <t>Long-term Investments % Net Income:</t>
  </si>
  <si>
    <t>Property, Plant and Equipment &amp; Intangibles:</t>
  </si>
  <si>
    <t>Common Stock, APIC, Retained Earnings, Treasury Stock:</t>
  </si>
  <si>
    <t>$M/OK!</t>
  </si>
  <si>
    <t>Calendarization:</t>
  </si>
  <si>
    <t>Old Partial</t>
  </si>
  <si>
    <t>New Partial</t>
  </si>
  <si>
    <t>FY</t>
  </si>
  <si>
    <t>LTM Revenue:</t>
  </si>
  <si>
    <t>LTM Reported Net Income:</t>
  </si>
  <si>
    <t>LTM Operating Income (EBIT):</t>
  </si>
  <si>
    <t>(+) Non-Recurring Items in EBIT:</t>
  </si>
  <si>
    <t>(+) Depreciation &amp; Amortization:</t>
  </si>
  <si>
    <t>LTM EBITDA:</t>
  </si>
  <si>
    <t>Balance Sheet Data:</t>
  </si>
  <si>
    <t>(-) Cash &amp; Cash-Equivalents:</t>
  </si>
  <si>
    <t>(-) Equity Investments:</t>
  </si>
  <si>
    <t>(-) Other Non-Core Assets, Net:</t>
  </si>
  <si>
    <t>(+) Debt &amp; Capital Leases:</t>
  </si>
  <si>
    <t>(+) Unfunded Pension Obligations:</t>
  </si>
  <si>
    <t>(+) Restructuring &amp; Other Liabilities:</t>
  </si>
  <si>
    <t>Projected Financials:</t>
  </si>
  <si>
    <t>Reported Net Income:</t>
  </si>
  <si>
    <t>Diluted Shares Calculations:</t>
  </si>
  <si>
    <t>Share Price:</t>
  </si>
  <si>
    <t>Common Shares Outstanding:</t>
  </si>
  <si>
    <t>Options and Warrants:</t>
  </si>
  <si>
    <t>Total</t>
  </si>
  <si>
    <t>Strike</t>
  </si>
  <si>
    <t>Dilution</t>
  </si>
  <si>
    <t>Convertible Bonds:</t>
  </si>
  <si>
    <t>$ Amount</t>
  </si>
  <si>
    <t>Par Value</t>
  </si>
  <si>
    <t>Conv. Price</t>
  </si>
  <si>
    <t># RSUs</t>
  </si>
  <si>
    <t>Restricted Stock Units (RSUs):</t>
  </si>
  <si>
    <t>Total Diluted Shares:</t>
  </si>
  <si>
    <t>Valuation Metrics:</t>
  </si>
  <si>
    <t>Equity Value:</t>
  </si>
  <si>
    <t>Enterprise Value:</t>
  </si>
  <si>
    <t>Levered Beta:</t>
  </si>
  <si>
    <t>Valuation Multiples:</t>
  </si>
  <si>
    <t>EV / Revenue:</t>
  </si>
  <si>
    <t>EV / EBITDA:</t>
  </si>
  <si>
    <t>P / E:</t>
  </si>
  <si>
    <t>Lookup Variables:</t>
  </si>
  <si>
    <t>Year 1 Projected Revenue Growth:</t>
  </si>
  <si>
    <t>Year 1 Projected EBITDA Growth:</t>
  </si>
  <si>
    <t>LTM EBITDA Margin:</t>
  </si>
  <si>
    <t>Corporate Website:</t>
  </si>
  <si>
    <t>https://www.lamresearch.com/</t>
  </si>
  <si>
    <t>LTM Period:</t>
  </si>
  <si>
    <t>Forward Year 1:</t>
  </si>
  <si>
    <t>Forward Year 2:</t>
  </si>
  <si>
    <t>Forward Year 3:</t>
  </si>
  <si>
    <t>Next Fiscal Year:</t>
  </si>
  <si>
    <t>Most Recent Quarter End Date:</t>
  </si>
  <si>
    <t>Valuation Date:</t>
  </si>
  <si>
    <t>KLAC</t>
  </si>
  <si>
    <t>KLA Corporation</t>
  </si>
  <si>
    <t>https://www.kla.com/company</t>
  </si>
  <si>
    <t>https://www.asml.com/en</t>
  </si>
  <si>
    <t>AVGO</t>
  </si>
  <si>
    <t>Broadcom Inc.</t>
  </si>
  <si>
    <t>https://www.broadcom.com/</t>
  </si>
  <si>
    <t>QCOM</t>
  </si>
  <si>
    <t>Qualcomm Incorporated</t>
  </si>
  <si>
    <t>N/A</t>
  </si>
  <si>
    <t>https://www.qualcomm.com/</t>
  </si>
  <si>
    <t>2025-10-31 Revenue:</t>
  </si>
  <si>
    <t>2025-10-31 EBITDA:</t>
  </si>
  <si>
    <t>2025-10-31 Reported Net Income:</t>
  </si>
  <si>
    <t>2026-10-31 Revenue:</t>
  </si>
  <si>
    <t>2026-10-31 EBITDA:</t>
  </si>
  <si>
    <t>2026-10-31 Reported Net Income:</t>
  </si>
  <si>
    <t>2027-10-31 Revenue:</t>
  </si>
  <si>
    <t>2027-10-31 EBITDA:</t>
  </si>
  <si>
    <t>2027-10-31 Reported Net Income:</t>
  </si>
  <si>
    <t>2025-10-31 EBITDA Margin:</t>
  </si>
  <si>
    <t>2026-10-31 EBITDA Margin:</t>
  </si>
  <si>
    <t>LTM EV / Revenue:</t>
  </si>
  <si>
    <t>LTM EV / EBITDA:</t>
  </si>
  <si>
    <t>2025-10-31 EV / Revenue:</t>
  </si>
  <si>
    <t>2025-10-31 EV / EBITDA:</t>
  </si>
  <si>
    <t>2025-10-31 P / E:</t>
  </si>
  <si>
    <t>2026-10-31 EV / Revenue:</t>
  </si>
  <si>
    <t>2026-10-31 EV / EBITDA:</t>
  </si>
  <si>
    <t>2026-10-31 P / E:</t>
  </si>
  <si>
    <t>Median CY 26 TEV / EBITDA of Comps:</t>
  </si>
  <si>
    <t>Median CY 26 TEV / EBITDA of Target:</t>
  </si>
  <si>
    <t>Operating Metrics</t>
  </si>
  <si>
    <t>Valuation Multiples</t>
  </si>
  <si>
    <t>Share Prices</t>
  </si>
  <si>
    <t>Premiums Paid</t>
  </si>
  <si>
    <t>Transaction</t>
  </si>
  <si>
    <t xml:space="preserve">EV / </t>
  </si>
  <si>
    <t>Offer</t>
  </si>
  <si>
    <t>1-Day</t>
  </si>
  <si>
    <t>1-Week</t>
  </si>
  <si>
    <t>1-Month</t>
  </si>
  <si>
    <t>Acquirer Name</t>
  </si>
  <si>
    <t>Target Name</t>
  </si>
  <si>
    <t>Date</t>
  </si>
  <si>
    <t>Prior</t>
  </si>
  <si>
    <t>Precedent Transactions - U.S.-Based Semiconductor Manufacturing Equipment Industry with Transaction Enterprise Value Above $1 Billion</t>
  </si>
  <si>
    <t>Orbotech Ltd.</t>
  </si>
  <si>
    <t>Maxim Integrated Products, Inc.</t>
  </si>
  <si>
    <t>Analog Devices, Inc.</t>
  </si>
  <si>
    <t>Xilinx, Inc.</t>
  </si>
  <si>
    <t>Advanced Micro Devices, Inc.</t>
  </si>
  <si>
    <t>Announced Between January 1st, 2019 and November 1st, 2024</t>
  </si>
  <si>
    <t>Tower Semiconductor</t>
  </si>
  <si>
    <t>Intel Corporation</t>
  </si>
  <si>
    <t>Dialog Semiconductor</t>
  </si>
  <si>
    <t>Renesas Electronics Corporation</t>
  </si>
  <si>
    <t>Reported Income Statement and Cash Flow Statement Figures from Q1:</t>
  </si>
  <si>
    <t>Annual Revenue Growth Rate:</t>
  </si>
  <si>
    <t>Annual Operating Margin:</t>
  </si>
  <si>
    <t>Net Operating Profit After Tax (NOPAT):</t>
  </si>
  <si>
    <t>Total Adjustments for Non-Cash Charges:</t>
  </si>
  <si>
    <t>Accounts Receivable:</t>
  </si>
  <si>
    <t>Accounts Payable:</t>
  </si>
  <si>
    <t>Total Net Change in Working Capital:</t>
  </si>
  <si>
    <t>FY24 - Q3</t>
  </si>
  <si>
    <t>FY243- Q3</t>
  </si>
  <si>
    <t>Other Liabilities:</t>
  </si>
  <si>
    <t>Other Operating Activities:</t>
  </si>
  <si>
    <t>Depreciation &amp; Amortization:</t>
  </si>
  <si>
    <t>Taxes, Excluding Effect of Interest:</t>
  </si>
  <si>
    <t>Q3 Unlevered Free Cash Flow:</t>
  </si>
  <si>
    <t>Capital Expenditures and Acquisitions:</t>
  </si>
  <si>
    <t>Year</t>
  </si>
  <si>
    <t>Current Region Selected:</t>
  </si>
  <si>
    <t>Status:</t>
  </si>
  <si>
    <t>Supporting Data (Sorted by revenue in ascending order):</t>
  </si>
  <si>
    <t>Rev. Multiples:</t>
  </si>
  <si>
    <t>EBITDA Multiples:</t>
  </si>
  <si>
    <t>Data for Graphs (Sorted by revenue growth in ascending order):</t>
  </si>
  <si>
    <t>EBITDA Growth:</t>
  </si>
  <si>
    <t>Year 2 Rev. Multiple:</t>
  </si>
  <si>
    <t>Year 2 EBITDA Multiple:</t>
  </si>
  <si>
    <t>Helper</t>
  </si>
  <si>
    <t>Share Price</t>
  </si>
  <si>
    <t>Volume</t>
  </si>
  <si>
    <t>Summary of Operational Performance:</t>
  </si>
  <si>
    <t>CAGR:</t>
  </si>
  <si>
    <t>Segment-Level Statistics:</t>
  </si>
  <si>
    <t>$ M</t>
  </si>
  <si>
    <t>% Revenue:</t>
  </si>
  <si>
    <t>Company-Wide:</t>
  </si>
  <si>
    <t>$ as Stated</t>
  </si>
  <si>
    <t>Summary of Valuation Multiples:</t>
  </si>
  <si>
    <t>EV / Revenue - Comparables:</t>
  </si>
  <si>
    <t>x</t>
  </si>
  <si>
    <t>Projected Revenue Growth - Comparables:</t>
  </si>
  <si>
    <t>EV / EBITDA - Comparables:</t>
  </si>
  <si>
    <t>Projected EBITDA Growth - Comparables:</t>
  </si>
  <si>
    <t>P / E - Comparables:</t>
  </si>
  <si>
    <t>Profit Margin:</t>
  </si>
  <si>
    <t>Basic Shares Outstanding:</t>
  </si>
  <si>
    <t>Basic Earnings per Share (EPS):</t>
  </si>
  <si>
    <t># Millions</t>
  </si>
  <si>
    <t>Model Name:</t>
  </si>
  <si>
    <t>Operating Model and Valuation (5-Year Forecast)</t>
  </si>
  <si>
    <t>Author:</t>
  </si>
  <si>
    <t>File Name:</t>
  </si>
  <si>
    <t>Analysis Date:</t>
  </si>
  <si>
    <t>Navigation, Summary, or Graph Worksheet:</t>
  </si>
  <si>
    <t>Financial Model Worksheet:</t>
  </si>
  <si>
    <t>Data and Back-End Calculation Worksheet:</t>
  </si>
  <si>
    <t>Sheet Name</t>
  </si>
  <si>
    <t>Link to Sheet</t>
  </si>
  <si>
    <t>Model and Valuation Summary</t>
  </si>
  <si>
    <t>Summary</t>
  </si>
  <si>
    <t>Graphs and Dashboard</t>
  </si>
  <si>
    <t>Graphs</t>
  </si>
  <si>
    <t>Operating Scenarios and 3-Statement Model</t>
  </si>
  <si>
    <t>Stub Period Results from Q1</t>
  </si>
  <si>
    <t>Discounted Cash Flow Analysis and Sensitivities</t>
  </si>
  <si>
    <t>DCF</t>
  </si>
  <si>
    <t>Weighted Average Cost of Capital (WACC) Calculations</t>
  </si>
  <si>
    <t>WACC</t>
  </si>
  <si>
    <t>Valuation Summary - Back-End Calculations</t>
  </si>
  <si>
    <t>ValSum</t>
  </si>
  <si>
    <t>Valuation "Football Field" Chart</t>
  </si>
  <si>
    <t>ValGraph</t>
  </si>
  <si>
    <t>Comparable Public Companies - Output</t>
  </si>
  <si>
    <t>Comparable Public Companies - Data and Calculations</t>
  </si>
  <si>
    <t>Precedent Transactions</t>
  </si>
  <si>
    <t>Model</t>
  </si>
  <si>
    <t>Q3_Results</t>
  </si>
  <si>
    <t>PubComps</t>
  </si>
  <si>
    <t>PubCompsData</t>
  </si>
  <si>
    <t>MAComps</t>
  </si>
  <si>
    <t>Debt, Capex, D&amp;A</t>
  </si>
  <si>
    <t>1-Day Premiums:</t>
  </si>
  <si>
    <t>1-Week Premiums:</t>
  </si>
  <si>
    <t>1-Month Premiums:</t>
  </si>
  <si>
    <t>Historical:</t>
  </si>
  <si>
    <t>Projected:</t>
  </si>
  <si>
    <t>Upside</t>
  </si>
  <si>
    <t>Base</t>
  </si>
  <si>
    <t>Downside</t>
  </si>
  <si>
    <t>Scenario:</t>
  </si>
  <si>
    <t>https://www.appliedmaterials.com/us/en.html</t>
  </si>
  <si>
    <t>Glenn Rentrop</t>
  </si>
  <si>
    <t>(10% - 12% WACC, 4.5% - 7.5% Free Cash Flow Growth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</si>
</sst>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1"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FY&quot;\ yy"/>
    <numFmt numFmtId="165" formatCode="_([$$-409]* #,##0.00_);_([$$-409]* \(#,##0.00\);_([$$-409]* &quot;-&quot;??_);_(@_)"/>
    <numFmt numFmtId="166" formatCode="0.0%;\(0.0%\)"/>
    <numFmt numFmtId="167" formatCode="_(#,##0.00%_);\(#,##0.00%\);_(&quot;–&quot;_)_%;_(@_)_%"/>
    <numFmt numFmtId="168" formatCode="_(* #,##0_);_(* \(#,##0\);_(* &quot;-&quot;????_);_(@_)"/>
    <numFmt numFmtId="169" formatCode="yyyy\-mm\-dd"/>
    <numFmt numFmtId="170" formatCode="0.0%"/>
    <numFmt numFmtId="171" formatCode="_(&quot;$&quot;* #,##0.0_);_(&quot;$&quot;* \(#,##0.0\);_(&quot;$&quot;* &quot;-&quot;?_);_(@_)"/>
    <numFmt numFmtId="172" formatCode="_(&quot;$&quot;* #,##0_);_(&quot;$&quot;* \(#,##0\);_(&quot;$&quot;* &quot;-&quot;??_);_(@_)"/>
    <numFmt numFmtId="173" formatCode="_([$CHF]\ * #,##0_);_([$CHF]\ * \(#,##0\);_([$CHF]\ * &quot;-&quot;_);_(@_)"/>
    <numFmt numFmtId="174" formatCode="0.0\ \x"/>
    <numFmt numFmtId="175" formatCode="_(* #,##0.0_);_(* \(#,##0.0\);_(* &quot;-&quot;???_);_(@_)"/>
    <numFmt numFmtId="176" formatCode="_(* #,##0.0_);_(* \(#,##0.0\);_(* &quot;-&quot;?_);_(@_)"/>
    <numFmt numFmtId="177" formatCode="_(* #,##0.0_);_(* \(#,##0.0\);_(* &quot;-&quot;??_);_(@_)"/>
    <numFmt numFmtId="178" formatCode="_(0.00%_);\(0.00%\);_(&quot;–&quot;_)_%;_(@_)_%"/>
    <numFmt numFmtId="179" formatCode="_(#,##0.00_)_%;\(#,##0.00\)_%;_(&quot;–&quot;_)_%;_(@_)_%"/>
    <numFmt numFmtId="180" formatCode="_(0.0%_);\(0.0%\);_(&quot;–&quot;_)_%;_(@_)_%"/>
    <numFmt numFmtId="181" formatCode="0.00%;\(0.00%\)"/>
    <numFmt numFmtId="182" formatCode="_(* #,##0_);_(* \(#,##0\);_(* &quot;-&quot;?_);_(@_)"/>
    <numFmt numFmtId="183" formatCode="&quot;FY&quot;yy"/>
    <numFmt numFmtId="184" formatCode="_(#,##0.0%_);\(#,##0.0%\);_(&quot;–&quot;_)_%;_(@_)_%"/>
    <numFmt numFmtId="185" formatCode="_(&quot;$&quot;* #,##0.0_);_(&quot;$&quot;* \(#,##0.0\);_(&quot;$&quot;* &quot;-&quot;??_);_(@_)"/>
    <numFmt numFmtId="186" formatCode="_(0.0\ \x_);\(0.0\ \x\);_(&quot;–&quot;_);_(@_)"/>
    <numFmt numFmtId="187" formatCode="_(0.0%_);\(0.0%\);_(&quot;–&quot;_);_(@_)"/>
    <numFmt numFmtId="188" formatCode="_(&quot;$&quot;* #,##0.00_);_(&quot;$&quot;* \(#,##0.00\);_(&quot;$&quot;* &quot;-&quot;?_);_(@_)"/>
    <numFmt numFmtId="189" formatCode="_(* #,##0.000_);_(* \(#,##0.000\);_(* &quot;-&quot;???_);_(@_)"/>
    <numFmt numFmtId="190" formatCode="_(&quot;$&quot;* #,##0.00_);_(&quot;$&quot;* \(#,##0.00\);_(&quot;$&quot;* &quot;-&quot;_);_(@_)"/>
    <numFmt numFmtId="191" formatCode="&quot;B + &quot;\ ##"/>
    <numFmt numFmtId="192" formatCode="0.0%;\(0.0%\);&quot;–&quot;;@"/>
    <numFmt numFmtId="193" formatCode="&quot;Yes&quot;;&quot;ERROR&quot;;&quot;No&quot;;&quot;ERROR&quot;"/>
    <numFmt numFmtId="194" formatCode="0.00%;\(0.00%\);&quot;–&quot;;@"/>
    <numFmt numFmtId="195" formatCode="_(&quot;$&quot;* #,##0_);_(&quot;$&quot;* \(#,##0\);_(&quot;$&quot;* &quot;-&quot;?_);_(@_)"/>
    <numFmt numFmtId="196" formatCode="#,##0.000"/>
    <numFmt numFmtId="197" formatCode="0.0\ \x;[Red]\ 0.0\ \x"/>
    <numFmt numFmtId="198" formatCode="_([$€-2]\ * #,##0.00_);_([$€-2]\ * \(#,##0.00\);_([$€-2]\ * &quot;-&quot;??_);_(@_)"/>
    <numFmt numFmtId="199" formatCode="_(* #,##0.0_);_(* \(#,##0.0\);_(* &quot;-&quot;_);_(@_)"/>
    <numFmt numFmtId="200" formatCode="_(* #,##0.00_);_(* \(#,##0.00\);_(* &quot;-&quot;_);_(@_)"/>
    <numFmt numFmtId="201" formatCode="_([$$-409]* #,##0_);_([$$-409]* \(#,##0\);_([$$-409]* &quot;-&quot;??_);_(@_)"/>
    <numFmt numFmtId="202" formatCode="0.0\ \x;\(0.0\ \x\)"/>
    <numFmt numFmtId="203" formatCode="0.0%_);\(0.0%\);\-_%_);@_)"/>
    <numFmt numFmtId="204" formatCode="0.0%;\(0.0%\);\-_)_%;@_)_%"/>
    <numFmt numFmtId="205" formatCode="m/d/yyyy;@"/>
    <numFmt numFmtId="206" formatCode="_(* #,##0_);[Red]_(* \(#,##0\);_(* &quot;-&quot;_);_(@_)"/>
    <numFmt numFmtId="207" formatCode="0.0\ %_);[Red]\(0.0%\)"/>
    <numFmt numFmtId="208" formatCode="m/d/yy;@"/>
    <numFmt numFmtId="209" formatCode="_(#,##0.00_);\(#,##0.00\);_(&quot;–&quot;_);_(@_)"/>
  </numFmts>
  <fonts count="6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theme="1"/>
      <name val="Aptos Narrow"/>
      <family val="2"/>
      <scheme val="minor"/>
    </font>
    <font>
      <i/>
      <sz val="12"/>
      <name val="Aptos Narrow"/>
      <family val="2"/>
      <scheme val="minor"/>
    </font>
    <font>
      <sz val="12"/>
      <color rgb="FF0000FF"/>
      <name val="Aptos Narrow"/>
      <family val="2"/>
      <scheme val="minor"/>
    </font>
    <font>
      <sz val="12"/>
      <name val="Aptos Narrow"/>
      <family val="2"/>
      <scheme val="minor"/>
    </font>
    <font>
      <sz val="12"/>
      <color rgb="FF00B050"/>
      <name val="Aptos Narrow"/>
      <family val="2"/>
      <scheme val="minor"/>
    </font>
    <font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Segoe UI Historic"/>
      <family val="2"/>
    </font>
    <font>
      <b/>
      <i/>
      <sz val="12"/>
      <color theme="1"/>
      <name val="Aptos Narrow"/>
      <family val="2"/>
      <scheme val="minor"/>
    </font>
    <font>
      <b/>
      <sz val="12"/>
      <color rgb="FF0000FF"/>
      <name val="Aptos Narrow"/>
      <family val="2"/>
      <scheme val="minor"/>
    </font>
    <font>
      <sz val="11"/>
      <color indexed="8"/>
      <name val="Calibri"/>
      <family val="2"/>
    </font>
    <font>
      <strike/>
      <sz val="12"/>
      <color theme="1"/>
      <name val="Aptos Narrow"/>
      <family val="2"/>
      <scheme val="minor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rgb="FFFFFFFF"/>
      <name val="Calibri"/>
      <family val="2"/>
    </font>
    <font>
      <sz val="12"/>
      <color rgb="FFFFFFFF"/>
      <name val="Calibri"/>
      <family val="2"/>
    </font>
    <font>
      <sz val="12"/>
      <color rgb="FF0000FF"/>
      <name val="Calibri"/>
      <family val="2"/>
    </font>
    <font>
      <sz val="12"/>
      <color rgb="FFFF0000"/>
      <name val="Calibri"/>
      <family val="2"/>
    </font>
    <font>
      <sz val="12"/>
      <name val="Calibri"/>
      <family val="2"/>
    </font>
    <font>
      <sz val="12"/>
      <color rgb="FF00B050"/>
      <name val="Calibri"/>
      <family val="2"/>
    </font>
    <font>
      <b/>
      <sz val="12"/>
      <color indexed="9"/>
      <name val="Aptos Narrow"/>
      <family val="2"/>
      <scheme val="minor"/>
    </font>
    <font>
      <b/>
      <u/>
      <sz val="12"/>
      <color indexed="9"/>
      <name val="Aptos Narrow"/>
      <family val="2"/>
      <scheme val="minor"/>
    </font>
    <font>
      <u/>
      <sz val="12"/>
      <color indexed="9"/>
      <name val="Aptos Narrow"/>
      <family val="2"/>
      <scheme val="minor"/>
    </font>
    <font>
      <sz val="12"/>
      <color indexed="9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7"/>
      <color rgb="FF232A31"/>
      <name val="Arial"/>
      <family val="2"/>
    </font>
    <font>
      <b/>
      <sz val="12"/>
      <color theme="0"/>
      <name val="Aptos Narrow"/>
      <family val="2"/>
    </font>
    <font>
      <b/>
      <i/>
      <sz val="12"/>
      <color theme="0"/>
      <name val="Aptos Narrow"/>
      <family val="2"/>
      <scheme val="minor"/>
    </font>
    <font>
      <b/>
      <i/>
      <sz val="12"/>
      <color rgb="FF0000FF"/>
      <name val="Aptos Narrow"/>
      <family val="2"/>
      <scheme val="minor"/>
    </font>
    <font>
      <sz val="10"/>
      <name val="Arial"/>
      <family val="2"/>
    </font>
    <font>
      <sz val="8"/>
      <color indexed="8"/>
      <name val="Arial"/>
      <family val="2"/>
    </font>
    <font>
      <sz val="11"/>
      <color rgb="FF0000FF"/>
      <name val="Aptos Narrow"/>
      <family val="2"/>
      <scheme val="minor"/>
    </font>
    <font>
      <i/>
      <strike/>
      <sz val="12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2"/>
      <color rgb="FFFF0000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sz val="12"/>
      <color theme="1"/>
      <name val="Calibri"/>
      <family val="2"/>
    </font>
    <font>
      <u/>
      <sz val="12"/>
      <color theme="1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theme="0" tint="-4.9989318521683403E-2"/>
      <name val="Aptos Narrow"/>
      <family val="2"/>
      <scheme val="minor"/>
    </font>
    <font>
      <sz val="12"/>
      <color theme="9"/>
      <name val="Aptos Narrow"/>
      <family val="2"/>
      <scheme val="minor"/>
    </font>
    <font>
      <sz val="12"/>
      <color rgb="FF000000"/>
      <name val="Calibri"/>
      <family val="2"/>
    </font>
    <font>
      <b/>
      <sz val="14"/>
      <color rgb="FF000000"/>
      <name val="Aptos Narrow"/>
      <family val="2"/>
      <scheme val="minor"/>
    </font>
    <font>
      <sz val="12"/>
      <color theme="6"/>
      <name val="Aptos Narrow"/>
      <family val="2"/>
      <scheme val="minor"/>
    </font>
    <font>
      <sz val="10"/>
      <color rgb="FF000000"/>
      <name val="Times New Roman"/>
      <family val="1"/>
    </font>
    <font>
      <sz val="12"/>
      <color rgb="FF1C2B33"/>
      <name val="Aptos Narrow"/>
      <family val="2"/>
      <scheme val="minor"/>
    </font>
    <font>
      <i/>
      <sz val="12"/>
      <color theme="0"/>
      <name val="Aptos Narrow"/>
      <family val="2"/>
      <scheme val="minor"/>
    </font>
    <font>
      <i/>
      <sz val="12"/>
      <color rgb="FF000000"/>
      <name val="Aptos Narrow"/>
      <family val="2"/>
      <scheme val="minor"/>
    </font>
    <font>
      <i/>
      <sz val="12"/>
      <color rgb="FFFF0000"/>
      <name val="Aptos Narrow"/>
      <family val="2"/>
      <scheme val="minor"/>
    </font>
    <font>
      <sz val="12"/>
      <color theme="7"/>
      <name val="Aptos Narrow"/>
      <family val="2"/>
      <scheme val="minor"/>
    </font>
    <font>
      <b/>
      <sz val="12"/>
      <color rgb="FF00B050"/>
      <name val="Aptos Narrow"/>
      <family val="2"/>
      <scheme val="minor"/>
    </font>
    <font>
      <i/>
      <sz val="12"/>
      <color rgb="FF00B050"/>
      <name val="Aptos Narrow"/>
      <family val="2"/>
      <scheme val="minor"/>
    </font>
    <font>
      <sz val="12"/>
      <color rgb="FFFFFF00"/>
      <name val="Aptos Narrow"/>
      <family val="2"/>
      <scheme val="minor"/>
    </font>
    <font>
      <sz val="11"/>
      <color rgb="FF444444"/>
      <name val="Arial"/>
      <family val="2"/>
    </font>
    <font>
      <sz val="11"/>
      <name val="Aptos Narrow"/>
      <family val="2"/>
      <scheme val="minor"/>
    </font>
    <font>
      <sz val="11"/>
      <color rgb="FF232A3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70C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0000FF"/>
        <bgColor indexed="64"/>
      </patternFill>
    </fill>
  </fills>
  <borders count="2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auto="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</borders>
  <cellStyleXfs count="13">
    <xf numFmtId="0" fontId="0" fillId="0" borderId="0"/>
    <xf numFmtId="0" fontId="1" fillId="2" borderId="1" applyNumberFormat="0" applyFont="0" applyAlignment="0" applyProtection="0"/>
    <xf numFmtId="0" fontId="3" fillId="0" borderId="0"/>
    <xf numFmtId="0" fontId="1" fillId="0" borderId="0"/>
    <xf numFmtId="0" fontId="1" fillId="0" borderId="0"/>
    <xf numFmtId="0" fontId="35" fillId="0" borderId="0"/>
    <xf numFmtId="0" fontId="36" fillId="0" borderId="0" applyAlignment="0"/>
    <xf numFmtId="0" fontId="1" fillId="0" borderId="0"/>
    <xf numFmtId="9" fontId="1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1" fillId="0" borderId="0"/>
    <xf numFmtId="0" fontId="1" fillId="0" borderId="0"/>
    <xf numFmtId="0" fontId="35" fillId="0" borderId="0"/>
  </cellStyleXfs>
  <cellXfs count="688">
    <xf numFmtId="0" fontId="0" fillId="0" borderId="0" xfId="0"/>
    <xf numFmtId="164" fontId="2" fillId="3" borderId="0" xfId="0" applyNumberFormat="1" applyFont="1" applyFill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0" fontId="5" fillId="4" borderId="0" xfId="1" applyFont="1" applyFill="1" applyBorder="1" applyAlignment="1">
      <alignment horizontal="center"/>
    </xf>
    <xf numFmtId="0" fontId="5" fillId="4" borderId="0" xfId="1" applyFont="1" applyFill="1" applyBorder="1" applyAlignment="1">
      <alignment horizontal="centerContinuous"/>
    </xf>
    <xf numFmtId="166" fontId="6" fillId="4" borderId="0" xfId="1" applyNumberFormat="1" applyFont="1" applyFill="1" applyBorder="1" applyAlignment="1">
      <alignment horizontal="center"/>
    </xf>
    <xf numFmtId="168" fontId="5" fillId="4" borderId="0" xfId="0" applyNumberFormat="1" applyFont="1" applyFill="1" applyAlignment="1">
      <alignment horizontal="center"/>
    </xf>
    <xf numFmtId="169" fontId="5" fillId="4" borderId="0" xfId="0" applyNumberFormat="1" applyFont="1" applyFill="1" applyAlignment="1">
      <alignment horizontal="center"/>
    </xf>
    <xf numFmtId="164" fontId="2" fillId="0" borderId="0" xfId="0" applyNumberFormat="1" applyFont="1" applyAlignment="1">
      <alignment horizontal="center"/>
    </xf>
    <xf numFmtId="172" fontId="6" fillId="6" borderId="0" xfId="0" applyNumberFormat="1" applyFont="1" applyFill="1" applyAlignment="1">
      <alignment horizontal="center" vertical="center" wrapText="1"/>
    </xf>
    <xf numFmtId="44" fontId="6" fillId="6" borderId="0" xfId="0" applyNumberFormat="1" applyFont="1" applyFill="1" applyAlignment="1">
      <alignment horizontal="center" vertical="center" wrapText="1"/>
    </xf>
    <xf numFmtId="44" fontId="6" fillId="6" borderId="0" xfId="0" applyNumberFormat="1" applyFont="1" applyFill="1" applyAlignment="1">
      <alignment horizontal="left" vertical="center" wrapText="1"/>
    </xf>
    <xf numFmtId="41" fontId="6" fillId="0" borderId="0" xfId="0" applyNumberFormat="1" applyFont="1" applyAlignment="1">
      <alignment horizontal="center"/>
    </xf>
    <xf numFmtId="41" fontId="13" fillId="0" borderId="0" xfId="0" applyNumberFormat="1" applyFont="1" applyAlignment="1">
      <alignment horizontal="center"/>
    </xf>
    <xf numFmtId="164" fontId="2" fillId="3" borderId="2" xfId="0" applyNumberFormat="1" applyFont="1" applyFill="1" applyBorder="1"/>
    <xf numFmtId="0" fontId="2" fillId="3" borderId="0" xfId="0" applyFont="1" applyFill="1"/>
    <xf numFmtId="0" fontId="3" fillId="0" borderId="0" xfId="0" applyFont="1"/>
    <xf numFmtId="0" fontId="4" fillId="0" borderId="0" xfId="2" applyFont="1"/>
    <xf numFmtId="0" fontId="6" fillId="0" borderId="0" xfId="2" applyFont="1"/>
    <xf numFmtId="165" fontId="6" fillId="4" borderId="0" xfId="2" applyNumberFormat="1" applyFont="1" applyFill="1"/>
    <xf numFmtId="165" fontId="6" fillId="0" borderId="0" xfId="2" applyNumberFormat="1" applyFont="1"/>
    <xf numFmtId="167" fontId="7" fillId="0" borderId="0" xfId="0" applyNumberFormat="1" applyFont="1"/>
    <xf numFmtId="0" fontId="2" fillId="0" borderId="0" xfId="0" applyFont="1"/>
    <xf numFmtId="0" fontId="2" fillId="5" borderId="0" xfId="0" applyFont="1" applyFill="1"/>
    <xf numFmtId="0" fontId="8" fillId="0" borderId="0" xfId="0" applyFont="1"/>
    <xf numFmtId="0" fontId="6" fillId="6" borderId="0" xfId="0" applyFont="1" applyFill="1" applyAlignment="1">
      <alignment horizontal="left" vertical="center"/>
    </xf>
    <xf numFmtId="44" fontId="6" fillId="6" borderId="0" xfId="0" applyNumberFormat="1" applyFont="1" applyFill="1" applyAlignment="1">
      <alignment horizontal="left" vertical="center"/>
    </xf>
    <xf numFmtId="41" fontId="6" fillId="6" borderId="0" xfId="0" applyNumberFormat="1" applyFont="1" applyFill="1" applyAlignment="1">
      <alignment horizontal="center" vertical="center"/>
    </xf>
    <xf numFmtId="41" fontId="6" fillId="6" borderId="5" xfId="0" applyNumberFormat="1" applyFont="1" applyFill="1" applyBorder="1" applyAlignment="1">
      <alignment horizontal="center" vertical="center"/>
    </xf>
    <xf numFmtId="0" fontId="5" fillId="4" borderId="0" xfId="1" applyFont="1" applyFill="1" applyBorder="1" applyAlignment="1">
      <alignment horizontal="left"/>
    </xf>
    <xf numFmtId="41" fontId="12" fillId="6" borderId="0" xfId="0" applyNumberFormat="1" applyFont="1" applyFill="1" applyAlignment="1">
      <alignment horizontal="center" vertical="center"/>
    </xf>
    <xf numFmtId="0" fontId="4" fillId="6" borderId="0" xfId="0" applyFont="1" applyFill="1" applyAlignment="1">
      <alignment horizontal="left" vertical="center" indent="1"/>
    </xf>
    <xf numFmtId="170" fontId="4" fillId="6" borderId="0" xfId="0" applyNumberFormat="1" applyFont="1" applyFill="1" applyAlignment="1">
      <alignment horizontal="center" vertical="center"/>
    </xf>
    <xf numFmtId="0" fontId="12" fillId="6" borderId="0" xfId="0" applyFont="1" applyFill="1" applyAlignment="1">
      <alignment vertical="center"/>
    </xf>
    <xf numFmtId="0" fontId="6" fillId="6" borderId="0" xfId="0" applyFont="1" applyFill="1" applyAlignment="1">
      <alignment vertical="center"/>
    </xf>
    <xf numFmtId="42" fontId="12" fillId="6" borderId="0" xfId="0" applyNumberFormat="1" applyFont="1" applyFill="1" applyAlignment="1">
      <alignment horizontal="center" vertical="center"/>
    </xf>
    <xf numFmtId="44" fontId="12" fillId="6" borderId="0" xfId="0" applyNumberFormat="1" applyFont="1" applyFill="1" applyAlignment="1">
      <alignment horizontal="left" vertical="center"/>
    </xf>
    <xf numFmtId="44" fontId="6" fillId="6" borderId="0" xfId="0" applyNumberFormat="1" applyFont="1" applyFill="1" applyAlignment="1">
      <alignment horizontal="left" vertical="center" indent="1"/>
    </xf>
    <xf numFmtId="44" fontId="6" fillId="6" borderId="5" xfId="0" applyNumberFormat="1" applyFont="1" applyFill="1" applyBorder="1" applyAlignment="1">
      <alignment horizontal="left" vertical="center" indent="1"/>
    </xf>
    <xf numFmtId="42" fontId="9" fillId="0" borderId="0" xfId="0" applyNumberFormat="1" applyFont="1"/>
    <xf numFmtId="0" fontId="10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3" fillId="3" borderId="0" xfId="0" applyFont="1" applyFill="1"/>
    <xf numFmtId="0" fontId="9" fillId="0" borderId="0" xfId="0" applyFont="1"/>
    <xf numFmtId="0" fontId="9" fillId="0" borderId="0" xfId="0" applyFont="1" applyAlignment="1">
      <alignment horizontal="left"/>
    </xf>
    <xf numFmtId="0" fontId="6" fillId="6" borderId="0" xfId="0" applyFont="1" applyFill="1" applyAlignment="1">
      <alignment horizontal="left" vertical="center" indent="1"/>
    </xf>
    <xf numFmtId="0" fontId="6" fillId="6" borderId="5" xfId="0" applyFont="1" applyFill="1" applyBorder="1" applyAlignment="1">
      <alignment horizontal="left" vertical="center" indent="1"/>
    </xf>
    <xf numFmtId="0" fontId="3" fillId="3" borderId="2" xfId="0" applyFont="1" applyFill="1" applyBorder="1"/>
    <xf numFmtId="0" fontId="3" fillId="3" borderId="3" xfId="0" applyFont="1" applyFill="1" applyBorder="1"/>
    <xf numFmtId="10" fontId="3" fillId="0" borderId="0" xfId="0" applyNumberFormat="1" applyFont="1"/>
    <xf numFmtId="171" fontId="9" fillId="0" borderId="0" xfId="0" applyNumberFormat="1" applyFont="1" applyAlignment="1">
      <alignment vertical="top"/>
    </xf>
    <xf numFmtId="37" fontId="3" fillId="0" borderId="5" xfId="0" applyNumberFormat="1" applyFont="1" applyBorder="1"/>
    <xf numFmtId="44" fontId="3" fillId="0" borderId="0" xfId="0" applyNumberFormat="1" applyFont="1"/>
    <xf numFmtId="37" fontId="3" fillId="0" borderId="0" xfId="0" applyNumberFormat="1" applyFont="1"/>
    <xf numFmtId="42" fontId="14" fillId="0" borderId="0" xfId="0" applyNumberFormat="1" applyFont="1" applyAlignment="1">
      <alignment horizontal="center"/>
    </xf>
    <xf numFmtId="0" fontId="14" fillId="0" borderId="0" xfId="0" applyFont="1"/>
    <xf numFmtId="170" fontId="4" fillId="0" borderId="0" xfId="0" applyNumberFormat="1" applyFont="1" applyAlignment="1">
      <alignment vertical="top"/>
    </xf>
    <xf numFmtId="37" fontId="6" fillId="0" borderId="0" xfId="0" applyNumberFormat="1" applyFont="1" applyAlignment="1">
      <alignment vertical="top"/>
    </xf>
    <xf numFmtId="37" fontId="6" fillId="0" borderId="5" xfId="0" applyNumberFormat="1" applyFont="1" applyBorder="1" applyAlignment="1">
      <alignment vertical="top"/>
    </xf>
    <xf numFmtId="42" fontId="12" fillId="0" borderId="0" xfId="0" applyNumberFormat="1" applyFont="1" applyAlignment="1">
      <alignment vertical="top"/>
    </xf>
    <xf numFmtId="37" fontId="3" fillId="0" borderId="5" xfId="0" applyNumberFormat="1" applyFont="1" applyBorder="1" applyAlignment="1">
      <alignment vertical="top"/>
    </xf>
    <xf numFmtId="44" fontId="6" fillId="6" borderId="0" xfId="0" applyNumberFormat="1" applyFont="1" applyFill="1" applyAlignment="1">
      <alignment horizontal="left" vertical="center" indent="2"/>
    </xf>
    <xf numFmtId="44" fontId="6" fillId="6" borderId="5" xfId="0" applyNumberFormat="1" applyFont="1" applyFill="1" applyBorder="1" applyAlignment="1">
      <alignment horizontal="left" vertical="center" indent="2"/>
    </xf>
    <xf numFmtId="172" fontId="12" fillId="0" borderId="0" xfId="0" applyNumberFormat="1" applyFont="1" applyAlignment="1">
      <alignment vertical="top"/>
    </xf>
    <xf numFmtId="0" fontId="3" fillId="0" borderId="5" xfId="0" applyFont="1" applyBorder="1" applyAlignment="1">
      <alignment horizontal="left" indent="1"/>
    </xf>
    <xf numFmtId="41" fontId="3" fillId="0" borderId="0" xfId="0" applyNumberFormat="1" applyFont="1"/>
    <xf numFmtId="41" fontId="5" fillId="0" borderId="0" xfId="0" applyNumberFormat="1" applyFont="1"/>
    <xf numFmtId="0" fontId="10" fillId="0" borderId="0" xfId="0" applyFont="1"/>
    <xf numFmtId="169" fontId="5" fillId="0" borderId="0" xfId="0" applyNumberFormat="1" applyFont="1" applyAlignment="1">
      <alignment horizontal="center"/>
    </xf>
    <xf numFmtId="42" fontId="15" fillId="6" borderId="0" xfId="0" applyNumberFormat="1" applyFont="1" applyFill="1" applyAlignment="1">
      <alignment horizontal="center" vertical="center"/>
    </xf>
    <xf numFmtId="41" fontId="5" fillId="6" borderId="5" xfId="0" applyNumberFormat="1" applyFont="1" applyFill="1" applyBorder="1" applyAlignment="1">
      <alignment horizontal="center" vertical="center"/>
    </xf>
    <xf numFmtId="41" fontId="5" fillId="6" borderId="0" xfId="0" applyNumberFormat="1" applyFont="1" applyFill="1" applyAlignment="1">
      <alignment horizontal="center" vertical="center"/>
    </xf>
    <xf numFmtId="173" fontId="6" fillId="0" borderId="0" xfId="0" applyNumberFormat="1" applyFont="1"/>
    <xf numFmtId="41" fontId="6" fillId="0" borderId="0" xfId="0" applyNumberFormat="1" applyFont="1"/>
    <xf numFmtId="0" fontId="16" fillId="0" borderId="0" xfId="0" applyFont="1" applyAlignment="1">
      <alignment horizontal="right"/>
    </xf>
    <xf numFmtId="0" fontId="11" fillId="6" borderId="0" xfId="0" applyFont="1" applyFill="1" applyAlignment="1">
      <alignment horizontal="center" vertical="center"/>
    </xf>
    <xf numFmtId="0" fontId="11" fillId="6" borderId="0" xfId="0" applyFont="1" applyFill="1" applyAlignment="1">
      <alignment horizontal="left" vertical="center"/>
    </xf>
    <xf numFmtId="0" fontId="17" fillId="0" borderId="0" xfId="0" applyFont="1" applyAlignment="1">
      <alignment horizontal="center"/>
    </xf>
    <xf numFmtId="0" fontId="4" fillId="6" borderId="5" xfId="0" applyFont="1" applyFill="1" applyBorder="1" applyAlignment="1">
      <alignment horizontal="left" vertical="center" indent="1"/>
    </xf>
    <xf numFmtId="9" fontId="4" fillId="4" borderId="0" xfId="0" applyNumberFormat="1" applyFont="1" applyFill="1"/>
    <xf numFmtId="0" fontId="10" fillId="0" borderId="0" xfId="0" applyFont="1" applyAlignment="1">
      <alignment horizontal="left" indent="1"/>
    </xf>
    <xf numFmtId="170" fontId="4" fillId="6" borderId="0" xfId="0" applyNumberFormat="1" applyFont="1" applyFill="1" applyAlignment="1">
      <alignment vertical="center"/>
    </xf>
    <xf numFmtId="174" fontId="4" fillId="0" borderId="0" xfId="0" applyNumberFormat="1" applyFont="1"/>
    <xf numFmtId="174" fontId="4" fillId="0" borderId="0" xfId="0" applyNumberFormat="1" applyFont="1" applyAlignment="1">
      <alignment horizontal="center"/>
    </xf>
    <xf numFmtId="6" fontId="11" fillId="4" borderId="0" xfId="0" applyNumberFormat="1" applyFont="1" applyFill="1" applyAlignment="1">
      <alignment horizontal="right" indent="1"/>
    </xf>
    <xf numFmtId="9" fontId="10" fillId="0" borderId="0" xfId="0" applyNumberFormat="1" applyFont="1" applyAlignment="1">
      <alignment horizontal="right"/>
    </xf>
    <xf numFmtId="9" fontId="10" fillId="4" borderId="0" xfId="0" applyNumberFormat="1" applyFont="1" applyFill="1" applyAlignment="1">
      <alignment horizontal="right"/>
    </xf>
    <xf numFmtId="0" fontId="12" fillId="0" borderId="0" xfId="0" applyFont="1"/>
    <xf numFmtId="41" fontId="3" fillId="0" borderId="5" xfId="0" applyNumberFormat="1" applyFont="1" applyBorder="1"/>
    <xf numFmtId="2" fontId="6" fillId="0" borderId="0" xfId="0" applyNumberFormat="1" applyFont="1"/>
    <xf numFmtId="2" fontId="6" fillId="4" borderId="0" xfId="0" applyNumberFormat="1" applyFont="1" applyFill="1"/>
    <xf numFmtId="41" fontId="6" fillId="6" borderId="0" xfId="0" applyNumberFormat="1" applyFont="1" applyFill="1" applyAlignment="1">
      <alignment horizontal="left" vertical="center"/>
    </xf>
    <xf numFmtId="0" fontId="6" fillId="4" borderId="0" xfId="0" applyFont="1" applyFill="1"/>
    <xf numFmtId="9" fontId="6" fillId="4" borderId="0" xfId="0" applyNumberFormat="1" applyFont="1" applyFill="1"/>
    <xf numFmtId="41" fontId="6" fillId="6" borderId="0" xfId="0" applyNumberFormat="1" applyFont="1" applyFill="1" applyAlignment="1">
      <alignment horizontal="left" vertical="center" indent="2"/>
    </xf>
    <xf numFmtId="0" fontId="2" fillId="5" borderId="0" xfId="0" applyFont="1" applyFill="1" applyAlignment="1">
      <alignment horizontal="left" indent="1"/>
    </xf>
    <xf numFmtId="3" fontId="5" fillId="0" borderId="5" xfId="0" applyNumberFormat="1" applyFont="1" applyBorder="1"/>
    <xf numFmtId="0" fontId="2" fillId="0" borderId="0" xfId="0" applyFont="1" applyAlignment="1">
      <alignment horizontal="left" indent="1"/>
    </xf>
    <xf numFmtId="44" fontId="12" fillId="6" borderId="0" xfId="0" applyNumberFormat="1" applyFont="1" applyFill="1" applyAlignment="1">
      <alignment vertical="center"/>
    </xf>
    <xf numFmtId="175" fontId="5" fillId="4" borderId="0" xfId="0" applyNumberFormat="1" applyFont="1" applyFill="1"/>
    <xf numFmtId="0" fontId="12" fillId="0" borderId="0" xfId="2" applyFont="1"/>
    <xf numFmtId="43" fontId="0" fillId="0" borderId="0" xfId="0" applyNumberFormat="1"/>
    <xf numFmtId="43" fontId="6" fillId="0" borderId="0" xfId="2" applyNumberFormat="1" applyFont="1"/>
    <xf numFmtId="0" fontId="6" fillId="0" borderId="8" xfId="2" applyFont="1" applyBorder="1"/>
    <xf numFmtId="179" fontId="6" fillId="0" borderId="0" xfId="2" applyNumberFormat="1" applyFont="1"/>
    <xf numFmtId="176" fontId="6" fillId="0" borderId="0" xfId="2" applyNumberFormat="1" applyFont="1"/>
    <xf numFmtId="0" fontId="18" fillId="0" borderId="0" xfId="0" applyFont="1"/>
    <xf numFmtId="0" fontId="19" fillId="0" borderId="0" xfId="0" applyFont="1"/>
    <xf numFmtId="0" fontId="21" fillId="0" borderId="0" xfId="0" applyFont="1"/>
    <xf numFmtId="178" fontId="5" fillId="4" borderId="0" xfId="0" applyNumberFormat="1" applyFont="1" applyFill="1" applyAlignment="1">
      <alignment horizontal="center"/>
    </xf>
    <xf numFmtId="178" fontId="22" fillId="0" borderId="0" xfId="0" applyNumberFormat="1" applyFont="1"/>
    <xf numFmtId="178" fontId="6" fillId="4" borderId="0" xfId="0" applyNumberFormat="1" applyFont="1" applyFill="1" applyAlignment="1">
      <alignment horizontal="center"/>
    </xf>
    <xf numFmtId="0" fontId="23" fillId="0" borderId="0" xfId="0" applyFont="1"/>
    <xf numFmtId="1" fontId="24" fillId="0" borderId="0" xfId="0" applyNumberFormat="1" applyFont="1" applyAlignment="1">
      <alignment horizontal="center"/>
    </xf>
    <xf numFmtId="0" fontId="25" fillId="0" borderId="0" xfId="0" applyFont="1"/>
    <xf numFmtId="0" fontId="24" fillId="0" borderId="0" xfId="0" applyFont="1" applyAlignment="1">
      <alignment horizontal="center"/>
    </xf>
    <xf numFmtId="1" fontId="25" fillId="0" borderId="0" xfId="0" applyNumberFormat="1" applyFont="1"/>
    <xf numFmtId="170" fontId="6" fillId="0" borderId="0" xfId="2" applyNumberFormat="1" applyFont="1"/>
    <xf numFmtId="0" fontId="2" fillId="3" borderId="0" xfId="2" applyFont="1" applyFill="1"/>
    <xf numFmtId="180" fontId="6" fillId="0" borderId="0" xfId="2" applyNumberFormat="1" applyFont="1"/>
    <xf numFmtId="0" fontId="20" fillId="3" borderId="0" xfId="0" applyFont="1" applyFill="1"/>
    <xf numFmtId="0" fontId="21" fillId="3" borderId="0" xfId="0" applyFont="1" applyFill="1"/>
    <xf numFmtId="0" fontId="26" fillId="3" borderId="0" xfId="2" applyFont="1" applyFill="1"/>
    <xf numFmtId="0" fontId="26" fillId="3" borderId="0" xfId="2" applyFont="1" applyFill="1" applyAlignment="1">
      <alignment horizontal="center"/>
    </xf>
    <xf numFmtId="0" fontId="2" fillId="5" borderId="0" xfId="2" applyFont="1" applyFill="1"/>
    <xf numFmtId="182" fontId="6" fillId="6" borderId="0" xfId="0" applyNumberFormat="1" applyFont="1" applyFill="1" applyAlignment="1">
      <alignment vertical="center"/>
    </xf>
    <xf numFmtId="0" fontId="2" fillId="0" borderId="0" xfId="2" applyFont="1" applyAlignment="1">
      <alignment horizontal="centerContinuous"/>
    </xf>
    <xf numFmtId="0" fontId="2" fillId="3" borderId="0" xfId="2" applyFont="1" applyFill="1" applyAlignment="1">
      <alignment horizontal="centerContinuous"/>
    </xf>
    <xf numFmtId="0" fontId="6" fillId="7" borderId="0" xfId="2" applyFont="1" applyFill="1"/>
    <xf numFmtId="0" fontId="3" fillId="7" borderId="0" xfId="0" applyFont="1" applyFill="1"/>
    <xf numFmtId="0" fontId="12" fillId="7" borderId="0" xfId="2" applyFont="1" applyFill="1"/>
    <xf numFmtId="0" fontId="4" fillId="7" borderId="0" xfId="2" applyFont="1" applyFill="1"/>
    <xf numFmtId="0" fontId="6" fillId="0" borderId="0" xfId="2" applyFont="1" applyAlignment="1">
      <alignment horizontal="left" indent="1"/>
    </xf>
    <xf numFmtId="0" fontId="12" fillId="7" borderId="8" xfId="2" applyFont="1" applyFill="1" applyBorder="1"/>
    <xf numFmtId="176" fontId="5" fillId="0" borderId="0" xfId="2" applyNumberFormat="1" applyFont="1"/>
    <xf numFmtId="180" fontId="5" fillId="0" borderId="0" xfId="0" applyNumberFormat="1" applyFont="1" applyAlignment="1">
      <alignment horizontal="center" vertical="top" wrapText="1"/>
    </xf>
    <xf numFmtId="184" fontId="6" fillId="0" borderId="0" xfId="2" applyNumberFormat="1" applyFont="1"/>
    <xf numFmtId="43" fontId="5" fillId="0" borderId="0" xfId="2" applyNumberFormat="1" applyFont="1"/>
    <xf numFmtId="0" fontId="6" fillId="0" borderId="9" xfId="2" applyFont="1" applyBorder="1"/>
    <xf numFmtId="44" fontId="6" fillId="0" borderId="8" xfId="2" applyNumberFormat="1" applyFont="1" applyBorder="1"/>
    <xf numFmtId="185" fontId="6" fillId="0" borderId="8" xfId="2" applyNumberFormat="1" applyFont="1" applyBorder="1"/>
    <xf numFmtId="184" fontId="6" fillId="0" borderId="8" xfId="2" applyNumberFormat="1" applyFont="1" applyBorder="1"/>
    <xf numFmtId="184" fontId="6" fillId="0" borderId="10" xfId="2" applyNumberFormat="1" applyFont="1" applyBorder="1"/>
    <xf numFmtId="0" fontId="6" fillId="0" borderId="11" xfId="2" applyFont="1" applyBorder="1"/>
    <xf numFmtId="177" fontId="6" fillId="0" borderId="0" xfId="2" applyNumberFormat="1" applyFont="1"/>
    <xf numFmtId="184" fontId="6" fillId="0" borderId="12" xfId="2" applyNumberFormat="1" applyFont="1" applyBorder="1"/>
    <xf numFmtId="0" fontId="6" fillId="0" borderId="13" xfId="2" applyFont="1" applyBorder="1"/>
    <xf numFmtId="0" fontId="12" fillId="0" borderId="5" xfId="2" applyFont="1" applyBorder="1"/>
    <xf numFmtId="43" fontId="6" fillId="0" borderId="5" xfId="2" applyNumberFormat="1" applyFont="1" applyBorder="1"/>
    <xf numFmtId="177" fontId="6" fillId="0" borderId="5" xfId="2" applyNumberFormat="1" applyFont="1" applyBorder="1"/>
    <xf numFmtId="184" fontId="6" fillId="0" borderId="5" xfId="2" applyNumberFormat="1" applyFont="1" applyBorder="1"/>
    <xf numFmtId="184" fontId="6" fillId="0" borderId="14" xfId="2" applyNumberFormat="1" applyFont="1" applyBorder="1"/>
    <xf numFmtId="0" fontId="6" fillId="0" borderId="0" xfId="2" applyFont="1" applyAlignment="1">
      <alignment horizontal="center"/>
    </xf>
    <xf numFmtId="0" fontId="12" fillId="0" borderId="0" xfId="2" applyFont="1" applyAlignment="1">
      <alignment horizontal="center"/>
    </xf>
    <xf numFmtId="174" fontId="6" fillId="0" borderId="0" xfId="2" applyNumberFormat="1" applyFont="1"/>
    <xf numFmtId="174" fontId="6" fillId="0" borderId="8" xfId="2" applyNumberFormat="1" applyFont="1" applyBorder="1"/>
    <xf numFmtId="174" fontId="6" fillId="0" borderId="10" xfId="2" applyNumberFormat="1" applyFont="1" applyBorder="1"/>
    <xf numFmtId="174" fontId="6" fillId="0" borderId="12" xfId="2" applyNumberFormat="1" applyFont="1" applyBorder="1"/>
    <xf numFmtId="174" fontId="6" fillId="0" borderId="5" xfId="2" applyNumberFormat="1" applyFont="1" applyBorder="1"/>
    <xf numFmtId="174" fontId="6" fillId="0" borderId="14" xfId="2" applyNumberFormat="1" applyFont="1" applyBorder="1"/>
    <xf numFmtId="179" fontId="5" fillId="0" borderId="0" xfId="0" applyNumberFormat="1" applyFont="1"/>
    <xf numFmtId="0" fontId="9" fillId="0" borderId="0" xfId="2" applyFont="1"/>
    <xf numFmtId="0" fontId="26" fillId="8" borderId="0" xfId="3" applyFont="1" applyFill="1" applyAlignment="1">
      <alignment horizontal="left"/>
    </xf>
    <xf numFmtId="0" fontId="26" fillId="8" borderId="0" xfId="2" applyFont="1" applyFill="1"/>
    <xf numFmtId="0" fontId="27" fillId="8" borderId="0" xfId="2" applyFont="1" applyFill="1" applyAlignment="1">
      <alignment horizontal="centerContinuous"/>
    </xf>
    <xf numFmtId="0" fontId="28" fillId="8" borderId="0" xfId="2" applyFont="1" applyFill="1" applyAlignment="1">
      <alignment horizontal="centerContinuous"/>
    </xf>
    <xf numFmtId="0" fontId="29" fillId="8" borderId="0" xfId="2" applyFont="1" applyFill="1"/>
    <xf numFmtId="0" fontId="26" fillId="8" borderId="0" xfId="2" applyFont="1" applyFill="1" applyAlignment="1">
      <alignment horizontal="center"/>
    </xf>
    <xf numFmtId="0" fontId="29" fillId="8" borderId="0" xfId="2" applyFont="1" applyFill="1" applyAlignment="1">
      <alignment horizontal="centerContinuous"/>
    </xf>
    <xf numFmtId="0" fontId="26" fillId="8" borderId="5" xfId="2" applyFont="1" applyFill="1" applyBorder="1"/>
    <xf numFmtId="0" fontId="26" fillId="8" borderId="5" xfId="2" applyFont="1" applyFill="1" applyBorder="1" applyAlignment="1">
      <alignment horizontal="center"/>
    </xf>
    <xf numFmtId="14" fontId="26" fillId="8" borderId="5" xfId="2" applyNumberFormat="1" applyFont="1" applyFill="1" applyBorder="1" applyAlignment="1">
      <alignment horizontal="center"/>
    </xf>
    <xf numFmtId="183" fontId="2" fillId="8" borderId="5" xfId="0" applyNumberFormat="1" applyFont="1" applyFill="1" applyBorder="1" applyAlignment="1">
      <alignment horizontal="center"/>
    </xf>
    <xf numFmtId="0" fontId="2" fillId="5" borderId="7" xfId="2" applyFont="1" applyFill="1" applyBorder="1"/>
    <xf numFmtId="44" fontId="2" fillId="5" borderId="7" xfId="2" applyNumberFormat="1" applyFont="1" applyFill="1" applyBorder="1"/>
    <xf numFmtId="0" fontId="12" fillId="9" borderId="6" xfId="2" applyFont="1" applyFill="1" applyBorder="1"/>
    <xf numFmtId="0" fontId="12" fillId="9" borderId="7" xfId="2" applyFont="1" applyFill="1" applyBorder="1"/>
    <xf numFmtId="44" fontId="12" fillId="9" borderId="7" xfId="2" applyNumberFormat="1" applyFont="1" applyFill="1" applyBorder="1"/>
    <xf numFmtId="176" fontId="12" fillId="9" borderId="7" xfId="2" applyNumberFormat="1" applyFont="1" applyFill="1" applyBorder="1"/>
    <xf numFmtId="185" fontId="12" fillId="9" borderId="7" xfId="2" applyNumberFormat="1" applyFont="1" applyFill="1" applyBorder="1"/>
    <xf numFmtId="184" fontId="12" fillId="9" borderId="7" xfId="2" applyNumberFormat="1" applyFont="1" applyFill="1" applyBorder="1"/>
    <xf numFmtId="184" fontId="12" fillId="9" borderId="15" xfId="2" applyNumberFormat="1" applyFont="1" applyFill="1" applyBorder="1"/>
    <xf numFmtId="0" fontId="12" fillId="5" borderId="6" xfId="2" applyFont="1" applyFill="1" applyBorder="1"/>
    <xf numFmtId="0" fontId="12" fillId="5" borderId="7" xfId="2" applyFont="1" applyFill="1" applyBorder="1"/>
    <xf numFmtId="44" fontId="12" fillId="5" borderId="7" xfId="2" applyNumberFormat="1" applyFont="1" applyFill="1" applyBorder="1"/>
    <xf numFmtId="176" fontId="12" fillId="5" borderId="7" xfId="2" applyNumberFormat="1" applyFont="1" applyFill="1" applyBorder="1"/>
    <xf numFmtId="185" fontId="12" fillId="5" borderId="7" xfId="2" applyNumberFormat="1" applyFont="1" applyFill="1" applyBorder="1"/>
    <xf numFmtId="174" fontId="12" fillId="5" borderId="7" xfId="2" applyNumberFormat="1" applyFont="1" applyFill="1" applyBorder="1"/>
    <xf numFmtId="174" fontId="12" fillId="5" borderId="15" xfId="2" applyNumberFormat="1" applyFont="1" applyFill="1" applyBorder="1"/>
    <xf numFmtId="6" fontId="5" fillId="6" borderId="0" xfId="0" applyNumberFormat="1" applyFont="1" applyFill="1" applyAlignment="1">
      <alignment horizontal="right" vertical="center" indent="1"/>
    </xf>
    <xf numFmtId="6" fontId="6" fillId="6" borderId="0" xfId="0" applyNumberFormat="1" applyFont="1" applyFill="1" applyAlignment="1">
      <alignment horizontal="right" vertical="center" indent="1"/>
    </xf>
    <xf numFmtId="9" fontId="4" fillId="6" borderId="0" xfId="0" applyNumberFormat="1" applyFont="1" applyFill="1" applyAlignment="1">
      <alignment horizontal="right" vertical="center" indent="1"/>
    </xf>
    <xf numFmtId="6" fontId="6" fillId="6" borderId="5" xfId="0" applyNumberFormat="1" applyFont="1" applyFill="1" applyBorder="1" applyAlignment="1">
      <alignment horizontal="right" vertical="center" indent="1"/>
    </xf>
    <xf numFmtId="9" fontId="4" fillId="6" borderId="5" xfId="0" applyNumberFormat="1" applyFont="1" applyFill="1" applyBorder="1" applyAlignment="1">
      <alignment horizontal="right" vertical="center" indent="1"/>
    </xf>
    <xf numFmtId="6" fontId="11" fillId="6" borderId="0" xfId="0" applyNumberFormat="1" applyFont="1" applyFill="1" applyAlignment="1">
      <alignment horizontal="right" vertical="center" indent="1"/>
    </xf>
    <xf numFmtId="9" fontId="10" fillId="0" borderId="0" xfId="0" applyNumberFormat="1" applyFont="1"/>
    <xf numFmtId="9" fontId="10" fillId="4" borderId="0" xfId="0" applyNumberFormat="1" applyFont="1" applyFill="1"/>
    <xf numFmtId="41" fontId="12" fillId="0" borderId="0" xfId="0" applyNumberFormat="1" applyFont="1"/>
    <xf numFmtId="170" fontId="3" fillId="0" borderId="0" xfId="0" applyNumberFormat="1" applyFont="1"/>
    <xf numFmtId="41" fontId="5" fillId="0" borderId="5" xfId="0" applyNumberFormat="1" applyFont="1" applyBorder="1"/>
    <xf numFmtId="164" fontId="2" fillId="3" borderId="0" xfId="0" applyNumberFormat="1" applyFont="1" applyFill="1"/>
    <xf numFmtId="164" fontId="2" fillId="3" borderId="4" xfId="0" applyNumberFormat="1" applyFont="1" applyFill="1" applyBorder="1"/>
    <xf numFmtId="41" fontId="6" fillId="6" borderId="0" xfId="0" applyNumberFormat="1" applyFont="1" applyFill="1" applyAlignment="1">
      <alignment vertical="center"/>
    </xf>
    <xf numFmtId="41" fontId="5" fillId="6" borderId="0" xfId="0" applyNumberFormat="1" applyFont="1" applyFill="1" applyAlignment="1">
      <alignment vertical="center"/>
    </xf>
    <xf numFmtId="3" fontId="31" fillId="0" borderId="0" xfId="0" applyNumberFormat="1" applyFont="1" applyAlignment="1">
      <alignment vertical="center"/>
    </xf>
    <xf numFmtId="42" fontId="12" fillId="7" borderId="8" xfId="2" applyNumberFormat="1" applyFont="1" applyFill="1" applyBorder="1"/>
    <xf numFmtId="42" fontId="12" fillId="7" borderId="0" xfId="0" applyNumberFormat="1" applyFont="1" applyFill="1"/>
    <xf numFmtId="43" fontId="6" fillId="0" borderId="0" xfId="2" applyNumberFormat="1" applyFont="1" applyAlignment="1">
      <alignment horizontal="center"/>
    </xf>
    <xf numFmtId="0" fontId="12" fillId="9" borderId="0" xfId="2" applyFont="1" applyFill="1" applyAlignment="1">
      <alignment horizontal="left"/>
    </xf>
    <xf numFmtId="0" fontId="12" fillId="9" borderId="0" xfId="2" applyFont="1" applyFill="1"/>
    <xf numFmtId="179" fontId="12" fillId="9" borderId="0" xfId="2" applyNumberFormat="1" applyFont="1" applyFill="1"/>
    <xf numFmtId="170" fontId="2" fillId="5" borderId="0" xfId="2" applyNumberFormat="1" applyFont="1" applyFill="1"/>
    <xf numFmtId="43" fontId="2" fillId="5" borderId="0" xfId="2" applyNumberFormat="1" applyFont="1" applyFill="1"/>
    <xf numFmtId="0" fontId="2" fillId="9" borderId="0" xfId="2" applyFont="1" applyFill="1"/>
    <xf numFmtId="181" fontId="2" fillId="9" borderId="0" xfId="2" applyNumberFormat="1" applyFont="1" applyFill="1"/>
    <xf numFmtId="178" fontId="2" fillId="9" borderId="0" xfId="2" applyNumberFormat="1" applyFont="1" applyFill="1"/>
    <xf numFmtId="179" fontId="3" fillId="0" borderId="0" xfId="0" applyNumberFormat="1" applyFont="1"/>
    <xf numFmtId="2" fontId="6" fillId="0" borderId="0" xfId="2" applyNumberFormat="1" applyFont="1" applyAlignment="1">
      <alignment horizontal="center"/>
    </xf>
    <xf numFmtId="0" fontId="3" fillId="0" borderId="0" xfId="0" applyFont="1" applyAlignment="1">
      <alignment horizontal="center"/>
    </xf>
    <xf numFmtId="170" fontId="6" fillId="0" borderId="0" xfId="2" applyNumberFormat="1" applyFont="1" applyAlignment="1">
      <alignment horizontal="center"/>
    </xf>
    <xf numFmtId="180" fontId="6" fillId="0" borderId="0" xfId="2" applyNumberFormat="1" applyFont="1" applyAlignment="1">
      <alignment horizontal="center"/>
    </xf>
    <xf numFmtId="186" fontId="7" fillId="0" borderId="0" xfId="0" applyNumberFormat="1" applyFont="1" applyAlignment="1">
      <alignment horizontal="center"/>
    </xf>
    <xf numFmtId="186" fontId="6" fillId="0" borderId="0" xfId="2" applyNumberFormat="1" applyFont="1"/>
    <xf numFmtId="171" fontId="12" fillId="0" borderId="0" xfId="2" applyNumberFormat="1" applyFont="1"/>
    <xf numFmtId="0" fontId="6" fillId="0" borderId="5" xfId="2" applyFont="1" applyBorder="1" applyAlignment="1">
      <alignment horizontal="left" indent="1"/>
    </xf>
    <xf numFmtId="0" fontId="6" fillId="0" borderId="5" xfId="2" applyFont="1" applyBorder="1"/>
    <xf numFmtId="0" fontId="12" fillId="7" borderId="0" xfId="2" applyFont="1" applyFill="1" applyAlignment="1">
      <alignment horizontal="left"/>
    </xf>
    <xf numFmtId="176" fontId="3" fillId="0" borderId="0" xfId="0" applyNumberFormat="1" applyFont="1"/>
    <xf numFmtId="0" fontId="4" fillId="0" borderId="0" xfId="2" applyFont="1" applyAlignment="1">
      <alignment horizontal="left" indent="1"/>
    </xf>
    <xf numFmtId="187" fontId="4" fillId="0" borderId="0" xfId="2" applyNumberFormat="1" applyFont="1"/>
    <xf numFmtId="0" fontId="6" fillId="0" borderId="0" xfId="2" applyFont="1" applyAlignment="1">
      <alignment horizontal="left"/>
    </xf>
    <xf numFmtId="0" fontId="12" fillId="7" borderId="5" xfId="2" applyFont="1" applyFill="1" applyBorder="1" applyAlignment="1">
      <alignment horizontal="left"/>
    </xf>
    <xf numFmtId="0" fontId="6" fillId="7" borderId="5" xfId="2" applyFont="1" applyFill="1" applyBorder="1"/>
    <xf numFmtId="165" fontId="9" fillId="7" borderId="5" xfId="0" applyNumberFormat="1" applyFont="1" applyFill="1" applyBorder="1"/>
    <xf numFmtId="0" fontId="12" fillId="0" borderId="0" xfId="2" applyFont="1" applyAlignment="1">
      <alignment horizontal="left"/>
    </xf>
    <xf numFmtId="165" fontId="9" fillId="0" borderId="0" xfId="0" applyNumberFormat="1" applyFont="1"/>
    <xf numFmtId="0" fontId="12" fillId="10" borderId="9" xfId="2" applyFont="1" applyFill="1" applyBorder="1"/>
    <xf numFmtId="0" fontId="12" fillId="10" borderId="8" xfId="2" applyFont="1" applyFill="1" applyBorder="1"/>
    <xf numFmtId="188" fontId="9" fillId="10" borderId="10" xfId="0" applyNumberFormat="1" applyFont="1" applyFill="1" applyBorder="1"/>
    <xf numFmtId="0" fontId="12" fillId="10" borderId="13" xfId="2" applyFont="1" applyFill="1" applyBorder="1"/>
    <xf numFmtId="0" fontId="12" fillId="10" borderId="5" xfId="2" applyFont="1" applyFill="1" applyBorder="1"/>
    <xf numFmtId="170" fontId="9" fillId="10" borderId="14" xfId="0" applyNumberFormat="1" applyFont="1" applyFill="1" applyBorder="1"/>
    <xf numFmtId="170" fontId="5" fillId="4" borderId="0" xfId="0" applyNumberFormat="1" applyFont="1" applyFill="1"/>
    <xf numFmtId="170" fontId="3" fillId="4" borderId="0" xfId="0" applyNumberFormat="1" applyFont="1" applyFill="1"/>
    <xf numFmtId="42" fontId="3" fillId="0" borderId="0" xfId="0" applyNumberFormat="1" applyFont="1"/>
    <xf numFmtId="0" fontId="9" fillId="7" borderId="5" xfId="0" applyFont="1" applyFill="1" applyBorder="1"/>
    <xf numFmtId="41" fontId="6" fillId="4" borderId="0" xfId="0" applyNumberFormat="1" applyFont="1" applyFill="1"/>
    <xf numFmtId="0" fontId="32" fillId="9" borderId="8" xfId="2" applyFont="1" applyFill="1" applyBorder="1" applyAlignment="1">
      <alignment horizontal="center"/>
    </xf>
    <xf numFmtId="0" fontId="3" fillId="9" borderId="9" xfId="0" applyFont="1" applyFill="1" applyBorder="1"/>
    <xf numFmtId="0" fontId="3" fillId="9" borderId="8" xfId="0" applyFont="1" applyFill="1" applyBorder="1"/>
    <xf numFmtId="0" fontId="2" fillId="9" borderId="8" xfId="0" applyFont="1" applyFill="1" applyBorder="1"/>
    <xf numFmtId="0" fontId="3" fillId="9" borderId="10" xfId="0" applyFont="1" applyFill="1" applyBorder="1"/>
    <xf numFmtId="188" fontId="2" fillId="9" borderId="11" xfId="0" applyNumberFormat="1" applyFont="1" applyFill="1" applyBorder="1" applyAlignment="1">
      <alignment horizontal="center"/>
    </xf>
    <xf numFmtId="43" fontId="3" fillId="0" borderId="0" xfId="0" applyNumberFormat="1" applyFont="1"/>
    <xf numFmtId="43" fontId="3" fillId="0" borderId="12" xfId="0" applyNumberFormat="1" applyFont="1" applyBorder="1"/>
    <xf numFmtId="43" fontId="3" fillId="0" borderId="5" xfId="0" applyNumberFormat="1" applyFont="1" applyBorder="1"/>
    <xf numFmtId="43" fontId="3" fillId="0" borderId="14" xfId="0" applyNumberFormat="1" applyFont="1" applyBorder="1"/>
    <xf numFmtId="0" fontId="30" fillId="0" borderId="0" xfId="0" applyFont="1"/>
    <xf numFmtId="43" fontId="9" fillId="7" borderId="0" xfId="0" applyNumberFormat="1" applyFont="1" applyFill="1"/>
    <xf numFmtId="43" fontId="9" fillId="7" borderId="12" xfId="0" applyNumberFormat="1" applyFont="1" applyFill="1" applyBorder="1"/>
    <xf numFmtId="43" fontId="9" fillId="7" borderId="5" xfId="0" applyNumberFormat="1" applyFont="1" applyFill="1" applyBorder="1"/>
    <xf numFmtId="170" fontId="33" fillId="9" borderId="11" xfId="0" applyNumberFormat="1" applyFont="1" applyFill="1" applyBorder="1" applyAlignment="1">
      <alignment horizontal="center"/>
    </xf>
    <xf numFmtId="170" fontId="33" fillId="9" borderId="13" xfId="0" applyNumberFormat="1" applyFont="1" applyFill="1" applyBorder="1" applyAlignment="1">
      <alignment horizontal="center"/>
    </xf>
    <xf numFmtId="170" fontId="33" fillId="9" borderId="0" xfId="0" applyNumberFormat="1" applyFont="1" applyFill="1"/>
    <xf numFmtId="170" fontId="33" fillId="9" borderId="12" xfId="0" applyNumberFormat="1" applyFont="1" applyFill="1" applyBorder="1"/>
    <xf numFmtId="170" fontId="34" fillId="9" borderId="0" xfId="0" applyNumberFormat="1" applyFont="1" applyFill="1"/>
    <xf numFmtId="170" fontId="34" fillId="9" borderId="11" xfId="0" applyNumberFormat="1" applyFont="1" applyFill="1" applyBorder="1" applyAlignment="1">
      <alignment horizontal="center"/>
    </xf>
    <xf numFmtId="0" fontId="3" fillId="0" borderId="0" xfId="0" applyFont="1" applyAlignment="1">
      <alignment horizontal="left" indent="1"/>
    </xf>
    <xf numFmtId="0" fontId="3" fillId="0" borderId="0" xfId="0" applyFont="1" applyAlignment="1">
      <alignment horizontal="left" indent="2"/>
    </xf>
    <xf numFmtId="0" fontId="18" fillId="0" borderId="0" xfId="4" applyFont="1"/>
    <xf numFmtId="0" fontId="3" fillId="0" borderId="0" xfId="4" applyFont="1"/>
    <xf numFmtId="176" fontId="7" fillId="0" borderId="0" xfId="0" applyNumberFormat="1" applyFont="1"/>
    <xf numFmtId="0" fontId="12" fillId="7" borderId="5" xfId="2" applyFont="1" applyFill="1" applyBorder="1"/>
    <xf numFmtId="0" fontId="3" fillId="7" borderId="5" xfId="0" applyFont="1" applyFill="1" applyBorder="1"/>
    <xf numFmtId="171" fontId="9" fillId="7" borderId="5" xfId="0" applyNumberFormat="1" applyFont="1" applyFill="1" applyBorder="1"/>
    <xf numFmtId="0" fontId="9" fillId="7" borderId="5" xfId="4" applyFont="1" applyFill="1" applyBorder="1" applyAlignment="1">
      <alignment horizontal="centerContinuous"/>
    </xf>
    <xf numFmtId="0" fontId="3" fillId="7" borderId="5" xfId="4" applyFont="1" applyFill="1" applyBorder="1" applyAlignment="1">
      <alignment horizontal="centerContinuous"/>
    </xf>
    <xf numFmtId="176" fontId="7" fillId="0" borderId="5" xfId="0" applyNumberFormat="1" applyFont="1" applyBorder="1"/>
    <xf numFmtId="0" fontId="12" fillId="7" borderId="8" xfId="2" applyFont="1" applyFill="1" applyBorder="1" applyAlignment="1">
      <alignment horizontal="left"/>
    </xf>
    <xf numFmtId="0" fontId="6" fillId="7" borderId="8" xfId="2" applyFont="1" applyFill="1" applyBorder="1"/>
    <xf numFmtId="176" fontId="12" fillId="7" borderId="0" xfId="2" applyNumberFormat="1" applyFont="1" applyFill="1"/>
    <xf numFmtId="189" fontId="7" fillId="0" borderId="0" xfId="0" applyNumberFormat="1" applyFont="1"/>
    <xf numFmtId="0" fontId="12" fillId="11" borderId="9" xfId="2" applyFont="1" applyFill="1" applyBorder="1"/>
    <xf numFmtId="0" fontId="6" fillId="11" borderId="8" xfId="2" applyFont="1" applyFill="1" applyBorder="1"/>
    <xf numFmtId="44" fontId="12" fillId="11" borderId="10" xfId="2" applyNumberFormat="1" applyFont="1" applyFill="1" applyBorder="1"/>
    <xf numFmtId="0" fontId="12" fillId="11" borderId="13" xfId="2" applyFont="1" applyFill="1" applyBorder="1"/>
    <xf numFmtId="0" fontId="6" fillId="11" borderId="5" xfId="2" applyFont="1" applyFill="1" applyBorder="1"/>
    <xf numFmtId="166" fontId="12" fillId="11" borderId="14" xfId="2" applyNumberFormat="1" applyFont="1" applyFill="1" applyBorder="1"/>
    <xf numFmtId="174" fontId="7" fillId="0" borderId="0" xfId="0" applyNumberFormat="1" applyFont="1" applyAlignment="1">
      <alignment horizontal="center"/>
    </xf>
    <xf numFmtId="41" fontId="7" fillId="0" borderId="0" xfId="0" applyNumberFormat="1" applyFont="1" applyAlignment="1">
      <alignment horizontal="center"/>
    </xf>
    <xf numFmtId="42" fontId="7" fillId="0" borderId="0" xfId="0" applyNumberFormat="1" applyFont="1" applyAlignment="1">
      <alignment horizontal="center"/>
    </xf>
    <xf numFmtId="0" fontId="3" fillId="0" borderId="0" xfId="0" applyFont="1" applyAlignment="1">
      <alignment wrapText="1"/>
    </xf>
    <xf numFmtId="44" fontId="3" fillId="0" borderId="0" xfId="0" applyNumberFormat="1" applyFont="1" applyAlignment="1">
      <alignment horizontal="right"/>
    </xf>
    <xf numFmtId="43" fontId="3" fillId="0" borderId="0" xfId="0" applyNumberFormat="1" applyFont="1" applyAlignment="1">
      <alignment horizontal="right"/>
    </xf>
    <xf numFmtId="190" fontId="7" fillId="0" borderId="0" xfId="0" applyNumberFormat="1" applyFont="1" applyAlignment="1">
      <alignment horizontal="center"/>
    </xf>
    <xf numFmtId="44" fontId="6" fillId="0" borderId="0" xfId="7" applyNumberFormat="1" applyFont="1"/>
    <xf numFmtId="44" fontId="7" fillId="0" borderId="0" xfId="7" applyNumberFormat="1" applyFont="1"/>
    <xf numFmtId="0" fontId="7" fillId="0" borderId="0" xfId="7" applyFont="1"/>
    <xf numFmtId="43" fontId="7" fillId="0" borderId="0" xfId="7" applyNumberFormat="1" applyFont="1"/>
    <xf numFmtId="43" fontId="6" fillId="0" borderId="0" xfId="7" applyNumberFormat="1" applyFont="1"/>
    <xf numFmtId="0" fontId="3" fillId="0" borderId="0" xfId="7" applyFont="1"/>
    <xf numFmtId="0" fontId="12" fillId="0" borderId="0" xfId="0" applyFont="1" applyAlignment="1">
      <alignment horizontal="left" indent="1"/>
    </xf>
    <xf numFmtId="184" fontId="3" fillId="0" borderId="0" xfId="0" applyNumberFormat="1" applyFont="1"/>
    <xf numFmtId="0" fontId="9" fillId="0" borderId="8" xfId="0" applyFont="1" applyBorder="1"/>
    <xf numFmtId="41" fontId="9" fillId="0" borderId="8" xfId="0" applyNumberFormat="1" applyFont="1" applyBorder="1"/>
    <xf numFmtId="164" fontId="2" fillId="3" borderId="16" xfId="0" applyNumberFormat="1" applyFont="1" applyFill="1" applyBorder="1" applyAlignment="1">
      <alignment horizontal="center"/>
    </xf>
    <xf numFmtId="170" fontId="6" fillId="0" borderId="0" xfId="0" applyNumberFormat="1" applyFont="1"/>
    <xf numFmtId="170" fontId="6" fillId="0" borderId="5" xfId="0" applyNumberFormat="1" applyFont="1" applyBorder="1"/>
    <xf numFmtId="166" fontId="6" fillId="4" borderId="5" xfId="1" applyNumberFormat="1" applyFont="1" applyFill="1" applyBorder="1" applyAlignment="1">
      <alignment horizontal="center"/>
    </xf>
    <xf numFmtId="41" fontId="6" fillId="4" borderId="0" xfId="1" applyNumberFormat="1" applyFont="1" applyFill="1" applyBorder="1" applyAlignment="1">
      <alignment horizontal="center"/>
    </xf>
    <xf numFmtId="166" fontId="6" fillId="0" borderId="0" xfId="1" applyNumberFormat="1" applyFont="1" applyFill="1" applyBorder="1" applyAlignment="1">
      <alignment horizontal="center"/>
    </xf>
    <xf numFmtId="166" fontId="5" fillId="0" borderId="0" xfId="1" applyNumberFormat="1" applyFont="1" applyFill="1" applyBorder="1" applyAlignment="1">
      <alignment horizontal="center"/>
    </xf>
    <xf numFmtId="182" fontId="5" fillId="0" borderId="0" xfId="0" applyNumberFormat="1" applyFont="1"/>
    <xf numFmtId="193" fontId="5" fillId="0" borderId="0" xfId="1" applyNumberFormat="1" applyFont="1" applyFill="1" applyBorder="1" applyAlignment="1">
      <alignment horizontal="center"/>
    </xf>
    <xf numFmtId="192" fontId="5" fillId="4" borderId="1" xfId="1" applyNumberFormat="1" applyFont="1" applyFill="1" applyAlignment="1">
      <alignment horizontal="center"/>
    </xf>
    <xf numFmtId="182" fontId="6" fillId="0" borderId="0" xfId="0" applyNumberFormat="1" applyFont="1"/>
    <xf numFmtId="191" fontId="5" fillId="4" borderId="1" xfId="5" applyNumberFormat="1" applyFont="1" applyFill="1" applyBorder="1" applyAlignment="1">
      <alignment horizontal="center"/>
    </xf>
    <xf numFmtId="194" fontId="6" fillId="0" borderId="0" xfId="0" applyNumberFormat="1" applyFont="1"/>
    <xf numFmtId="182" fontId="3" fillId="0" borderId="0" xfId="0" applyNumberFormat="1" applyFont="1"/>
    <xf numFmtId="0" fontId="9" fillId="0" borderId="8" xfId="0" applyFont="1" applyBorder="1" applyAlignment="1">
      <alignment horizontal="left" indent="1"/>
    </xf>
    <xf numFmtId="170" fontId="5" fillId="0" borderId="0" xfId="0" applyNumberFormat="1" applyFont="1"/>
    <xf numFmtId="41" fontId="3" fillId="0" borderId="0" xfId="0" applyNumberFormat="1" applyFont="1" applyAlignment="1">
      <alignment horizontal="center"/>
    </xf>
    <xf numFmtId="3" fontId="0" fillId="0" borderId="0" xfId="0" applyNumberFormat="1"/>
    <xf numFmtId="41" fontId="5" fillId="0" borderId="0" xfId="0" applyNumberFormat="1" applyFont="1" applyAlignment="1">
      <alignment horizontal="center"/>
    </xf>
    <xf numFmtId="0" fontId="10" fillId="0" borderId="0" xfId="0" applyFont="1" applyAlignment="1">
      <alignment horizontal="left" indent="2"/>
    </xf>
    <xf numFmtId="0" fontId="38" fillId="0" borderId="0" xfId="0" applyFont="1" applyAlignment="1">
      <alignment horizontal="center"/>
    </xf>
    <xf numFmtId="184" fontId="0" fillId="4" borderId="0" xfId="0" applyNumberFormat="1" applyFill="1"/>
    <xf numFmtId="0" fontId="0" fillId="0" borderId="5" xfId="0" applyBorder="1"/>
    <xf numFmtId="184" fontId="3" fillId="0" borderId="5" xfId="0" applyNumberFormat="1" applyFont="1" applyBorder="1"/>
    <xf numFmtId="3" fontId="37" fillId="0" borderId="0" xfId="0" applyNumberFormat="1" applyFont="1"/>
    <xf numFmtId="41" fontId="0" fillId="0" borderId="0" xfId="0" applyNumberFormat="1"/>
    <xf numFmtId="0" fontId="9" fillId="0" borderId="0" xfId="0" applyFont="1" applyAlignment="1">
      <alignment horizontal="left" indent="1"/>
    </xf>
    <xf numFmtId="0" fontId="10" fillId="0" borderId="0" xfId="0" applyFont="1" applyAlignment="1">
      <alignment horizontal="left" indent="3"/>
    </xf>
    <xf numFmtId="170" fontId="4" fillId="0" borderId="5" xfId="0" applyNumberFormat="1" applyFont="1" applyBorder="1" applyAlignment="1">
      <alignment horizontal="right"/>
    </xf>
    <xf numFmtId="170" fontId="4" fillId="0" borderId="0" xfId="0" applyNumberFormat="1" applyFont="1" applyAlignment="1">
      <alignment horizontal="right"/>
    </xf>
    <xf numFmtId="184" fontId="39" fillId="4" borderId="5" xfId="0" applyNumberFormat="1" applyFont="1" applyFill="1" applyBorder="1"/>
    <xf numFmtId="184" fontId="39" fillId="4" borderId="0" xfId="0" applyNumberFormat="1" applyFont="1" applyFill="1"/>
    <xf numFmtId="41" fontId="0" fillId="4" borderId="0" xfId="0" applyNumberFormat="1" applyFill="1"/>
    <xf numFmtId="42" fontId="0" fillId="0" borderId="0" xfId="0" applyNumberFormat="1"/>
    <xf numFmtId="170" fontId="4" fillId="4" borderId="0" xfId="0" applyNumberFormat="1" applyFont="1" applyFill="1" applyAlignment="1">
      <alignment vertical="center"/>
    </xf>
    <xf numFmtId="170" fontId="6" fillId="4" borderId="0" xfId="0" applyNumberFormat="1" applyFont="1" applyFill="1"/>
    <xf numFmtId="41" fontId="3" fillId="4" borderId="0" xfId="0" applyNumberFormat="1" applyFont="1" applyFill="1"/>
    <xf numFmtId="166" fontId="6" fillId="4" borderId="0" xfId="1" applyNumberFormat="1" applyFont="1" applyFill="1" applyBorder="1" applyAlignment="1">
      <alignment horizontal="right"/>
    </xf>
    <xf numFmtId="37" fontId="3" fillId="4" borderId="5" xfId="0" applyNumberFormat="1" applyFont="1" applyFill="1" applyBorder="1"/>
    <xf numFmtId="37" fontId="6" fillId="4" borderId="0" xfId="0" applyNumberFormat="1" applyFont="1" applyFill="1" applyAlignment="1">
      <alignment vertical="top"/>
    </xf>
    <xf numFmtId="170" fontId="17" fillId="0" borderId="0" xfId="0" applyNumberFormat="1" applyFont="1" applyAlignment="1">
      <alignment horizontal="center"/>
    </xf>
    <xf numFmtId="41" fontId="0" fillId="0" borderId="5" xfId="0" applyNumberFormat="1" applyBorder="1"/>
    <xf numFmtId="41" fontId="6" fillId="0" borderId="5" xfId="0" applyNumberFormat="1" applyFont="1" applyBorder="1" applyAlignment="1">
      <alignment horizontal="center" vertical="center"/>
    </xf>
    <xf numFmtId="41" fontId="6" fillId="6" borderId="5" xfId="0" applyNumberFormat="1" applyFont="1" applyFill="1" applyBorder="1" applyAlignment="1">
      <alignment horizontal="left" vertical="center"/>
    </xf>
    <xf numFmtId="42" fontId="3" fillId="0" borderId="0" xfId="8" applyNumberFormat="1" applyFont="1"/>
    <xf numFmtId="37" fontId="5" fillId="0" borderId="0" xfId="0" applyNumberFormat="1" applyFont="1"/>
    <xf numFmtId="37" fontId="5" fillId="0" borderId="5" xfId="0" applyNumberFormat="1" applyFont="1" applyBorder="1"/>
    <xf numFmtId="167" fontId="7" fillId="4" borderId="0" xfId="0" applyNumberFormat="1" applyFont="1" applyFill="1" applyAlignment="1">
      <alignment horizontal="center"/>
    </xf>
    <xf numFmtId="0" fontId="42" fillId="0" borderId="0" xfId="3" applyFont="1" applyAlignment="1">
      <alignment horizontal="center"/>
    </xf>
    <xf numFmtId="0" fontId="43" fillId="0" borderId="0" xfId="3" applyFont="1"/>
    <xf numFmtId="0" fontId="42" fillId="0" borderId="0" xfId="3" applyFont="1"/>
    <xf numFmtId="0" fontId="3" fillId="0" borderId="0" xfId="3" applyFont="1"/>
    <xf numFmtId="0" fontId="43" fillId="0" borderId="0" xfId="3" applyFont="1" applyAlignment="1">
      <alignment horizontal="left"/>
    </xf>
    <xf numFmtId="0" fontId="42" fillId="0" borderId="0" xfId="3" applyFont="1" applyAlignment="1">
      <alignment horizontal="left" indent="1"/>
    </xf>
    <xf numFmtId="0" fontId="43" fillId="0" borderId="0" xfId="3" applyFont="1" applyAlignment="1">
      <alignment horizontal="left" indent="1"/>
    </xf>
    <xf numFmtId="0" fontId="44" fillId="0" borderId="8" xfId="3" applyFont="1" applyBorder="1" applyAlignment="1">
      <alignment horizontal="left"/>
    </xf>
    <xf numFmtId="0" fontId="42" fillId="0" borderId="8" xfId="3" applyFont="1" applyBorder="1" applyAlignment="1">
      <alignment horizontal="left" indent="1"/>
    </xf>
    <xf numFmtId="0" fontId="42" fillId="0" borderId="0" xfId="3" applyFont="1" applyAlignment="1">
      <alignment horizontal="left"/>
    </xf>
    <xf numFmtId="170" fontId="3" fillId="0" borderId="0" xfId="3" applyNumberFormat="1" applyFont="1"/>
    <xf numFmtId="0" fontId="3" fillId="0" borderId="0" xfId="3" applyFont="1" applyAlignment="1">
      <alignment horizontal="center"/>
    </xf>
    <xf numFmtId="0" fontId="3" fillId="0" borderId="0" xfId="3" applyFont="1" applyAlignment="1">
      <alignment horizontal="left" indent="1"/>
    </xf>
    <xf numFmtId="196" fontId="3" fillId="0" borderId="0" xfId="3" applyNumberFormat="1" applyFont="1"/>
    <xf numFmtId="44" fontId="3" fillId="0" borderId="0" xfId="3" applyNumberFormat="1" applyFont="1"/>
    <xf numFmtId="0" fontId="46" fillId="0" borderId="0" xfId="0" applyFont="1"/>
    <xf numFmtId="0" fontId="47" fillId="0" borderId="0" xfId="9" applyFont="1"/>
    <xf numFmtId="0" fontId="47" fillId="0" borderId="0" xfId="9" applyFont="1" applyAlignment="1">
      <alignment horizontal="right"/>
    </xf>
    <xf numFmtId="0" fontId="26" fillId="8" borderId="0" xfId="3" applyFont="1" applyFill="1" applyAlignment="1">
      <alignment horizontal="right"/>
    </xf>
    <xf numFmtId="0" fontId="27" fillId="8" borderId="0" xfId="3" applyFont="1" applyFill="1" applyAlignment="1">
      <alignment horizontal="left"/>
    </xf>
    <xf numFmtId="0" fontId="28" fillId="8" borderId="0" xfId="3" applyFont="1" applyFill="1" applyAlignment="1">
      <alignment horizontal="left"/>
    </xf>
    <xf numFmtId="0" fontId="3" fillId="5" borderId="0" xfId="3" applyFont="1" applyFill="1" applyAlignment="1">
      <alignment horizontal="centerContinuous"/>
    </xf>
    <xf numFmtId="169" fontId="6" fillId="5" borderId="0" xfId="0" applyNumberFormat="1" applyFont="1" applyFill="1" applyAlignment="1">
      <alignment horizontal="center"/>
    </xf>
    <xf numFmtId="0" fontId="12" fillId="5" borderId="0" xfId="3" applyFont="1" applyFill="1" applyAlignment="1">
      <alignment horizontal="centerContinuous"/>
    </xf>
    <xf numFmtId="14" fontId="6" fillId="5" borderId="0" xfId="0" applyNumberFormat="1" applyFont="1" applyFill="1" applyAlignment="1">
      <alignment horizontal="center"/>
    </xf>
    <xf numFmtId="0" fontId="2" fillId="8" borderId="0" xfId="3" applyFont="1" applyFill="1" applyAlignment="1">
      <alignment horizontal="centerContinuous"/>
    </xf>
    <xf numFmtId="0" fontId="8" fillId="8" borderId="0" xfId="3" applyFont="1" applyFill="1" applyAlignment="1">
      <alignment horizontal="centerContinuous"/>
    </xf>
    <xf numFmtId="0" fontId="42" fillId="8" borderId="0" xfId="3" applyFont="1" applyFill="1" applyAlignment="1">
      <alignment horizontal="centerContinuous"/>
    </xf>
    <xf numFmtId="0" fontId="42" fillId="12" borderId="0" xfId="3" applyFont="1" applyFill="1" applyAlignment="1">
      <alignment horizontal="centerContinuous"/>
    </xf>
    <xf numFmtId="41" fontId="43" fillId="0" borderId="0" xfId="3" applyNumberFormat="1" applyFont="1"/>
    <xf numFmtId="169" fontId="43" fillId="0" borderId="0" xfId="0" applyNumberFormat="1" applyFont="1" applyAlignment="1">
      <alignment horizontal="center"/>
    </xf>
    <xf numFmtId="195" fontId="5" fillId="0" borderId="0" xfId="3" applyNumberFormat="1" applyFont="1"/>
    <xf numFmtId="195" fontId="43" fillId="0" borderId="0" xfId="3" applyNumberFormat="1" applyFont="1"/>
    <xf numFmtId="182" fontId="5" fillId="0" borderId="0" xfId="3" applyNumberFormat="1" applyFont="1"/>
    <xf numFmtId="182" fontId="43" fillId="0" borderId="0" xfId="3" applyNumberFormat="1" applyFont="1"/>
    <xf numFmtId="182" fontId="42" fillId="0" borderId="0" xfId="3" applyNumberFormat="1" applyFont="1"/>
    <xf numFmtId="195" fontId="45" fillId="0" borderId="0" xfId="3" applyNumberFormat="1" applyFont="1"/>
    <xf numFmtId="195" fontId="44" fillId="0" borderId="0" xfId="3" applyNumberFormat="1" applyFont="1"/>
    <xf numFmtId="176" fontId="42" fillId="0" borderId="0" xfId="3" applyNumberFormat="1" applyFont="1"/>
    <xf numFmtId="9" fontId="42" fillId="0" borderId="0" xfId="3" applyNumberFormat="1" applyFont="1"/>
    <xf numFmtId="180" fontId="43" fillId="0" borderId="0" xfId="3" applyNumberFormat="1" applyFont="1"/>
    <xf numFmtId="6" fontId="42" fillId="0" borderId="0" xfId="3" applyNumberFormat="1" applyFont="1"/>
    <xf numFmtId="0" fontId="40" fillId="8" borderId="0" xfId="3" applyFont="1" applyFill="1" applyAlignment="1">
      <alignment horizontal="centerContinuous"/>
    </xf>
    <xf numFmtId="44" fontId="5" fillId="0" borderId="0" xfId="3" applyNumberFormat="1" applyFont="1"/>
    <xf numFmtId="4" fontId="5" fillId="0" borderId="0" xfId="3" applyNumberFormat="1" applyFont="1" applyAlignment="1">
      <alignment horizontal="right"/>
    </xf>
    <xf numFmtId="0" fontId="3" fillId="12" borderId="0" xfId="3" applyFont="1" applyFill="1"/>
    <xf numFmtId="0" fontId="9" fillId="5" borderId="0" xfId="3" applyFont="1" applyFill="1" applyAlignment="1">
      <alignment horizontal="center"/>
    </xf>
    <xf numFmtId="196" fontId="5" fillId="0" borderId="0" xfId="3" applyNumberFormat="1" applyFont="1"/>
    <xf numFmtId="44" fontId="5" fillId="0" borderId="0" xfId="3" applyNumberFormat="1" applyFont="1" applyAlignment="1">
      <alignment horizontal="right"/>
    </xf>
    <xf numFmtId="0" fontId="2" fillId="8" borderId="0" xfId="3" applyFont="1" applyFill="1" applyAlignment="1">
      <alignment horizontal="center"/>
    </xf>
    <xf numFmtId="171" fontId="5" fillId="0" borderId="0" xfId="3" applyNumberFormat="1" applyFont="1"/>
    <xf numFmtId="42" fontId="5" fillId="0" borderId="0" xfId="3" applyNumberFormat="1" applyFont="1"/>
    <xf numFmtId="197" fontId="6" fillId="0" borderId="0" xfId="3" applyNumberFormat="1" applyFont="1"/>
    <xf numFmtId="195" fontId="6" fillId="0" borderId="0" xfId="3" applyNumberFormat="1" applyFont="1"/>
    <xf numFmtId="182" fontId="6" fillId="0" borderId="0" xfId="3" applyNumberFormat="1" applyFont="1"/>
    <xf numFmtId="41" fontId="6" fillId="0" borderId="0" xfId="3" applyNumberFormat="1" applyFont="1"/>
    <xf numFmtId="180" fontId="6" fillId="0" borderId="0" xfId="3" applyNumberFormat="1" applyFont="1"/>
    <xf numFmtId="182" fontId="43" fillId="0" borderId="5" xfId="3" applyNumberFormat="1" applyFont="1" applyBorder="1"/>
    <xf numFmtId="0" fontId="43" fillId="0" borderId="0" xfId="0" applyFont="1"/>
    <xf numFmtId="0" fontId="51" fillId="0" borderId="0" xfId="0" applyFont="1"/>
    <xf numFmtId="176" fontId="51" fillId="0" borderId="0" xfId="0" applyNumberFormat="1" applyFont="1"/>
    <xf numFmtId="169" fontId="51" fillId="0" borderId="0" xfId="0" applyNumberFormat="1" applyFont="1"/>
    <xf numFmtId="14" fontId="5" fillId="4" borderId="1" xfId="0" applyNumberFormat="1" applyFont="1" applyFill="1" applyBorder="1" applyAlignment="1">
      <alignment horizontal="center"/>
    </xf>
    <xf numFmtId="9" fontId="3" fillId="0" borderId="0" xfId="8" applyFont="1"/>
    <xf numFmtId="9" fontId="42" fillId="0" borderId="0" xfId="8" applyFont="1" applyBorder="1"/>
    <xf numFmtId="169" fontId="43" fillId="0" borderId="0" xfId="0" applyNumberFormat="1" applyFont="1" applyAlignment="1">
      <alignment horizontal="center" vertical="center"/>
    </xf>
    <xf numFmtId="198" fontId="43" fillId="0" borderId="0" xfId="3" applyNumberFormat="1" applyFont="1"/>
    <xf numFmtId="41" fontId="43" fillId="0" borderId="5" xfId="3" applyNumberFormat="1" applyFont="1" applyBorder="1"/>
    <xf numFmtId="198" fontId="44" fillId="0" borderId="0" xfId="3" applyNumberFormat="1" applyFont="1"/>
    <xf numFmtId="9" fontId="3" fillId="0" borderId="0" xfId="8" applyFont="1" applyBorder="1"/>
    <xf numFmtId="4" fontId="3" fillId="0" borderId="0" xfId="3" applyNumberFormat="1" applyFont="1"/>
    <xf numFmtId="0" fontId="9" fillId="0" borderId="0" xfId="3" applyFont="1" applyAlignment="1">
      <alignment horizontal="centerContinuous"/>
    </xf>
    <xf numFmtId="0" fontId="3" fillId="0" borderId="0" xfId="3" applyFont="1" applyAlignment="1">
      <alignment horizontal="centerContinuous"/>
    </xf>
    <xf numFmtId="0" fontId="9" fillId="0" borderId="0" xfId="3" applyFont="1" applyAlignment="1">
      <alignment horizontal="center"/>
    </xf>
    <xf numFmtId="0" fontId="47" fillId="0" borderId="0" xfId="9" applyFont="1" applyFill="1" applyBorder="1" applyAlignment="1">
      <alignment horizontal="right"/>
    </xf>
    <xf numFmtId="0" fontId="50" fillId="8" borderId="0" xfId="2" applyFont="1" applyFill="1" applyAlignment="1">
      <alignment horizontal="right"/>
    </xf>
    <xf numFmtId="0" fontId="43" fillId="0" borderId="0" xfId="5" applyFont="1"/>
    <xf numFmtId="0" fontId="52" fillId="0" borderId="0" xfId="0" applyFont="1"/>
    <xf numFmtId="1" fontId="43" fillId="0" borderId="0" xfId="5" applyNumberFormat="1" applyFont="1"/>
    <xf numFmtId="41" fontId="43" fillId="0" borderId="0" xfId="5" applyNumberFormat="1" applyFont="1"/>
    <xf numFmtId="42" fontId="43" fillId="0" borderId="0" xfId="5" applyNumberFormat="1" applyFont="1"/>
    <xf numFmtId="170" fontId="43" fillId="0" borderId="0" xfId="8" applyNumberFormat="1" applyFont="1"/>
    <xf numFmtId="200" fontId="43" fillId="0" borderId="0" xfId="5" applyNumberFormat="1" applyFont="1"/>
    <xf numFmtId="0" fontId="2" fillId="0" borderId="0" xfId="2" applyFont="1"/>
    <xf numFmtId="44" fontId="2" fillId="0" borderId="0" xfId="2" applyNumberFormat="1" applyFont="1"/>
    <xf numFmtId="177" fontId="2" fillId="0" borderId="0" xfId="2" applyNumberFormat="1" applyFont="1"/>
    <xf numFmtId="171" fontId="2" fillId="0" borderId="0" xfId="2" applyNumberFormat="1" applyFont="1"/>
    <xf numFmtId="43" fontId="2" fillId="0" borderId="0" xfId="2" applyNumberFormat="1" applyFont="1" applyAlignment="1">
      <alignment horizontal="center"/>
    </xf>
    <xf numFmtId="184" fontId="2" fillId="0" borderId="0" xfId="2" applyNumberFormat="1" applyFont="1" applyAlignment="1">
      <alignment horizontal="center"/>
    </xf>
    <xf numFmtId="170" fontId="2" fillId="0" borderId="0" xfId="2" applyNumberFormat="1" applyFont="1"/>
    <xf numFmtId="14" fontId="26" fillId="8" borderId="0" xfId="2" applyNumberFormat="1" applyFont="1" applyFill="1" applyAlignment="1">
      <alignment horizontal="center"/>
    </xf>
    <xf numFmtId="183" fontId="2" fillId="8" borderId="0" xfId="0" applyNumberFormat="1" applyFont="1" applyFill="1" applyAlignment="1">
      <alignment horizontal="center"/>
    </xf>
    <xf numFmtId="170" fontId="7" fillId="4" borderId="0" xfId="0" applyNumberFormat="1" applyFont="1" applyFill="1" applyAlignment="1">
      <alignment horizontal="center"/>
    </xf>
    <xf numFmtId="9" fontId="12" fillId="9" borderId="0" xfId="8" applyFont="1" applyFill="1"/>
    <xf numFmtId="179" fontId="12" fillId="9" borderId="0" xfId="2" applyNumberFormat="1" applyFont="1" applyFill="1" applyAlignment="1">
      <alignment horizontal="right"/>
    </xf>
    <xf numFmtId="170" fontId="12" fillId="9" borderId="0" xfId="8" applyNumberFormat="1" applyFont="1" applyFill="1"/>
    <xf numFmtId="43" fontId="5" fillId="0" borderId="0" xfId="7" applyNumberFormat="1" applyFont="1" applyAlignment="1">
      <alignment horizontal="right"/>
    </xf>
    <xf numFmtId="166" fontId="6" fillId="0" borderId="0" xfId="5" applyNumberFormat="1" applyFont="1" applyAlignment="1">
      <alignment horizontal="center"/>
    </xf>
    <xf numFmtId="195" fontId="3" fillId="0" borderId="0" xfId="0" applyNumberFormat="1" applyFont="1"/>
    <xf numFmtId="199" fontId="3" fillId="0" borderId="0" xfId="0" applyNumberFormat="1" applyFont="1"/>
    <xf numFmtId="201" fontId="6" fillId="0" borderId="0" xfId="2" applyNumberFormat="1" applyFont="1"/>
    <xf numFmtId="201" fontId="6" fillId="0" borderId="5" xfId="2" applyNumberFormat="1" applyFont="1" applyBorder="1"/>
    <xf numFmtId="201" fontId="9" fillId="7" borderId="0" xfId="0" applyNumberFormat="1" applyFont="1" applyFill="1"/>
    <xf numFmtId="6" fontId="6" fillId="0" borderId="0" xfId="2" applyNumberFormat="1" applyFont="1"/>
    <xf numFmtId="6" fontId="6" fillId="0" borderId="5" xfId="2" applyNumberFormat="1" applyFont="1" applyBorder="1"/>
    <xf numFmtId="202" fontId="34" fillId="9" borderId="11" xfId="2" applyNumberFormat="1" applyFont="1" applyFill="1" applyBorder="1" applyAlignment="1">
      <alignment horizontal="center"/>
    </xf>
    <xf numFmtId="202" fontId="33" fillId="9" borderId="11" xfId="2" applyNumberFormat="1" applyFont="1" applyFill="1" applyBorder="1" applyAlignment="1">
      <alignment horizontal="center"/>
    </xf>
    <xf numFmtId="203" fontId="34" fillId="9" borderId="0" xfId="0" applyNumberFormat="1" applyFont="1" applyFill="1"/>
    <xf numFmtId="203" fontId="33" fillId="9" borderId="0" xfId="0" applyNumberFormat="1" applyFont="1" applyFill="1"/>
    <xf numFmtId="174" fontId="5" fillId="4" borderId="0" xfId="2" applyNumberFormat="1" applyFont="1" applyFill="1" applyAlignment="1">
      <alignment horizontal="center"/>
    </xf>
    <xf numFmtId="182" fontId="6" fillId="4" borderId="0" xfId="2" applyNumberFormat="1" applyFont="1" applyFill="1"/>
    <xf numFmtId="0" fontId="53" fillId="0" borderId="0" xfId="5" applyFont="1"/>
    <xf numFmtId="0" fontId="12" fillId="0" borderId="0" xfId="5" applyFont="1"/>
    <xf numFmtId="0" fontId="6" fillId="0" borderId="0" xfId="5" applyFont="1"/>
    <xf numFmtId="195" fontId="5" fillId="0" borderId="0" xfId="0" applyNumberFormat="1" applyFont="1" applyAlignment="1">
      <alignment vertical="top" wrapText="1"/>
    </xf>
    <xf numFmtId="197" fontId="43" fillId="0" borderId="0" xfId="10" applyNumberFormat="1" applyFont="1" applyAlignment="1">
      <alignment vertical="top" wrapText="1"/>
    </xf>
    <xf numFmtId="44" fontId="5" fillId="0" borderId="0" xfId="10" applyNumberFormat="1" applyFont="1" applyAlignment="1">
      <alignment vertical="top" wrapText="1"/>
    </xf>
    <xf numFmtId="204" fontId="43" fillId="0" borderId="0" xfId="10" applyNumberFormat="1" applyFont="1" applyAlignment="1">
      <alignment vertical="top" wrapText="1"/>
    </xf>
    <xf numFmtId="182" fontId="5" fillId="0" borderId="0" xfId="0" applyNumberFormat="1" applyFont="1" applyAlignment="1">
      <alignment vertical="top" wrapText="1"/>
    </xf>
    <xf numFmtId="43" fontId="5" fillId="0" borderId="0" xfId="10" applyNumberFormat="1" applyFont="1" applyAlignment="1">
      <alignment vertical="top" wrapText="1"/>
    </xf>
    <xf numFmtId="0" fontId="54" fillId="0" borderId="0" xfId="5" applyFont="1"/>
    <xf numFmtId="205" fontId="54" fillId="0" borderId="0" xfId="5" applyNumberFormat="1" applyFont="1" applyAlignment="1">
      <alignment horizontal="right"/>
    </xf>
    <xf numFmtId="206" fontId="54" fillId="0" borderId="0" xfId="5" applyNumberFormat="1" applyFont="1"/>
    <xf numFmtId="197" fontId="54" fillId="0" borderId="0" xfId="5" applyNumberFormat="1" applyFont="1" applyAlignment="1">
      <alignment horizontal="right"/>
    </xf>
    <xf numFmtId="0" fontId="54" fillId="0" borderId="8" xfId="5" applyFont="1" applyBorder="1" applyAlignment="1">
      <alignment horizontal="right"/>
    </xf>
    <xf numFmtId="42" fontId="43" fillId="0" borderId="8" xfId="5" applyNumberFormat="1" applyFont="1" applyBorder="1"/>
    <xf numFmtId="197" fontId="43" fillId="0" borderId="8" xfId="5" applyNumberFormat="1" applyFont="1" applyBorder="1"/>
    <xf numFmtId="197" fontId="54" fillId="0" borderId="8" xfId="5" applyNumberFormat="1" applyFont="1" applyBorder="1"/>
    <xf numFmtId="204" fontId="43" fillId="0" borderId="8" xfId="5" applyNumberFormat="1" applyFont="1" applyBorder="1"/>
    <xf numFmtId="204" fontId="43" fillId="0" borderId="10" xfId="5" applyNumberFormat="1" applyFont="1" applyBorder="1"/>
    <xf numFmtId="0" fontId="54" fillId="0" borderId="0" xfId="5" applyFont="1" applyAlignment="1">
      <alignment horizontal="right"/>
    </xf>
    <xf numFmtId="182" fontId="43" fillId="0" borderId="0" xfId="5" applyNumberFormat="1" applyFont="1"/>
    <xf numFmtId="197" fontId="43" fillId="0" borderId="0" xfId="5" applyNumberFormat="1" applyFont="1"/>
    <xf numFmtId="197" fontId="54" fillId="0" borderId="0" xfId="5" applyNumberFormat="1" applyFont="1"/>
    <xf numFmtId="204" fontId="43" fillId="0" borderId="0" xfId="5" applyNumberFormat="1" applyFont="1"/>
    <xf numFmtId="204" fontId="43" fillId="0" borderId="12" xfId="5" applyNumberFormat="1" applyFont="1" applyBorder="1"/>
    <xf numFmtId="0" fontId="54" fillId="0" borderId="5" xfId="5" applyFont="1" applyBorder="1" applyAlignment="1">
      <alignment horizontal="right"/>
    </xf>
    <xf numFmtId="182" fontId="43" fillId="0" borderId="5" xfId="5" applyNumberFormat="1" applyFont="1" applyBorder="1"/>
    <xf numFmtId="197" fontId="43" fillId="0" borderId="5" xfId="5" applyNumberFormat="1" applyFont="1" applyBorder="1"/>
    <xf numFmtId="197" fontId="54" fillId="0" borderId="5" xfId="5" applyNumberFormat="1" applyFont="1" applyBorder="1"/>
    <xf numFmtId="204" fontId="43" fillId="0" borderId="5" xfId="5" applyNumberFormat="1" applyFont="1" applyBorder="1"/>
    <xf numFmtId="204" fontId="43" fillId="0" borderId="14" xfId="5" applyNumberFormat="1" applyFont="1" applyBorder="1"/>
    <xf numFmtId="0" fontId="26" fillId="8" borderId="0" xfId="5" applyFont="1" applyFill="1"/>
    <xf numFmtId="0" fontId="26" fillId="8" borderId="0" xfId="5" applyFont="1" applyFill="1" applyAlignment="1">
      <alignment horizontal="center"/>
    </xf>
    <xf numFmtId="0" fontId="27" fillId="8" borderId="0" xfId="5" applyFont="1" applyFill="1" applyAlignment="1">
      <alignment horizontal="centerContinuous"/>
    </xf>
    <xf numFmtId="0" fontId="26" fillId="8" borderId="0" xfId="5" applyFont="1" applyFill="1" applyAlignment="1">
      <alignment horizontal="centerContinuous"/>
    </xf>
    <xf numFmtId="0" fontId="27" fillId="8" borderId="0" xfId="5" applyFont="1" applyFill="1"/>
    <xf numFmtId="0" fontId="29" fillId="8" borderId="0" xfId="5" applyFont="1" applyFill="1"/>
    <xf numFmtId="0" fontId="26" fillId="8" borderId="5" xfId="5" applyFont="1" applyFill="1" applyBorder="1" applyAlignment="1">
      <alignment horizontal="center"/>
    </xf>
    <xf numFmtId="0" fontId="43" fillId="0" borderId="0" xfId="6" applyFont="1" applyAlignment="1">
      <alignment horizontal="left" vertical="top"/>
    </xf>
    <xf numFmtId="0" fontId="43" fillId="0" borderId="9" xfId="5" applyFont="1" applyBorder="1" applyAlignment="1">
      <alignment horizontal="left"/>
    </xf>
    <xf numFmtId="0" fontId="43" fillId="0" borderId="11" xfId="5" applyFont="1" applyBorder="1" applyAlignment="1">
      <alignment horizontal="left"/>
    </xf>
    <xf numFmtId="0" fontId="43" fillId="0" borderId="13" xfId="5" applyFont="1" applyBorder="1" applyAlignment="1">
      <alignment horizontal="left"/>
    </xf>
    <xf numFmtId="0" fontId="43" fillId="0" borderId="8" xfId="5" applyFont="1" applyBorder="1" applyAlignment="1">
      <alignment horizontal="left"/>
    </xf>
    <xf numFmtId="0" fontId="43" fillId="0" borderId="0" xfId="5" applyFont="1" applyAlignment="1">
      <alignment horizontal="left"/>
    </xf>
    <xf numFmtId="0" fontId="43" fillId="0" borderId="5" xfId="5" applyFont="1" applyBorder="1" applyAlignment="1">
      <alignment horizontal="left"/>
    </xf>
    <xf numFmtId="14" fontId="43" fillId="0" borderId="0" xfId="6" applyNumberFormat="1" applyFont="1" applyAlignment="1">
      <alignment horizontal="left" vertical="top"/>
    </xf>
    <xf numFmtId="3" fontId="55" fillId="0" borderId="0" xfId="0" applyNumberFormat="1" applyFont="1"/>
    <xf numFmtId="0" fontId="12" fillId="5" borderId="6" xfId="5" applyFont="1" applyFill="1" applyBorder="1" applyAlignment="1">
      <alignment horizontal="left"/>
    </xf>
    <xf numFmtId="0" fontId="12" fillId="5" borderId="7" xfId="5" applyFont="1" applyFill="1" applyBorder="1" applyAlignment="1">
      <alignment horizontal="left"/>
    </xf>
    <xf numFmtId="0" fontId="12" fillId="5" borderId="7" xfId="5" applyFont="1" applyFill="1" applyBorder="1" applyAlignment="1">
      <alignment horizontal="right"/>
    </xf>
    <xf numFmtId="182" fontId="12" fillId="5" borderId="7" xfId="5" applyNumberFormat="1" applyFont="1" applyFill="1" applyBorder="1"/>
    <xf numFmtId="197" fontId="12" fillId="5" borderId="7" xfId="5" applyNumberFormat="1" applyFont="1" applyFill="1" applyBorder="1"/>
    <xf numFmtId="204" fontId="12" fillId="5" borderId="7" xfId="5" applyNumberFormat="1" applyFont="1" applyFill="1" applyBorder="1"/>
    <xf numFmtId="204" fontId="12" fillId="5" borderId="15" xfId="5" applyNumberFormat="1" applyFont="1" applyFill="1" applyBorder="1"/>
    <xf numFmtId="0" fontId="43" fillId="0" borderId="0" xfId="6" applyFont="1" applyAlignment="1">
      <alignment horizontal="center" vertical="top"/>
    </xf>
    <xf numFmtId="0" fontId="6" fillId="0" borderId="0" xfId="5" applyFont="1" applyAlignment="1">
      <alignment horizontal="left"/>
    </xf>
    <xf numFmtId="0" fontId="6" fillId="0" borderId="0" xfId="5" applyFont="1" applyAlignment="1">
      <alignment horizontal="center"/>
    </xf>
    <xf numFmtId="44" fontId="6" fillId="0" borderId="0" xfId="5" applyNumberFormat="1" applyFont="1"/>
    <xf numFmtId="0" fontId="42" fillId="0" borderId="0" xfId="3" applyFont="1" applyAlignment="1">
      <alignment horizontal="centerContinuous"/>
    </xf>
    <xf numFmtId="0" fontId="45" fillId="0" borderId="0" xfId="3" applyFont="1" applyAlignment="1">
      <alignment horizontal="centerContinuous"/>
    </xf>
    <xf numFmtId="3" fontId="5" fillId="0" borderId="0" xfId="3" applyNumberFormat="1" applyFont="1" applyAlignment="1">
      <alignment horizontal="right"/>
    </xf>
    <xf numFmtId="42" fontId="43" fillId="0" borderId="0" xfId="3" applyNumberFormat="1" applyFont="1"/>
    <xf numFmtId="41" fontId="5" fillId="0" borderId="0" xfId="3" applyNumberFormat="1" applyFont="1"/>
    <xf numFmtId="176" fontId="3" fillId="0" borderId="0" xfId="3" applyNumberFormat="1" applyFont="1"/>
    <xf numFmtId="44" fontId="3" fillId="0" borderId="0" xfId="3" applyNumberFormat="1" applyFont="1" applyAlignment="1">
      <alignment horizontal="centerContinuous"/>
    </xf>
    <xf numFmtId="42" fontId="3" fillId="0" borderId="0" xfId="3" applyNumberFormat="1" applyFont="1"/>
    <xf numFmtId="41" fontId="3" fillId="0" borderId="0" xfId="3" applyNumberFormat="1" applyFont="1"/>
    <xf numFmtId="4" fontId="5" fillId="0" borderId="0" xfId="3" applyNumberFormat="1" applyFont="1"/>
    <xf numFmtId="4" fontId="9" fillId="0" borderId="0" xfId="3" applyNumberFormat="1" applyFont="1"/>
    <xf numFmtId="201" fontId="5" fillId="0" borderId="0" xfId="0" applyNumberFormat="1" applyFont="1" applyAlignment="1">
      <alignment vertical="top" wrapText="1"/>
    </xf>
    <xf numFmtId="41" fontId="56" fillId="6" borderId="0" xfId="0" applyNumberFormat="1" applyFont="1" applyFill="1" applyAlignment="1">
      <alignment horizontal="center" vertical="center"/>
    </xf>
    <xf numFmtId="41" fontId="56" fillId="6" borderId="0" xfId="0" applyNumberFormat="1" applyFont="1" applyFill="1" applyAlignment="1">
      <alignment horizontal="left" vertical="center"/>
    </xf>
    <xf numFmtId="0" fontId="10" fillId="0" borderId="8" xfId="0" applyFont="1" applyBorder="1"/>
    <xf numFmtId="0" fontId="3" fillId="0" borderId="8" xfId="0" applyFont="1" applyBorder="1"/>
    <xf numFmtId="0" fontId="8" fillId="8" borderId="0" xfId="0" applyFont="1" applyFill="1"/>
    <xf numFmtId="0" fontId="57" fillId="8" borderId="0" xfId="0" applyFont="1" applyFill="1"/>
    <xf numFmtId="0" fontId="2" fillId="8" borderId="5" xfId="0" applyFont="1" applyFill="1" applyBorder="1"/>
    <xf numFmtId="41" fontId="5" fillId="6" borderId="0" xfId="0" applyNumberFormat="1" applyFont="1" applyFill="1" applyAlignment="1">
      <alignment horizontal="left" vertical="center"/>
    </xf>
    <xf numFmtId="41" fontId="9" fillId="0" borderId="0" xfId="0" applyNumberFormat="1" applyFont="1" applyAlignment="1">
      <alignment horizontal="right" indent="1"/>
    </xf>
    <xf numFmtId="170" fontId="4" fillId="0" borderId="0" xfId="8" applyNumberFormat="1" applyFont="1"/>
    <xf numFmtId="201" fontId="15" fillId="6" borderId="0" xfId="0" applyNumberFormat="1" applyFont="1" applyFill="1" applyAlignment="1">
      <alignment horizontal="left" vertical="center"/>
    </xf>
    <xf numFmtId="201" fontId="44" fillId="0" borderId="0" xfId="0" applyNumberFormat="1" applyFont="1"/>
    <xf numFmtId="201" fontId="9" fillId="0" borderId="8" xfId="0" applyNumberFormat="1" applyFont="1" applyBorder="1"/>
    <xf numFmtId="0" fontId="26" fillId="8" borderId="5" xfId="11" applyFont="1" applyFill="1" applyBorder="1" applyAlignment="1">
      <alignment horizontal="left"/>
    </xf>
    <xf numFmtId="0" fontId="9" fillId="0" borderId="5" xfId="11" applyFont="1" applyBorder="1" applyAlignment="1">
      <alignment horizontal="center"/>
    </xf>
    <xf numFmtId="0" fontId="3" fillId="0" borderId="0" xfId="11" applyFont="1"/>
    <xf numFmtId="169" fontId="3" fillId="0" borderId="0" xfId="11" applyNumberFormat="1" applyFont="1" applyAlignment="1">
      <alignment horizontal="center"/>
    </xf>
    <xf numFmtId="42" fontId="6" fillId="0" borderId="0" xfId="11" applyNumberFormat="1" applyFont="1" applyAlignment="1">
      <alignment horizontal="center"/>
    </xf>
    <xf numFmtId="41" fontId="6" fillId="0" borderId="0" xfId="11" applyNumberFormat="1" applyFont="1" applyAlignment="1">
      <alignment horizontal="center"/>
    </xf>
    <xf numFmtId="42" fontId="6" fillId="0" borderId="0" xfId="11" applyNumberFormat="1" applyFont="1"/>
    <xf numFmtId="207" fontId="6" fillId="0" borderId="0" xfId="11" applyNumberFormat="1" applyFont="1" applyAlignment="1">
      <alignment horizontal="right"/>
    </xf>
    <xf numFmtId="9" fontId="3" fillId="0" borderId="0" xfId="11" applyNumberFormat="1" applyFont="1"/>
    <xf numFmtId="169" fontId="3" fillId="0" borderId="0" xfId="11" applyNumberFormat="1" applyFont="1"/>
    <xf numFmtId="0" fontId="9" fillId="0" borderId="0" xfId="11" applyFont="1"/>
    <xf numFmtId="0" fontId="3" fillId="0" borderId="6" xfId="11" applyFont="1" applyBorder="1"/>
    <xf numFmtId="0" fontId="3" fillId="0" borderId="17" xfId="11" applyFont="1" applyBorder="1"/>
    <xf numFmtId="0" fontId="3" fillId="0" borderId="15" xfId="11" applyFont="1" applyBorder="1"/>
    <xf numFmtId="0" fontId="3" fillId="0" borderId="0" xfId="11" quotePrefix="1" applyFont="1"/>
    <xf numFmtId="0" fontId="9" fillId="0" borderId="0" xfId="11" applyFont="1" applyAlignment="1">
      <alignment horizontal="centerContinuous"/>
    </xf>
    <xf numFmtId="0" fontId="3" fillId="0" borderId="0" xfId="11" applyFont="1" applyAlignment="1">
      <alignment horizontal="centerContinuous"/>
    </xf>
    <xf numFmtId="14" fontId="7" fillId="0" borderId="5" xfId="11" applyNumberFormat="1" applyFont="1" applyBorder="1"/>
    <xf numFmtId="1" fontId="7" fillId="0" borderId="5" xfId="5" applyNumberFormat="1" applyFont="1" applyBorder="1"/>
    <xf numFmtId="42" fontId="3" fillId="0" borderId="0" xfId="11" applyNumberFormat="1" applyFont="1"/>
    <xf numFmtId="41" fontId="3" fillId="0" borderId="0" xfId="11" applyNumberFormat="1" applyFont="1"/>
    <xf numFmtId="0" fontId="7" fillId="0" borderId="5" xfId="5" applyFont="1" applyBorder="1"/>
    <xf numFmtId="0" fontId="3" fillId="0" borderId="5" xfId="11" applyFont="1" applyBorder="1" applyAlignment="1">
      <alignment horizontal="center"/>
    </xf>
    <xf numFmtId="180" fontId="6" fillId="0" borderId="0" xfId="3" applyNumberFormat="1" applyFont="1" applyAlignment="1">
      <alignment horizontal="center"/>
    </xf>
    <xf numFmtId="44" fontId="3" fillId="0" borderId="0" xfId="11" applyNumberFormat="1" applyFont="1"/>
    <xf numFmtId="3" fontId="3" fillId="0" borderId="0" xfId="11" applyNumberFormat="1" applyFont="1"/>
    <xf numFmtId="43" fontId="3" fillId="0" borderId="0" xfId="11" applyNumberFormat="1" applyFont="1"/>
    <xf numFmtId="170" fontId="6" fillId="0" borderId="0" xfId="8" applyNumberFormat="1" applyFont="1"/>
    <xf numFmtId="0" fontId="53" fillId="0" borderId="0" xfId="0" applyFont="1"/>
    <xf numFmtId="0" fontId="6" fillId="0" borderId="0" xfId="11" applyFont="1"/>
    <xf numFmtId="0" fontId="42" fillId="0" borderId="0" xfId="11" applyFont="1"/>
    <xf numFmtId="0" fontId="43" fillId="0" borderId="0" xfId="11" applyFont="1"/>
    <xf numFmtId="0" fontId="58" fillId="0" borderId="0" xfId="0" applyFont="1" applyAlignment="1">
      <alignment horizontal="center"/>
    </xf>
    <xf numFmtId="42" fontId="43" fillId="0" borderId="0" xfId="0" applyNumberFormat="1" applyFont="1"/>
    <xf numFmtId="180" fontId="10" fillId="0" borderId="0" xfId="0" applyNumberFormat="1" applyFont="1" applyAlignment="1">
      <alignment horizontal="center"/>
    </xf>
    <xf numFmtId="0" fontId="58" fillId="0" borderId="0" xfId="0" applyFont="1" applyAlignment="1">
      <alignment horizontal="left" indent="1"/>
    </xf>
    <xf numFmtId="180" fontId="58" fillId="0" borderId="0" xfId="0" applyNumberFormat="1" applyFont="1"/>
    <xf numFmtId="0" fontId="59" fillId="0" borderId="0" xfId="0" applyFont="1" applyAlignment="1">
      <alignment horizontal="left" indent="1"/>
    </xf>
    <xf numFmtId="41" fontId="43" fillId="0" borderId="0" xfId="0" applyNumberFormat="1" applyFont="1"/>
    <xf numFmtId="0" fontId="58" fillId="0" borderId="0" xfId="11" applyFont="1" applyAlignment="1">
      <alignment horizontal="left" indent="1"/>
    </xf>
    <xf numFmtId="0" fontId="60" fillId="0" borderId="0" xfId="11" applyFont="1"/>
    <xf numFmtId="0" fontId="44" fillId="0" borderId="0" xfId="11" applyFont="1"/>
    <xf numFmtId="42" fontId="61" fillId="0" borderId="0" xfId="0" applyNumberFormat="1" applyFont="1"/>
    <xf numFmtId="0" fontId="63" fillId="0" borderId="0" xfId="11" applyFont="1"/>
    <xf numFmtId="41" fontId="7" fillId="0" borderId="0" xfId="0" applyNumberFormat="1" applyFont="1"/>
    <xf numFmtId="0" fontId="58" fillId="0" borderId="0" xfId="11" applyFont="1" applyAlignment="1">
      <alignment horizontal="center"/>
    </xf>
    <xf numFmtId="174" fontId="7" fillId="0" borderId="0" xfId="5" applyNumberFormat="1" applyFont="1"/>
    <xf numFmtId="0" fontId="2" fillId="8" borderId="2" xfId="0" applyFont="1" applyFill="1" applyBorder="1" applyAlignment="1">
      <alignment horizontal="centerContinuous"/>
    </xf>
    <xf numFmtId="0" fontId="2" fillId="8" borderId="18" xfId="0" applyFont="1" applyFill="1" applyBorder="1" applyAlignment="1">
      <alignment horizontal="centerContinuous"/>
    </xf>
    <xf numFmtId="0" fontId="33" fillId="8" borderId="5" xfId="0" applyFont="1" applyFill="1" applyBorder="1" applyAlignment="1">
      <alignment horizontal="center"/>
    </xf>
    <xf numFmtId="0" fontId="2" fillId="8" borderId="0" xfId="0" applyFont="1" applyFill="1" applyAlignment="1">
      <alignment horizontal="centerContinuous"/>
    </xf>
    <xf numFmtId="183" fontId="12" fillId="13" borderId="0" xfId="0" applyNumberFormat="1" applyFont="1" applyFill="1" applyAlignment="1">
      <alignment horizontal="center"/>
    </xf>
    <xf numFmtId="0" fontId="2" fillId="8" borderId="3" xfId="0" applyFont="1" applyFill="1" applyBorder="1" applyAlignment="1">
      <alignment horizontal="centerContinuous"/>
    </xf>
    <xf numFmtId="0" fontId="2" fillId="8" borderId="0" xfId="0" applyFont="1" applyFill="1"/>
    <xf numFmtId="0" fontId="33" fillId="8" borderId="0" xfId="0" applyFont="1" applyFill="1" applyAlignment="1">
      <alignment horizontal="center"/>
    </xf>
    <xf numFmtId="183" fontId="2" fillId="8" borderId="4" xfId="0" applyNumberFormat="1" applyFont="1" applyFill="1" applyBorder="1" applyAlignment="1">
      <alignment horizontal="center"/>
    </xf>
    <xf numFmtId="0" fontId="12" fillId="13" borderId="0" xfId="0" applyFont="1" applyFill="1"/>
    <xf numFmtId="0" fontId="4" fillId="13" borderId="0" xfId="0" applyFont="1" applyFill="1"/>
    <xf numFmtId="0" fontId="2" fillId="0" borderId="0" xfId="0" applyFont="1" applyAlignment="1">
      <alignment horizontal="centerContinuous"/>
    </xf>
    <xf numFmtId="183" fontId="2" fillId="0" borderId="0" xfId="0" applyNumberFormat="1" applyFont="1" applyAlignment="1">
      <alignment horizontal="center"/>
    </xf>
    <xf numFmtId="169" fontId="2" fillId="8" borderId="19" xfId="0" applyNumberFormat="1" applyFont="1" applyFill="1" applyBorder="1" applyAlignment="1">
      <alignment horizontal="center"/>
    </xf>
    <xf numFmtId="0" fontId="4" fillId="0" borderId="0" xfId="0" applyFont="1"/>
    <xf numFmtId="183" fontId="12" fillId="0" borderId="0" xfId="0" applyNumberFormat="1" applyFont="1" applyAlignment="1">
      <alignment horizontal="center"/>
    </xf>
    <xf numFmtId="9" fontId="62" fillId="0" borderId="0" xfId="8" applyFont="1"/>
    <xf numFmtId="0" fontId="43" fillId="0" borderId="0" xfId="0" applyFont="1" applyAlignment="1">
      <alignment horizontal="left"/>
    </xf>
    <xf numFmtId="0" fontId="64" fillId="6" borderId="0" xfId="0" applyFont="1" applyFill="1" applyAlignment="1">
      <alignment horizontal="center" vertical="center" wrapText="1"/>
    </xf>
    <xf numFmtId="3" fontId="64" fillId="6" borderId="0" xfId="0" applyNumberFormat="1" applyFont="1" applyFill="1" applyAlignment="1">
      <alignment horizontal="center" vertical="center" wrapText="1"/>
    </xf>
    <xf numFmtId="0" fontId="5" fillId="0" borderId="0" xfId="0" applyFont="1"/>
    <xf numFmtId="0" fontId="30" fillId="0" borderId="0" xfId="0" applyFont="1" applyAlignment="1">
      <alignment horizontal="left" indent="1"/>
    </xf>
    <xf numFmtId="0" fontId="0" fillId="0" borderId="0" xfId="0" applyAlignment="1">
      <alignment horizontal="left" indent="1"/>
    </xf>
    <xf numFmtId="0" fontId="6" fillId="0" borderId="0" xfId="5" applyFont="1" applyAlignment="1">
      <alignment horizontal="left" indent="1"/>
    </xf>
    <xf numFmtId="0" fontId="57" fillId="0" borderId="0" xfId="0" applyFont="1"/>
    <xf numFmtId="4" fontId="3" fillId="0" borderId="0" xfId="11" applyNumberFormat="1" applyFont="1"/>
    <xf numFmtId="169" fontId="6" fillId="0" borderId="0" xfId="0" applyNumberFormat="1" applyFont="1" applyAlignment="1">
      <alignment horizontal="left"/>
    </xf>
    <xf numFmtId="0" fontId="3" fillId="14" borderId="0" xfId="11" applyFont="1" applyFill="1"/>
    <xf numFmtId="0" fontId="3" fillId="4" borderId="0" xfId="11" applyFont="1" applyFill="1"/>
    <xf numFmtId="0" fontId="3" fillId="15" borderId="0" xfId="11" applyFont="1" applyFill="1"/>
    <xf numFmtId="0" fontId="9" fillId="13" borderId="5" xfId="11" applyFont="1" applyFill="1" applyBorder="1" applyAlignment="1">
      <alignment horizontal="center"/>
    </xf>
    <xf numFmtId="0" fontId="9" fillId="13" borderId="5" xfId="11" applyFont="1" applyFill="1" applyBorder="1"/>
    <xf numFmtId="0" fontId="3" fillId="0" borderId="0" xfId="11" applyFont="1" applyAlignment="1">
      <alignment horizontal="center"/>
    </xf>
    <xf numFmtId="172" fontId="7" fillId="0" borderId="0" xfId="0" applyNumberFormat="1" applyFont="1" applyAlignment="1">
      <alignment horizontal="right"/>
    </xf>
    <xf numFmtId="172" fontId="6" fillId="6" borderId="0" xfId="0" applyNumberFormat="1" applyFont="1" applyFill="1" applyAlignment="1">
      <alignment horizontal="left" vertical="center"/>
    </xf>
    <xf numFmtId="9" fontId="7" fillId="0" borderId="0" xfId="8" applyFont="1"/>
    <xf numFmtId="0" fontId="26" fillId="0" borderId="0" xfId="3" applyFont="1" applyAlignment="1">
      <alignment horizontal="right"/>
    </xf>
    <xf numFmtId="0" fontId="50" fillId="0" borderId="0" xfId="2" applyFont="1" applyAlignment="1">
      <alignment horizontal="right"/>
    </xf>
    <xf numFmtId="14" fontId="6" fillId="0" borderId="0" xfId="0" applyNumberFormat="1" applyFont="1" applyAlignment="1">
      <alignment horizontal="center"/>
    </xf>
    <xf numFmtId="0" fontId="40" fillId="0" borderId="0" xfId="3" applyFont="1" applyAlignment="1">
      <alignment horizontal="centerContinuous"/>
    </xf>
    <xf numFmtId="0" fontId="8" fillId="0" borderId="0" xfId="3" applyFont="1" applyAlignment="1">
      <alignment horizontal="centerContinuous"/>
    </xf>
    <xf numFmtId="0" fontId="2" fillId="0" borderId="0" xfId="3" applyFont="1" applyAlignment="1">
      <alignment horizontal="center"/>
    </xf>
    <xf numFmtId="169" fontId="6" fillId="0" borderId="0" xfId="0" applyNumberFormat="1" applyFont="1" applyAlignment="1">
      <alignment horizontal="center"/>
    </xf>
    <xf numFmtId="204" fontId="7" fillId="0" borderId="0" xfId="5" applyNumberFormat="1" applyFont="1" applyAlignment="1">
      <alignment horizontal="center"/>
    </xf>
    <xf numFmtId="43" fontId="43" fillId="0" borderId="0" xfId="5" applyNumberFormat="1" applyFont="1"/>
    <xf numFmtId="0" fontId="65" fillId="0" borderId="0" xfId="0" applyFont="1"/>
    <xf numFmtId="170" fontId="3" fillId="0" borderId="0" xfId="8" applyNumberFormat="1" applyFont="1"/>
    <xf numFmtId="180" fontId="6" fillId="0" borderId="0" xfId="3" applyNumberFormat="1" applyFont="1" applyAlignment="1">
      <alignment horizontal="right"/>
    </xf>
    <xf numFmtId="208" fontId="66" fillId="6" borderId="0" xfId="0" applyNumberFormat="1" applyFont="1" applyFill="1" applyAlignment="1">
      <alignment horizontal="left" vertical="center"/>
    </xf>
    <xf numFmtId="43" fontId="66" fillId="6" borderId="0" xfId="0" applyNumberFormat="1" applyFont="1" applyFill="1" applyAlignment="1">
      <alignment horizontal="right" vertical="center"/>
    </xf>
    <xf numFmtId="41" fontId="66" fillId="6" borderId="0" xfId="0" applyNumberFormat="1" applyFont="1" applyFill="1" applyAlignment="1">
      <alignment horizontal="right" vertical="center"/>
    </xf>
    <xf numFmtId="0" fontId="3" fillId="0" borderId="0" xfId="11" applyFont="1" applyAlignment="1">
      <alignment horizontal="right"/>
    </xf>
    <xf numFmtId="43" fontId="3" fillId="3" borderId="2" xfId="0" applyNumberFormat="1" applyFont="1" applyFill="1" applyBorder="1"/>
    <xf numFmtId="0" fontId="2" fillId="3" borderId="2" xfId="0" applyFont="1" applyFill="1" applyBorder="1"/>
    <xf numFmtId="164" fontId="2" fillId="3" borderId="20" xfId="0" applyNumberFormat="1" applyFont="1" applyFill="1" applyBorder="1"/>
    <xf numFmtId="164" fontId="2" fillId="3" borderId="21" xfId="0" applyNumberFormat="1" applyFont="1" applyFill="1" applyBorder="1"/>
    <xf numFmtId="164" fontId="2" fillId="3" borderId="16" xfId="0" applyNumberFormat="1" applyFont="1" applyFill="1" applyBorder="1"/>
    <xf numFmtId="164" fontId="2" fillId="3" borderId="22" xfId="0" applyNumberFormat="1" applyFont="1" applyFill="1" applyBorder="1"/>
    <xf numFmtId="6" fontId="11" fillId="0" borderId="0" xfId="0" applyNumberFormat="1" applyFont="1" applyAlignment="1">
      <alignment horizontal="right" indent="1"/>
    </xf>
    <xf numFmtId="0" fontId="9" fillId="0" borderId="0" xfId="0" applyFont="1" applyAlignment="1">
      <alignment horizontal="center" vertical="center"/>
    </xf>
    <xf numFmtId="15" fontId="9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3" fontId="3" fillId="0" borderId="0" xfId="0" applyNumberFormat="1" applyFont="1" applyAlignment="1">
      <alignment horizontal="left" vertical="center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/>
    <xf numFmtId="3" fontId="3" fillId="0" borderId="5" xfId="0" applyNumberFormat="1" applyFont="1" applyBorder="1"/>
    <xf numFmtId="41" fontId="5" fillId="0" borderId="0" xfId="1" applyNumberFormat="1" applyFont="1" applyFill="1" applyBorder="1" applyAlignment="1">
      <alignment horizontal="center"/>
    </xf>
    <xf numFmtId="0" fontId="12" fillId="6" borderId="0" xfId="0" applyFont="1" applyFill="1" applyAlignment="1">
      <alignment horizontal="center" vertical="center"/>
    </xf>
    <xf numFmtId="9" fontId="4" fillId="4" borderId="0" xfId="0" applyNumberFormat="1" applyFont="1" applyFill="1" applyAlignment="1">
      <alignment horizontal="right"/>
    </xf>
    <xf numFmtId="9" fontId="4" fillId="0" borderId="5" xfId="0" applyNumberFormat="1" applyFont="1" applyBorder="1" applyAlignment="1">
      <alignment horizontal="right"/>
    </xf>
    <xf numFmtId="0" fontId="4" fillId="0" borderId="0" xfId="0" applyFont="1" applyAlignment="1">
      <alignment horizontal="left" vertical="center" indent="1"/>
    </xf>
    <xf numFmtId="6" fontId="6" fillId="0" borderId="0" xfId="0" applyNumberFormat="1" applyFont="1" applyAlignment="1">
      <alignment horizontal="right" vertical="center" indent="1"/>
    </xf>
    <xf numFmtId="9" fontId="4" fillId="0" borderId="0" xfId="0" applyNumberFormat="1" applyFont="1" applyAlignment="1">
      <alignment horizontal="right" vertical="center" indent="1"/>
    </xf>
    <xf numFmtId="6" fontId="3" fillId="4" borderId="0" xfId="0" applyNumberFormat="1" applyFont="1" applyFill="1" applyAlignment="1">
      <alignment horizontal="right"/>
    </xf>
    <xf numFmtId="6" fontId="4" fillId="0" borderId="0" xfId="0" applyNumberFormat="1" applyFont="1" applyAlignment="1">
      <alignment horizontal="right"/>
    </xf>
    <xf numFmtId="9" fontId="4" fillId="4" borderId="0" xfId="8" applyFont="1" applyFill="1" applyAlignment="1">
      <alignment horizontal="right"/>
    </xf>
    <xf numFmtId="9" fontId="10" fillId="4" borderId="0" xfId="8" applyFont="1" applyFill="1" applyAlignment="1">
      <alignment horizontal="right"/>
    </xf>
    <xf numFmtId="202" fontId="2" fillId="5" borderId="6" xfId="5" applyNumberFormat="1" applyFont="1" applyFill="1" applyBorder="1"/>
    <xf numFmtId="42" fontId="2" fillId="5" borderId="7" xfId="5" applyNumberFormat="1" applyFont="1" applyFill="1" applyBorder="1"/>
    <xf numFmtId="202" fontId="2" fillId="5" borderId="7" xfId="5" applyNumberFormat="1" applyFont="1" applyFill="1" applyBorder="1"/>
    <xf numFmtId="42" fontId="2" fillId="5" borderId="6" xfId="5" applyNumberFormat="1" applyFont="1" applyFill="1" applyBorder="1"/>
    <xf numFmtId="184" fontId="2" fillId="5" borderId="7" xfId="2" applyNumberFormat="1" applyFont="1" applyFill="1" applyBorder="1"/>
    <xf numFmtId="184" fontId="2" fillId="5" borderId="15" xfId="2" applyNumberFormat="1" applyFont="1" applyFill="1" applyBorder="1"/>
    <xf numFmtId="202" fontId="2" fillId="5" borderId="15" xfId="5" applyNumberFormat="1" applyFont="1" applyFill="1" applyBorder="1"/>
    <xf numFmtId="166" fontId="5" fillId="4" borderId="0" xfId="1" applyNumberFormat="1" applyFont="1" applyFill="1" applyBorder="1" applyAlignment="1">
      <alignment horizontal="center"/>
    </xf>
    <xf numFmtId="171" fontId="6" fillId="0" borderId="0" xfId="5" applyNumberFormat="1" applyFont="1"/>
    <xf numFmtId="174" fontId="5" fillId="0" borderId="0" xfId="2" applyNumberFormat="1" applyFont="1" applyAlignment="1">
      <alignment horizontal="center"/>
    </xf>
    <xf numFmtId="174" fontId="7" fillId="0" borderId="0" xfId="5" applyNumberFormat="1" applyFont="1" applyAlignment="1">
      <alignment horizontal="right"/>
    </xf>
    <xf numFmtId="180" fontId="62" fillId="0" borderId="0" xfId="0" applyNumberFormat="1" applyFont="1" applyAlignment="1">
      <alignment horizontal="right"/>
    </xf>
    <xf numFmtId="9" fontId="61" fillId="0" borderId="0" xfId="8" applyFont="1"/>
    <xf numFmtId="43" fontId="7" fillId="0" borderId="0" xfId="0" applyNumberFormat="1" applyFont="1"/>
    <xf numFmtId="9" fontId="7" fillId="0" borderId="0" xfId="8" applyFont="1" applyAlignment="1">
      <alignment horizontal="right"/>
    </xf>
    <xf numFmtId="42" fontId="7" fillId="0" borderId="0" xfId="0" applyNumberFormat="1" applyFont="1"/>
    <xf numFmtId="209" fontId="52" fillId="0" borderId="0" xfId="0" applyNumberFormat="1" applyFont="1"/>
  </cellXfs>
  <cellStyles count="13">
    <cellStyle name="Hyperlink" xfId="9" builtinId="8"/>
    <cellStyle name="Normal" xfId="0" builtinId="0"/>
    <cellStyle name="Normal 2" xfId="2" xr:uid="{6F2C6EC5-6FE3-4E5A-9ABE-D4922DA34EBF}"/>
    <cellStyle name="Normal 2 2" xfId="5" xr:uid="{52D34E92-21F7-4E46-833F-9CE736BA97C8}"/>
    <cellStyle name="Normal 2 2 2" xfId="12" xr:uid="{7FCCE35A-0358-4277-BE23-6BEF21CE598D}"/>
    <cellStyle name="Normal 3 2" xfId="3" xr:uid="{70D3FF7E-6110-4AD6-8F35-91B0C5D6A90B}"/>
    <cellStyle name="Normal 3 2 2" xfId="11" xr:uid="{B32C4B50-0E2B-4BE8-BA06-2CC00F078887}"/>
    <cellStyle name="Normal 3 3" xfId="10" xr:uid="{2C1026C7-3F57-43F6-A2AB-C2FEF8F3910B}"/>
    <cellStyle name="Normal 3 4" xfId="7" xr:uid="{76794315-A977-4267-9520-92B35AAFE7C5}"/>
    <cellStyle name="Normal 5 2" xfId="4" xr:uid="{10037CCD-2A82-49BB-9CCA-474B1E56AAF4}"/>
    <cellStyle name="Note" xfId="1" builtinId="10"/>
    <cellStyle name="Percent" xfId="8" builtinId="5"/>
    <cellStyle name="TextNormal" xfId="6" xr:uid="{CF267A1A-8887-4685-AEFD-F6AE0CEF6350}"/>
  </cellStyles>
  <dxfs count="0"/>
  <tableStyles count="0" defaultTableStyle="TableStyleMedium2" defaultPivotStyle="PivotStyleLight16"/>
  <colors>
    <mruColors>
      <color rgb="FFFFFF99"/>
      <color rgb="FF0000FF"/>
      <color rgb="FF000000"/>
      <color rgb="FFC7C6D0"/>
      <color rgb="FFDADA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Graphs!$P$27</c:f>
          <c:strCache>
            <c:ptCount val="1"/>
            <c:pt idx="0">
              <c:v>Applied Materials: Revenue, EBITDA, and Margins, FY21 to FY24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Graphs!$Q$19</c:f>
              <c:strCache>
                <c:ptCount val="1"/>
                <c:pt idx="0">
                  <c:v>Revenue</c:v>
                </c:pt>
              </c:strCache>
            </c:strRef>
          </c:tx>
          <c:spPr>
            <a:solidFill>
              <a:schemeClr val="tx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Graphs!$P$20:$P$23</c:f>
              <c:numCache>
                <c:formatCode>yyyy\-mm\-dd</c:formatCode>
                <c:ptCount val="4"/>
                <c:pt idx="0">
                  <c:v>44227</c:v>
                </c:pt>
                <c:pt idx="1">
                  <c:v>44592</c:v>
                </c:pt>
                <c:pt idx="2">
                  <c:v>44957</c:v>
                </c:pt>
                <c:pt idx="3">
                  <c:v>45322</c:v>
                </c:pt>
              </c:numCache>
            </c:numRef>
          </c:cat>
          <c:val>
            <c:numRef>
              <c:f>Graphs!$Q$20:$Q$23</c:f>
              <c:numCache>
                <c:formatCode>_("$"* #,##0_);_("$"* \(#,##0\);_("$"* "-"_);_(@_)</c:formatCode>
                <c:ptCount val="4"/>
                <c:pt idx="0">
                  <c:v>26517</c:v>
                </c:pt>
                <c:pt idx="1">
                  <c:v>27176</c:v>
                </c:pt>
                <c:pt idx="2">
                  <c:v>28207.022910228687</c:v>
                </c:pt>
                <c:pt idx="3">
                  <c:v>29577.653506353243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39-4DCA-B68C-0FA55ADE6689}"/>
            </c:ext>
          </c:extLst>
        </c:ser>
        <c:ser>
          <c:idx val="1"/>
          <c:order val="1"/>
          <c:tx>
            <c:strRef>
              <c:f>Graphs!$R$19</c:f>
              <c:strCache>
                <c:ptCount val="1"/>
                <c:pt idx="0">
                  <c:v>EBITDA</c:v>
                </c:pt>
              </c:strCache>
            </c:strRef>
          </c:tx>
          <c:spPr>
            <a:solidFill>
              <a:schemeClr val="tx2">
                <a:lumMod val="25000"/>
                <a:lumOff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Graphs!$P$20:$P$23</c:f>
              <c:numCache>
                <c:formatCode>yyyy\-mm\-dd</c:formatCode>
                <c:ptCount val="4"/>
                <c:pt idx="0">
                  <c:v>44227</c:v>
                </c:pt>
                <c:pt idx="1">
                  <c:v>44592</c:v>
                </c:pt>
                <c:pt idx="2">
                  <c:v>44957</c:v>
                </c:pt>
                <c:pt idx="3">
                  <c:v>45322</c:v>
                </c:pt>
              </c:numCache>
            </c:numRef>
          </c:cat>
          <c:val>
            <c:numRef>
              <c:f>Graphs!$R$20:$R$23</c:f>
              <c:numCache>
                <c:formatCode>_("$"* #,##0_);_("$"* \(#,##0\);_("$"* "-"_);_(@_)</c:formatCode>
                <c:ptCount val="4"/>
                <c:pt idx="0">
                  <c:v>7370.9827940421164</c:v>
                </c:pt>
                <c:pt idx="1">
                  <c:v>7569.0278285863596</c:v>
                </c:pt>
                <c:pt idx="2">
                  <c:v>7703.7275857148452</c:v>
                </c:pt>
                <c:pt idx="3">
                  <c:v>8146.6799405598113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39-4DCA-B68C-0FA55ADE6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91077599"/>
        <c:axId val="1391076639"/>
      </c:barChart>
      <c:lineChart>
        <c:grouping val="standard"/>
        <c:varyColors val="0"/>
        <c:ser>
          <c:idx val="2"/>
          <c:order val="2"/>
          <c:tx>
            <c:strRef>
              <c:f>Graphs!$S$19</c:f>
              <c:strCache>
                <c:ptCount val="1"/>
                <c:pt idx="0">
                  <c:v>EBITDA Margin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Graphs!$P$20:$P$23</c:f>
              <c:numCache>
                <c:formatCode>yyyy\-mm\-dd</c:formatCode>
                <c:ptCount val="4"/>
                <c:pt idx="0">
                  <c:v>44227</c:v>
                </c:pt>
                <c:pt idx="1">
                  <c:v>44592</c:v>
                </c:pt>
                <c:pt idx="2">
                  <c:v>44957</c:v>
                </c:pt>
                <c:pt idx="3">
                  <c:v>45322</c:v>
                </c:pt>
              </c:numCache>
            </c:numRef>
          </c:cat>
          <c:val>
            <c:numRef>
              <c:f>Graphs!$S$20:$S$23</c:f>
              <c:numCache>
                <c:formatCode>0.0\ %_);[Red]\(0.0%\)</c:formatCode>
                <c:ptCount val="4"/>
                <c:pt idx="0">
                  <c:v>0.27797197247207889</c:v>
                </c:pt>
                <c:pt idx="1">
                  <c:v>0.27851883384553872</c:v>
                </c:pt>
                <c:pt idx="2">
                  <c:v>0.27311381318874489</c:v>
                </c:pt>
                <c:pt idx="3">
                  <c:v>0.27543361202773964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039-4DCA-B68C-0FA55ADE6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5567296"/>
        <c:axId val="1455570656"/>
      </c:lineChart>
      <c:dateAx>
        <c:axId val="1391077599"/>
        <c:scaling>
          <c:orientation val="minMax"/>
        </c:scaling>
        <c:delete val="0"/>
        <c:axPos val="b"/>
        <c:numFmt formatCode="yyyy\-mm\-dd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1076639"/>
        <c:crosses val="autoZero"/>
        <c:auto val="1"/>
        <c:lblOffset val="100"/>
        <c:baseTimeUnit val="years"/>
      </c:dateAx>
      <c:valAx>
        <c:axId val="1391076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1077599"/>
        <c:crosses val="autoZero"/>
        <c:crossBetween val="between"/>
      </c:valAx>
      <c:valAx>
        <c:axId val="1455570656"/>
        <c:scaling>
          <c:orientation val="minMax"/>
        </c:scaling>
        <c:delete val="0"/>
        <c:axPos val="r"/>
        <c:numFmt formatCode="0.0\ %_);[Red]\(0.0%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5567296"/>
        <c:crosses val="max"/>
        <c:crossBetween val="between"/>
      </c:valAx>
      <c:dateAx>
        <c:axId val="1455567296"/>
        <c:scaling>
          <c:orientation val="minMax"/>
        </c:scaling>
        <c:delete val="1"/>
        <c:axPos val="b"/>
        <c:numFmt formatCode="yyyy\-mm\-dd" sourceLinked="1"/>
        <c:majorTickMark val="out"/>
        <c:minorTickMark val="none"/>
        <c:tickLblPos val="nextTo"/>
        <c:crossAx val="1455570656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AMAT LTM Price / Volume</a:t>
            </a:r>
          </a:p>
        </c:rich>
      </c:tx>
      <c:layout>
        <c:manualLayout>
          <c:xMode val="edge"/>
          <c:yMode val="edge"/>
          <c:x val="0.37905833564426727"/>
          <c:y val="3.13751131531926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solidFill>
              <a:srgbClr val="C00000"/>
            </a:solidFill>
            <a:ln>
              <a:solidFill>
                <a:srgbClr val="C00000"/>
              </a:solidFill>
            </a:ln>
            <a:effectLst/>
          </c:spPr>
          <c:invertIfNegative val="0"/>
          <c:val>
            <c:numRef>
              <c:f>Graphs!$R$113:$R$365</c:f>
              <c:numCache>
                <c:formatCode>_(* #,##0_);_(* \(#,##0\);_(* "-"_);_(@_)</c:formatCode>
                <c:ptCount val="253"/>
                <c:pt idx="0">
                  <c:v>4345500</c:v>
                </c:pt>
                <c:pt idx="1">
                  <c:v>6517100</c:v>
                </c:pt>
                <c:pt idx="2">
                  <c:v>8926500</c:v>
                </c:pt>
                <c:pt idx="3">
                  <c:v>4242600</c:v>
                </c:pt>
                <c:pt idx="4">
                  <c:v>8917400</c:v>
                </c:pt>
                <c:pt idx="5">
                  <c:v>6197300</c:v>
                </c:pt>
                <c:pt idx="6">
                  <c:v>8651100</c:v>
                </c:pt>
                <c:pt idx="7">
                  <c:v>8331100</c:v>
                </c:pt>
                <c:pt idx="8">
                  <c:v>16287500</c:v>
                </c:pt>
                <c:pt idx="9">
                  <c:v>11747400</c:v>
                </c:pt>
                <c:pt idx="10">
                  <c:v>8634600</c:v>
                </c:pt>
                <c:pt idx="11">
                  <c:v>5478400</c:v>
                </c:pt>
                <c:pt idx="12">
                  <c:v>5475200</c:v>
                </c:pt>
                <c:pt idx="13">
                  <c:v>4767300</c:v>
                </c:pt>
                <c:pt idx="14">
                  <c:v>5274700</c:v>
                </c:pt>
                <c:pt idx="15">
                  <c:v>6393300</c:v>
                </c:pt>
                <c:pt idx="16">
                  <c:v>4053000</c:v>
                </c:pt>
                <c:pt idx="17">
                  <c:v>3857600</c:v>
                </c:pt>
                <c:pt idx="18">
                  <c:v>6318900</c:v>
                </c:pt>
                <c:pt idx="19">
                  <c:v>7307500</c:v>
                </c:pt>
                <c:pt idx="20">
                  <c:v>5851300</c:v>
                </c:pt>
                <c:pt idx="21">
                  <c:v>6007400</c:v>
                </c:pt>
                <c:pt idx="22">
                  <c:v>4101000</c:v>
                </c:pt>
                <c:pt idx="23">
                  <c:v>4794700</c:v>
                </c:pt>
                <c:pt idx="24">
                  <c:v>6122100</c:v>
                </c:pt>
                <c:pt idx="25">
                  <c:v>6015200</c:v>
                </c:pt>
                <c:pt idx="26">
                  <c:v>6753600</c:v>
                </c:pt>
                <c:pt idx="27">
                  <c:v>4918100</c:v>
                </c:pt>
                <c:pt idx="28">
                  <c:v>5758600</c:v>
                </c:pt>
                <c:pt idx="29">
                  <c:v>9727100</c:v>
                </c:pt>
                <c:pt idx="30">
                  <c:v>10972600</c:v>
                </c:pt>
                <c:pt idx="31">
                  <c:v>16613200</c:v>
                </c:pt>
                <c:pt idx="32">
                  <c:v>5239300</c:v>
                </c:pt>
                <c:pt idx="33">
                  <c:v>2604100</c:v>
                </c:pt>
                <c:pt idx="34">
                  <c:v>3796800</c:v>
                </c:pt>
                <c:pt idx="35">
                  <c:v>4141600</c:v>
                </c:pt>
                <c:pt idx="36">
                  <c:v>3616100</c:v>
                </c:pt>
                <c:pt idx="37">
                  <c:v>3711100</c:v>
                </c:pt>
                <c:pt idx="38">
                  <c:v>4131100</c:v>
                </c:pt>
                <c:pt idx="39">
                  <c:v>3813300</c:v>
                </c:pt>
                <c:pt idx="40">
                  <c:v>5536600</c:v>
                </c:pt>
                <c:pt idx="41">
                  <c:v>6930100</c:v>
                </c:pt>
                <c:pt idx="42">
                  <c:v>5746000</c:v>
                </c:pt>
                <c:pt idx="43">
                  <c:v>4524800</c:v>
                </c:pt>
                <c:pt idx="44">
                  <c:v>7849800</c:v>
                </c:pt>
                <c:pt idx="45">
                  <c:v>5060100</c:v>
                </c:pt>
                <c:pt idx="46">
                  <c:v>4849700</c:v>
                </c:pt>
                <c:pt idx="47">
                  <c:v>4457900</c:v>
                </c:pt>
                <c:pt idx="48">
                  <c:v>14306900</c:v>
                </c:pt>
                <c:pt idx="49">
                  <c:v>7326100</c:v>
                </c:pt>
                <c:pt idx="50">
                  <c:v>4266900</c:v>
                </c:pt>
                <c:pt idx="51">
                  <c:v>4026100</c:v>
                </c:pt>
                <c:pt idx="52">
                  <c:v>5915800</c:v>
                </c:pt>
                <c:pt idx="53">
                  <c:v>4851300</c:v>
                </c:pt>
                <c:pt idx="54">
                  <c:v>8013000</c:v>
                </c:pt>
                <c:pt idx="55">
                  <c:v>8187100</c:v>
                </c:pt>
                <c:pt idx="56">
                  <c:v>5367900</c:v>
                </c:pt>
                <c:pt idx="57">
                  <c:v>7492500</c:v>
                </c:pt>
                <c:pt idx="58">
                  <c:v>8887900</c:v>
                </c:pt>
                <c:pt idx="59">
                  <c:v>6495000</c:v>
                </c:pt>
                <c:pt idx="60">
                  <c:v>6378100</c:v>
                </c:pt>
                <c:pt idx="61">
                  <c:v>12163400</c:v>
                </c:pt>
                <c:pt idx="62">
                  <c:v>7313800</c:v>
                </c:pt>
                <c:pt idx="63">
                  <c:v>6730300</c:v>
                </c:pt>
                <c:pt idx="64">
                  <c:v>6412500</c:v>
                </c:pt>
                <c:pt idx="65">
                  <c:v>6632500</c:v>
                </c:pt>
                <c:pt idx="66">
                  <c:v>7333900</c:v>
                </c:pt>
                <c:pt idx="67">
                  <c:v>5296400</c:v>
                </c:pt>
                <c:pt idx="68">
                  <c:v>6621900</c:v>
                </c:pt>
                <c:pt idx="69">
                  <c:v>4460500</c:v>
                </c:pt>
                <c:pt idx="70">
                  <c:v>4860300</c:v>
                </c:pt>
                <c:pt idx="71">
                  <c:v>5285400</c:v>
                </c:pt>
                <c:pt idx="72">
                  <c:v>11644600</c:v>
                </c:pt>
                <c:pt idx="73">
                  <c:v>12073500</c:v>
                </c:pt>
                <c:pt idx="74">
                  <c:v>5377900</c:v>
                </c:pt>
                <c:pt idx="75">
                  <c:v>6198900</c:v>
                </c:pt>
                <c:pt idx="76">
                  <c:v>5568100</c:v>
                </c:pt>
                <c:pt idx="77">
                  <c:v>5050800</c:v>
                </c:pt>
                <c:pt idx="78">
                  <c:v>8637100</c:v>
                </c:pt>
                <c:pt idx="79">
                  <c:v>6652100</c:v>
                </c:pt>
                <c:pt idx="80">
                  <c:v>5803900</c:v>
                </c:pt>
                <c:pt idx="81">
                  <c:v>10079100</c:v>
                </c:pt>
                <c:pt idx="82">
                  <c:v>12991600</c:v>
                </c:pt>
                <c:pt idx="83">
                  <c:v>11268300</c:v>
                </c:pt>
                <c:pt idx="84">
                  <c:v>11123700</c:v>
                </c:pt>
                <c:pt idx="85">
                  <c:v>7652600</c:v>
                </c:pt>
                <c:pt idx="86">
                  <c:v>4199200</c:v>
                </c:pt>
                <c:pt idx="87">
                  <c:v>5209000</c:v>
                </c:pt>
                <c:pt idx="88">
                  <c:v>9961400</c:v>
                </c:pt>
                <c:pt idx="89">
                  <c:v>9263400</c:v>
                </c:pt>
                <c:pt idx="90">
                  <c:v>3635300</c:v>
                </c:pt>
                <c:pt idx="91">
                  <c:v>7515600</c:v>
                </c:pt>
                <c:pt idx="92">
                  <c:v>6517100</c:v>
                </c:pt>
                <c:pt idx="93">
                  <c:v>7715800</c:v>
                </c:pt>
                <c:pt idx="94">
                  <c:v>10538900</c:v>
                </c:pt>
                <c:pt idx="95">
                  <c:v>4124800</c:v>
                </c:pt>
                <c:pt idx="96">
                  <c:v>3674300</c:v>
                </c:pt>
                <c:pt idx="97">
                  <c:v>5396300</c:v>
                </c:pt>
                <c:pt idx="98">
                  <c:v>5623800</c:v>
                </c:pt>
                <c:pt idx="99">
                  <c:v>4258100</c:v>
                </c:pt>
                <c:pt idx="100">
                  <c:v>4889900</c:v>
                </c:pt>
                <c:pt idx="101">
                  <c:v>3782100</c:v>
                </c:pt>
                <c:pt idx="102">
                  <c:v>4076200</c:v>
                </c:pt>
                <c:pt idx="103">
                  <c:v>2768800</c:v>
                </c:pt>
                <c:pt idx="104">
                  <c:v>3510600</c:v>
                </c:pt>
                <c:pt idx="105">
                  <c:v>4239600</c:v>
                </c:pt>
                <c:pt idx="106">
                  <c:v>6387400</c:v>
                </c:pt>
                <c:pt idx="107">
                  <c:v>4309600</c:v>
                </c:pt>
                <c:pt idx="108">
                  <c:v>4818700</c:v>
                </c:pt>
                <c:pt idx="109">
                  <c:v>4779000</c:v>
                </c:pt>
                <c:pt idx="110">
                  <c:v>5928700</c:v>
                </c:pt>
                <c:pt idx="111">
                  <c:v>15389100</c:v>
                </c:pt>
                <c:pt idx="112">
                  <c:v>7045000</c:v>
                </c:pt>
                <c:pt idx="113">
                  <c:v>5256900</c:v>
                </c:pt>
                <c:pt idx="114">
                  <c:v>4974600</c:v>
                </c:pt>
                <c:pt idx="115">
                  <c:v>3306500</c:v>
                </c:pt>
                <c:pt idx="116">
                  <c:v>3682400</c:v>
                </c:pt>
                <c:pt idx="117">
                  <c:v>5573500</c:v>
                </c:pt>
                <c:pt idx="118">
                  <c:v>4768600</c:v>
                </c:pt>
                <c:pt idx="119">
                  <c:v>4797900</c:v>
                </c:pt>
                <c:pt idx="120">
                  <c:v>3627200</c:v>
                </c:pt>
                <c:pt idx="121">
                  <c:v>3951200</c:v>
                </c:pt>
                <c:pt idx="122">
                  <c:v>7887900</c:v>
                </c:pt>
                <c:pt idx="123">
                  <c:v>4379600</c:v>
                </c:pt>
                <c:pt idx="124">
                  <c:v>3828100</c:v>
                </c:pt>
                <c:pt idx="125">
                  <c:v>13548700</c:v>
                </c:pt>
                <c:pt idx="126">
                  <c:v>4062500</c:v>
                </c:pt>
                <c:pt idx="127">
                  <c:v>4718800</c:v>
                </c:pt>
                <c:pt idx="128">
                  <c:v>5509400</c:v>
                </c:pt>
                <c:pt idx="129">
                  <c:v>3793700</c:v>
                </c:pt>
                <c:pt idx="130">
                  <c:v>5806600</c:v>
                </c:pt>
                <c:pt idx="131">
                  <c:v>5047000</c:v>
                </c:pt>
                <c:pt idx="132">
                  <c:v>3918200</c:v>
                </c:pt>
                <c:pt idx="133">
                  <c:v>5954500</c:v>
                </c:pt>
                <c:pt idx="134">
                  <c:v>8031800</c:v>
                </c:pt>
                <c:pt idx="135">
                  <c:v>7977900</c:v>
                </c:pt>
                <c:pt idx="136">
                  <c:v>5820900</c:v>
                </c:pt>
                <c:pt idx="137">
                  <c:v>3442200</c:v>
                </c:pt>
                <c:pt idx="138">
                  <c:v>3526900</c:v>
                </c:pt>
                <c:pt idx="139">
                  <c:v>3502900</c:v>
                </c:pt>
                <c:pt idx="140">
                  <c:v>2758200</c:v>
                </c:pt>
                <c:pt idx="141">
                  <c:v>2932300</c:v>
                </c:pt>
                <c:pt idx="142">
                  <c:v>3200900</c:v>
                </c:pt>
                <c:pt idx="143">
                  <c:v>3638500</c:v>
                </c:pt>
                <c:pt idx="144">
                  <c:v>3818500</c:v>
                </c:pt>
                <c:pt idx="145">
                  <c:v>3523200</c:v>
                </c:pt>
                <c:pt idx="146">
                  <c:v>5815500</c:v>
                </c:pt>
                <c:pt idx="147">
                  <c:v>3898200</c:v>
                </c:pt>
                <c:pt idx="148">
                  <c:v>2789200</c:v>
                </c:pt>
                <c:pt idx="149">
                  <c:v>3933500</c:v>
                </c:pt>
                <c:pt idx="150">
                  <c:v>4238300</c:v>
                </c:pt>
                <c:pt idx="151">
                  <c:v>4609400</c:v>
                </c:pt>
                <c:pt idx="152">
                  <c:v>4425900</c:v>
                </c:pt>
                <c:pt idx="153">
                  <c:v>7149800</c:v>
                </c:pt>
                <c:pt idx="154">
                  <c:v>6493500</c:v>
                </c:pt>
                <c:pt idx="155">
                  <c:v>6219400</c:v>
                </c:pt>
                <c:pt idx="156">
                  <c:v>6350300</c:v>
                </c:pt>
                <c:pt idx="157">
                  <c:v>3749200</c:v>
                </c:pt>
                <c:pt idx="158">
                  <c:v>4492500</c:v>
                </c:pt>
                <c:pt idx="159">
                  <c:v>5852400</c:v>
                </c:pt>
                <c:pt idx="160">
                  <c:v>4291600</c:v>
                </c:pt>
                <c:pt idx="161">
                  <c:v>4645300</c:v>
                </c:pt>
                <c:pt idx="162">
                  <c:v>3660100</c:v>
                </c:pt>
                <c:pt idx="163">
                  <c:v>4435500</c:v>
                </c:pt>
                <c:pt idx="164">
                  <c:v>3330100</c:v>
                </c:pt>
                <c:pt idx="165">
                  <c:v>6242800</c:v>
                </c:pt>
                <c:pt idx="166">
                  <c:v>3375600</c:v>
                </c:pt>
                <c:pt idx="167">
                  <c:v>4311400</c:v>
                </c:pt>
                <c:pt idx="168">
                  <c:v>3189700</c:v>
                </c:pt>
                <c:pt idx="169">
                  <c:v>5750100</c:v>
                </c:pt>
                <c:pt idx="170">
                  <c:v>3123900</c:v>
                </c:pt>
                <c:pt idx="171">
                  <c:v>3607400</c:v>
                </c:pt>
                <c:pt idx="172">
                  <c:v>3137600</c:v>
                </c:pt>
                <c:pt idx="173">
                  <c:v>3829200</c:v>
                </c:pt>
                <c:pt idx="174">
                  <c:v>6145200</c:v>
                </c:pt>
                <c:pt idx="175">
                  <c:v>4278000</c:v>
                </c:pt>
                <c:pt idx="176">
                  <c:v>4624500</c:v>
                </c:pt>
                <c:pt idx="177">
                  <c:v>5062300</c:v>
                </c:pt>
                <c:pt idx="178">
                  <c:v>9935600</c:v>
                </c:pt>
                <c:pt idx="179">
                  <c:v>4934900</c:v>
                </c:pt>
                <c:pt idx="180">
                  <c:v>5050300</c:v>
                </c:pt>
                <c:pt idx="181">
                  <c:v>7211300</c:v>
                </c:pt>
                <c:pt idx="182">
                  <c:v>6566600</c:v>
                </c:pt>
                <c:pt idx="183">
                  <c:v>6932700</c:v>
                </c:pt>
                <c:pt idx="184">
                  <c:v>6363100</c:v>
                </c:pt>
                <c:pt idx="185">
                  <c:v>5642400</c:v>
                </c:pt>
                <c:pt idx="186">
                  <c:v>6100200</c:v>
                </c:pt>
                <c:pt idx="187">
                  <c:v>7089800</c:v>
                </c:pt>
                <c:pt idx="188">
                  <c:v>7645100</c:v>
                </c:pt>
                <c:pt idx="189">
                  <c:v>9449600</c:v>
                </c:pt>
                <c:pt idx="190">
                  <c:v>6207900</c:v>
                </c:pt>
                <c:pt idx="191">
                  <c:v>5167100</c:v>
                </c:pt>
                <c:pt idx="192">
                  <c:v>6466600</c:v>
                </c:pt>
                <c:pt idx="193">
                  <c:v>5108100</c:v>
                </c:pt>
                <c:pt idx="194">
                  <c:v>10225900</c:v>
                </c:pt>
                <c:pt idx="195">
                  <c:v>6994400</c:v>
                </c:pt>
                <c:pt idx="196">
                  <c:v>11216100</c:v>
                </c:pt>
                <c:pt idx="197">
                  <c:v>15552000</c:v>
                </c:pt>
                <c:pt idx="198">
                  <c:v>8622900</c:v>
                </c:pt>
                <c:pt idx="199">
                  <c:v>8437900</c:v>
                </c:pt>
                <c:pt idx="200">
                  <c:v>9692500</c:v>
                </c:pt>
                <c:pt idx="201">
                  <c:v>7085400</c:v>
                </c:pt>
                <c:pt idx="202">
                  <c:v>9539900</c:v>
                </c:pt>
                <c:pt idx="203">
                  <c:v>7327900</c:v>
                </c:pt>
                <c:pt idx="204">
                  <c:v>5103400</c:v>
                </c:pt>
                <c:pt idx="205">
                  <c:v>4550100</c:v>
                </c:pt>
                <c:pt idx="206">
                  <c:v>5749100</c:v>
                </c:pt>
                <c:pt idx="207">
                  <c:v>4740800</c:v>
                </c:pt>
                <c:pt idx="208">
                  <c:v>4082600</c:v>
                </c:pt>
                <c:pt idx="209">
                  <c:v>6049400</c:v>
                </c:pt>
                <c:pt idx="210">
                  <c:v>5255300</c:v>
                </c:pt>
                <c:pt idx="211">
                  <c:v>5370700</c:v>
                </c:pt>
                <c:pt idx="212">
                  <c:v>6653700</c:v>
                </c:pt>
                <c:pt idx="213">
                  <c:v>7234400</c:v>
                </c:pt>
                <c:pt idx="214">
                  <c:v>9729000</c:v>
                </c:pt>
                <c:pt idx="215">
                  <c:v>5053600</c:v>
                </c:pt>
                <c:pt idx="216">
                  <c:v>7176400</c:v>
                </c:pt>
                <c:pt idx="217">
                  <c:v>9157600</c:v>
                </c:pt>
                <c:pt idx="218">
                  <c:v>8133700</c:v>
                </c:pt>
                <c:pt idx="219">
                  <c:v>6630600</c:v>
                </c:pt>
                <c:pt idx="220">
                  <c:v>6528000</c:v>
                </c:pt>
                <c:pt idx="221">
                  <c:v>4083200</c:v>
                </c:pt>
                <c:pt idx="222">
                  <c:v>5995600</c:v>
                </c:pt>
                <c:pt idx="223">
                  <c:v>5035700</c:v>
                </c:pt>
                <c:pt idx="224">
                  <c:v>5606700</c:v>
                </c:pt>
                <c:pt idx="225">
                  <c:v>6515500</c:v>
                </c:pt>
                <c:pt idx="226">
                  <c:v>5398900</c:v>
                </c:pt>
                <c:pt idx="227">
                  <c:v>6196100</c:v>
                </c:pt>
                <c:pt idx="228">
                  <c:v>6100100</c:v>
                </c:pt>
                <c:pt idx="229">
                  <c:v>8607300</c:v>
                </c:pt>
                <c:pt idx="230">
                  <c:v>2980700</c:v>
                </c:pt>
                <c:pt idx="231">
                  <c:v>2909700</c:v>
                </c:pt>
                <c:pt idx="232">
                  <c:v>3319600</c:v>
                </c:pt>
                <c:pt idx="233">
                  <c:v>2520500</c:v>
                </c:pt>
                <c:pt idx="234">
                  <c:v>2770600</c:v>
                </c:pt>
                <c:pt idx="235">
                  <c:v>4257300</c:v>
                </c:pt>
                <c:pt idx="236">
                  <c:v>5488700</c:v>
                </c:pt>
                <c:pt idx="237">
                  <c:v>4958200</c:v>
                </c:pt>
                <c:pt idx="238">
                  <c:v>4772300</c:v>
                </c:pt>
                <c:pt idx="239">
                  <c:v>8577200</c:v>
                </c:pt>
                <c:pt idx="240">
                  <c:v>7401200</c:v>
                </c:pt>
                <c:pt idx="241">
                  <c:v>5561700</c:v>
                </c:pt>
                <c:pt idx="242">
                  <c:v>5705200</c:v>
                </c:pt>
                <c:pt idx="243">
                  <c:v>6945800</c:v>
                </c:pt>
                <c:pt idx="244">
                  <c:v>4987800</c:v>
                </c:pt>
                <c:pt idx="245">
                  <c:v>5753600</c:v>
                </c:pt>
                <c:pt idx="246">
                  <c:v>4491100</c:v>
                </c:pt>
                <c:pt idx="247">
                  <c:v>5206300</c:v>
                </c:pt>
                <c:pt idx="248">
                  <c:v>5859600</c:v>
                </c:pt>
                <c:pt idx="249">
                  <c:v>4923600</c:v>
                </c:pt>
                <c:pt idx="250">
                  <c:v>7555600</c:v>
                </c:pt>
                <c:pt idx="251">
                  <c:v>4975600</c:v>
                </c:pt>
                <c:pt idx="252">
                  <c:v>5799600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88-4578-96CA-C1EB425BF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1411665904"/>
        <c:axId val="1411661104"/>
      </c:bar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Graphs!$P$113:$P$365</c:f>
              <c:numCache>
                <c:formatCode>m/d/yy;@</c:formatCode>
                <c:ptCount val="253"/>
                <c:pt idx="0">
                  <c:v>45623</c:v>
                </c:pt>
                <c:pt idx="1">
                  <c:v>45622</c:v>
                </c:pt>
                <c:pt idx="2">
                  <c:v>45621</c:v>
                </c:pt>
                <c:pt idx="3">
                  <c:v>45618</c:v>
                </c:pt>
                <c:pt idx="4">
                  <c:v>45617</c:v>
                </c:pt>
                <c:pt idx="5">
                  <c:v>45616</c:v>
                </c:pt>
                <c:pt idx="6">
                  <c:v>45615</c:v>
                </c:pt>
                <c:pt idx="7">
                  <c:v>45614</c:v>
                </c:pt>
                <c:pt idx="8">
                  <c:v>45611</c:v>
                </c:pt>
                <c:pt idx="9">
                  <c:v>45610</c:v>
                </c:pt>
                <c:pt idx="10">
                  <c:v>45609</c:v>
                </c:pt>
                <c:pt idx="11">
                  <c:v>45608</c:v>
                </c:pt>
                <c:pt idx="12">
                  <c:v>45607</c:v>
                </c:pt>
                <c:pt idx="13">
                  <c:v>45604</c:v>
                </c:pt>
                <c:pt idx="14">
                  <c:v>45603</c:v>
                </c:pt>
                <c:pt idx="15">
                  <c:v>45602</c:v>
                </c:pt>
                <c:pt idx="16">
                  <c:v>45601</c:v>
                </c:pt>
                <c:pt idx="17">
                  <c:v>45600</c:v>
                </c:pt>
                <c:pt idx="18">
                  <c:v>45597</c:v>
                </c:pt>
                <c:pt idx="19">
                  <c:v>45596</c:v>
                </c:pt>
                <c:pt idx="20">
                  <c:v>45595</c:v>
                </c:pt>
                <c:pt idx="21">
                  <c:v>45594</c:v>
                </c:pt>
                <c:pt idx="22">
                  <c:v>45593</c:v>
                </c:pt>
                <c:pt idx="23">
                  <c:v>45590</c:v>
                </c:pt>
                <c:pt idx="24">
                  <c:v>45589</c:v>
                </c:pt>
                <c:pt idx="25">
                  <c:v>45588</c:v>
                </c:pt>
                <c:pt idx="26">
                  <c:v>45587</c:v>
                </c:pt>
                <c:pt idx="27">
                  <c:v>45586</c:v>
                </c:pt>
                <c:pt idx="28">
                  <c:v>45583</c:v>
                </c:pt>
                <c:pt idx="29">
                  <c:v>45582</c:v>
                </c:pt>
                <c:pt idx="30">
                  <c:v>45581</c:v>
                </c:pt>
                <c:pt idx="31">
                  <c:v>45580</c:v>
                </c:pt>
                <c:pt idx="32">
                  <c:v>45579</c:v>
                </c:pt>
                <c:pt idx="33">
                  <c:v>45576</c:v>
                </c:pt>
                <c:pt idx="34">
                  <c:v>45575</c:v>
                </c:pt>
                <c:pt idx="35">
                  <c:v>45574</c:v>
                </c:pt>
                <c:pt idx="36">
                  <c:v>45573</c:v>
                </c:pt>
                <c:pt idx="37">
                  <c:v>45572</c:v>
                </c:pt>
                <c:pt idx="38">
                  <c:v>45569</c:v>
                </c:pt>
                <c:pt idx="39">
                  <c:v>45568</c:v>
                </c:pt>
                <c:pt idx="40">
                  <c:v>45567</c:v>
                </c:pt>
                <c:pt idx="41">
                  <c:v>45566</c:v>
                </c:pt>
                <c:pt idx="42">
                  <c:v>45565</c:v>
                </c:pt>
                <c:pt idx="43">
                  <c:v>45562</c:v>
                </c:pt>
                <c:pt idx="44">
                  <c:v>45561</c:v>
                </c:pt>
                <c:pt idx="45">
                  <c:v>45560</c:v>
                </c:pt>
                <c:pt idx="46">
                  <c:v>45559</c:v>
                </c:pt>
                <c:pt idx="47">
                  <c:v>45558</c:v>
                </c:pt>
                <c:pt idx="48">
                  <c:v>45555</c:v>
                </c:pt>
                <c:pt idx="49">
                  <c:v>45554</c:v>
                </c:pt>
                <c:pt idx="50">
                  <c:v>45553</c:v>
                </c:pt>
                <c:pt idx="51">
                  <c:v>45552</c:v>
                </c:pt>
                <c:pt idx="52">
                  <c:v>45551</c:v>
                </c:pt>
                <c:pt idx="53">
                  <c:v>45548</c:v>
                </c:pt>
                <c:pt idx="54">
                  <c:v>45547</c:v>
                </c:pt>
                <c:pt idx="55">
                  <c:v>45546</c:v>
                </c:pt>
                <c:pt idx="56">
                  <c:v>45545</c:v>
                </c:pt>
                <c:pt idx="57">
                  <c:v>45544</c:v>
                </c:pt>
                <c:pt idx="58">
                  <c:v>45541</c:v>
                </c:pt>
                <c:pt idx="59">
                  <c:v>45540</c:v>
                </c:pt>
                <c:pt idx="60">
                  <c:v>45539</c:v>
                </c:pt>
                <c:pt idx="61">
                  <c:v>45538</c:v>
                </c:pt>
                <c:pt idx="62">
                  <c:v>45534</c:v>
                </c:pt>
                <c:pt idx="63">
                  <c:v>45533</c:v>
                </c:pt>
                <c:pt idx="64">
                  <c:v>45532</c:v>
                </c:pt>
                <c:pt idx="65">
                  <c:v>45531</c:v>
                </c:pt>
                <c:pt idx="66">
                  <c:v>45530</c:v>
                </c:pt>
                <c:pt idx="67">
                  <c:v>45527</c:v>
                </c:pt>
                <c:pt idx="68">
                  <c:v>45526</c:v>
                </c:pt>
                <c:pt idx="69">
                  <c:v>45525</c:v>
                </c:pt>
                <c:pt idx="70">
                  <c:v>45524</c:v>
                </c:pt>
                <c:pt idx="71">
                  <c:v>45523</c:v>
                </c:pt>
                <c:pt idx="72">
                  <c:v>45520</c:v>
                </c:pt>
                <c:pt idx="73">
                  <c:v>45519</c:v>
                </c:pt>
                <c:pt idx="74">
                  <c:v>45518</c:v>
                </c:pt>
                <c:pt idx="75">
                  <c:v>45517</c:v>
                </c:pt>
                <c:pt idx="76">
                  <c:v>45516</c:v>
                </c:pt>
                <c:pt idx="77">
                  <c:v>45513</c:v>
                </c:pt>
                <c:pt idx="78">
                  <c:v>45512</c:v>
                </c:pt>
                <c:pt idx="79">
                  <c:v>45511</c:v>
                </c:pt>
                <c:pt idx="80">
                  <c:v>45510</c:v>
                </c:pt>
                <c:pt idx="81">
                  <c:v>45509</c:v>
                </c:pt>
                <c:pt idx="82">
                  <c:v>45506</c:v>
                </c:pt>
                <c:pt idx="83">
                  <c:v>45505</c:v>
                </c:pt>
                <c:pt idx="84">
                  <c:v>45504</c:v>
                </c:pt>
                <c:pt idx="85">
                  <c:v>45503</c:v>
                </c:pt>
                <c:pt idx="86">
                  <c:v>45502</c:v>
                </c:pt>
                <c:pt idx="87">
                  <c:v>45499</c:v>
                </c:pt>
                <c:pt idx="88">
                  <c:v>45498</c:v>
                </c:pt>
                <c:pt idx="89">
                  <c:v>45497</c:v>
                </c:pt>
                <c:pt idx="90">
                  <c:v>45496</c:v>
                </c:pt>
                <c:pt idx="91">
                  <c:v>45495</c:v>
                </c:pt>
                <c:pt idx="92">
                  <c:v>45492</c:v>
                </c:pt>
                <c:pt idx="93">
                  <c:v>45491</c:v>
                </c:pt>
                <c:pt idx="94">
                  <c:v>45490</c:v>
                </c:pt>
                <c:pt idx="95">
                  <c:v>45489</c:v>
                </c:pt>
                <c:pt idx="96">
                  <c:v>45488</c:v>
                </c:pt>
                <c:pt idx="97">
                  <c:v>45485</c:v>
                </c:pt>
                <c:pt idx="98">
                  <c:v>45484</c:v>
                </c:pt>
                <c:pt idx="99">
                  <c:v>45483</c:v>
                </c:pt>
                <c:pt idx="100">
                  <c:v>45482</c:v>
                </c:pt>
                <c:pt idx="101">
                  <c:v>45481</c:v>
                </c:pt>
                <c:pt idx="102">
                  <c:v>45478</c:v>
                </c:pt>
                <c:pt idx="103">
                  <c:v>45476</c:v>
                </c:pt>
                <c:pt idx="104">
                  <c:v>45475</c:v>
                </c:pt>
                <c:pt idx="105">
                  <c:v>45474</c:v>
                </c:pt>
                <c:pt idx="106">
                  <c:v>45471</c:v>
                </c:pt>
                <c:pt idx="107">
                  <c:v>45470</c:v>
                </c:pt>
                <c:pt idx="108">
                  <c:v>45469</c:v>
                </c:pt>
                <c:pt idx="109">
                  <c:v>45468</c:v>
                </c:pt>
                <c:pt idx="110">
                  <c:v>45467</c:v>
                </c:pt>
                <c:pt idx="111">
                  <c:v>45464</c:v>
                </c:pt>
                <c:pt idx="112">
                  <c:v>45463</c:v>
                </c:pt>
                <c:pt idx="113">
                  <c:v>45461</c:v>
                </c:pt>
                <c:pt idx="114">
                  <c:v>45460</c:v>
                </c:pt>
                <c:pt idx="115">
                  <c:v>45457</c:v>
                </c:pt>
                <c:pt idx="116">
                  <c:v>45456</c:v>
                </c:pt>
                <c:pt idx="117">
                  <c:v>45455</c:v>
                </c:pt>
                <c:pt idx="118">
                  <c:v>45454</c:v>
                </c:pt>
                <c:pt idx="119">
                  <c:v>45453</c:v>
                </c:pt>
                <c:pt idx="120">
                  <c:v>45450</c:v>
                </c:pt>
                <c:pt idx="121">
                  <c:v>45449</c:v>
                </c:pt>
                <c:pt idx="122">
                  <c:v>45448</c:v>
                </c:pt>
                <c:pt idx="123">
                  <c:v>45447</c:v>
                </c:pt>
                <c:pt idx="124">
                  <c:v>45446</c:v>
                </c:pt>
                <c:pt idx="125">
                  <c:v>45443</c:v>
                </c:pt>
                <c:pt idx="126">
                  <c:v>45442</c:v>
                </c:pt>
                <c:pt idx="127">
                  <c:v>45441</c:v>
                </c:pt>
                <c:pt idx="128">
                  <c:v>45440</c:v>
                </c:pt>
                <c:pt idx="129">
                  <c:v>45436</c:v>
                </c:pt>
                <c:pt idx="130">
                  <c:v>45435</c:v>
                </c:pt>
                <c:pt idx="131">
                  <c:v>45434</c:v>
                </c:pt>
                <c:pt idx="132">
                  <c:v>45433</c:v>
                </c:pt>
                <c:pt idx="133">
                  <c:v>45432</c:v>
                </c:pt>
                <c:pt idx="134">
                  <c:v>45429</c:v>
                </c:pt>
                <c:pt idx="135">
                  <c:v>45428</c:v>
                </c:pt>
                <c:pt idx="136">
                  <c:v>45427</c:v>
                </c:pt>
                <c:pt idx="137">
                  <c:v>45426</c:v>
                </c:pt>
                <c:pt idx="138">
                  <c:v>45425</c:v>
                </c:pt>
                <c:pt idx="139">
                  <c:v>45422</c:v>
                </c:pt>
                <c:pt idx="140">
                  <c:v>45421</c:v>
                </c:pt>
                <c:pt idx="141">
                  <c:v>45420</c:v>
                </c:pt>
                <c:pt idx="142">
                  <c:v>45419</c:v>
                </c:pt>
                <c:pt idx="143">
                  <c:v>45418</c:v>
                </c:pt>
                <c:pt idx="144">
                  <c:v>45415</c:v>
                </c:pt>
                <c:pt idx="145">
                  <c:v>45414</c:v>
                </c:pt>
                <c:pt idx="146">
                  <c:v>45413</c:v>
                </c:pt>
                <c:pt idx="147">
                  <c:v>45412</c:v>
                </c:pt>
                <c:pt idx="148">
                  <c:v>45411</c:v>
                </c:pt>
                <c:pt idx="149">
                  <c:v>45408</c:v>
                </c:pt>
                <c:pt idx="150">
                  <c:v>45407</c:v>
                </c:pt>
                <c:pt idx="151">
                  <c:v>45406</c:v>
                </c:pt>
                <c:pt idx="152">
                  <c:v>45405</c:v>
                </c:pt>
                <c:pt idx="153">
                  <c:v>45404</c:v>
                </c:pt>
                <c:pt idx="154">
                  <c:v>45401</c:v>
                </c:pt>
                <c:pt idx="155">
                  <c:v>45400</c:v>
                </c:pt>
                <c:pt idx="156">
                  <c:v>45399</c:v>
                </c:pt>
                <c:pt idx="157">
                  <c:v>45398</c:v>
                </c:pt>
                <c:pt idx="158">
                  <c:v>45397</c:v>
                </c:pt>
                <c:pt idx="159">
                  <c:v>45394</c:v>
                </c:pt>
                <c:pt idx="160">
                  <c:v>45393</c:v>
                </c:pt>
                <c:pt idx="161">
                  <c:v>45392</c:v>
                </c:pt>
                <c:pt idx="162">
                  <c:v>45391</c:v>
                </c:pt>
                <c:pt idx="163">
                  <c:v>45390</c:v>
                </c:pt>
                <c:pt idx="164">
                  <c:v>45387</c:v>
                </c:pt>
                <c:pt idx="165">
                  <c:v>45386</c:v>
                </c:pt>
                <c:pt idx="166">
                  <c:v>45385</c:v>
                </c:pt>
                <c:pt idx="167">
                  <c:v>45384</c:v>
                </c:pt>
                <c:pt idx="168">
                  <c:v>45383</c:v>
                </c:pt>
                <c:pt idx="169">
                  <c:v>45379</c:v>
                </c:pt>
                <c:pt idx="170">
                  <c:v>45378</c:v>
                </c:pt>
                <c:pt idx="171">
                  <c:v>45377</c:v>
                </c:pt>
                <c:pt idx="172">
                  <c:v>45376</c:v>
                </c:pt>
                <c:pt idx="173">
                  <c:v>45373</c:v>
                </c:pt>
                <c:pt idx="174">
                  <c:v>45372</c:v>
                </c:pt>
                <c:pt idx="175">
                  <c:v>45371</c:v>
                </c:pt>
                <c:pt idx="176">
                  <c:v>45370</c:v>
                </c:pt>
                <c:pt idx="177">
                  <c:v>45369</c:v>
                </c:pt>
                <c:pt idx="178">
                  <c:v>45366</c:v>
                </c:pt>
                <c:pt idx="179">
                  <c:v>45365</c:v>
                </c:pt>
                <c:pt idx="180">
                  <c:v>45364</c:v>
                </c:pt>
                <c:pt idx="181">
                  <c:v>45363</c:v>
                </c:pt>
                <c:pt idx="182">
                  <c:v>45362</c:v>
                </c:pt>
                <c:pt idx="183">
                  <c:v>45359</c:v>
                </c:pt>
                <c:pt idx="184">
                  <c:v>45358</c:v>
                </c:pt>
                <c:pt idx="185">
                  <c:v>45357</c:v>
                </c:pt>
                <c:pt idx="186">
                  <c:v>45356</c:v>
                </c:pt>
                <c:pt idx="187">
                  <c:v>45355</c:v>
                </c:pt>
                <c:pt idx="188">
                  <c:v>45352</c:v>
                </c:pt>
                <c:pt idx="189">
                  <c:v>45351</c:v>
                </c:pt>
                <c:pt idx="190">
                  <c:v>45350</c:v>
                </c:pt>
                <c:pt idx="191">
                  <c:v>45349</c:v>
                </c:pt>
                <c:pt idx="192">
                  <c:v>45348</c:v>
                </c:pt>
                <c:pt idx="193">
                  <c:v>45345</c:v>
                </c:pt>
                <c:pt idx="194">
                  <c:v>45344</c:v>
                </c:pt>
                <c:pt idx="195">
                  <c:v>45343</c:v>
                </c:pt>
                <c:pt idx="196">
                  <c:v>45342</c:v>
                </c:pt>
                <c:pt idx="197">
                  <c:v>45338</c:v>
                </c:pt>
                <c:pt idx="198">
                  <c:v>45337</c:v>
                </c:pt>
                <c:pt idx="199">
                  <c:v>45336</c:v>
                </c:pt>
                <c:pt idx="200">
                  <c:v>45335</c:v>
                </c:pt>
                <c:pt idx="201">
                  <c:v>45334</c:v>
                </c:pt>
                <c:pt idx="202">
                  <c:v>45331</c:v>
                </c:pt>
                <c:pt idx="203">
                  <c:v>45330</c:v>
                </c:pt>
                <c:pt idx="204">
                  <c:v>45329</c:v>
                </c:pt>
                <c:pt idx="205">
                  <c:v>45328</c:v>
                </c:pt>
                <c:pt idx="206">
                  <c:v>45327</c:v>
                </c:pt>
                <c:pt idx="207">
                  <c:v>45324</c:v>
                </c:pt>
                <c:pt idx="208">
                  <c:v>45323</c:v>
                </c:pt>
                <c:pt idx="209">
                  <c:v>45322</c:v>
                </c:pt>
                <c:pt idx="210">
                  <c:v>45321</c:v>
                </c:pt>
                <c:pt idx="211">
                  <c:v>45320</c:v>
                </c:pt>
                <c:pt idx="212">
                  <c:v>45317</c:v>
                </c:pt>
                <c:pt idx="213">
                  <c:v>45316</c:v>
                </c:pt>
                <c:pt idx="214">
                  <c:v>45315</c:v>
                </c:pt>
                <c:pt idx="215">
                  <c:v>45314</c:v>
                </c:pt>
                <c:pt idx="216">
                  <c:v>45313</c:v>
                </c:pt>
                <c:pt idx="217">
                  <c:v>45310</c:v>
                </c:pt>
                <c:pt idx="218">
                  <c:v>45309</c:v>
                </c:pt>
                <c:pt idx="219">
                  <c:v>45308</c:v>
                </c:pt>
                <c:pt idx="220">
                  <c:v>45307</c:v>
                </c:pt>
                <c:pt idx="221">
                  <c:v>45303</c:v>
                </c:pt>
                <c:pt idx="222">
                  <c:v>45302</c:v>
                </c:pt>
                <c:pt idx="223">
                  <c:v>45301</c:v>
                </c:pt>
                <c:pt idx="224">
                  <c:v>45300</c:v>
                </c:pt>
                <c:pt idx="225">
                  <c:v>45299</c:v>
                </c:pt>
                <c:pt idx="226">
                  <c:v>45296</c:v>
                </c:pt>
                <c:pt idx="227">
                  <c:v>45295</c:v>
                </c:pt>
                <c:pt idx="228">
                  <c:v>45294</c:v>
                </c:pt>
                <c:pt idx="229">
                  <c:v>45293</c:v>
                </c:pt>
                <c:pt idx="230">
                  <c:v>45289</c:v>
                </c:pt>
                <c:pt idx="231">
                  <c:v>45288</c:v>
                </c:pt>
                <c:pt idx="232">
                  <c:v>45287</c:v>
                </c:pt>
                <c:pt idx="233">
                  <c:v>45286</c:v>
                </c:pt>
                <c:pt idx="234">
                  <c:v>45282</c:v>
                </c:pt>
                <c:pt idx="235">
                  <c:v>45281</c:v>
                </c:pt>
                <c:pt idx="236">
                  <c:v>45280</c:v>
                </c:pt>
                <c:pt idx="237">
                  <c:v>45279</c:v>
                </c:pt>
                <c:pt idx="238">
                  <c:v>45278</c:v>
                </c:pt>
                <c:pt idx="239">
                  <c:v>45275</c:v>
                </c:pt>
                <c:pt idx="240">
                  <c:v>45274</c:v>
                </c:pt>
                <c:pt idx="241">
                  <c:v>45273</c:v>
                </c:pt>
                <c:pt idx="242">
                  <c:v>45272</c:v>
                </c:pt>
                <c:pt idx="243">
                  <c:v>45271</c:v>
                </c:pt>
                <c:pt idx="244">
                  <c:v>45268</c:v>
                </c:pt>
                <c:pt idx="245">
                  <c:v>45267</c:v>
                </c:pt>
                <c:pt idx="246">
                  <c:v>45266</c:v>
                </c:pt>
                <c:pt idx="247">
                  <c:v>45265</c:v>
                </c:pt>
                <c:pt idx="248">
                  <c:v>45264</c:v>
                </c:pt>
                <c:pt idx="249">
                  <c:v>45261</c:v>
                </c:pt>
                <c:pt idx="250">
                  <c:v>45260</c:v>
                </c:pt>
                <c:pt idx="251">
                  <c:v>45259</c:v>
                </c:pt>
                <c:pt idx="252">
                  <c:v>45258</c:v>
                </c:pt>
              </c:numCache>
            </c:numRef>
          </c:cat>
          <c:val>
            <c:numRef>
              <c:f>Graphs!$Q$113:$Q$365</c:f>
              <c:numCache>
                <c:formatCode>_(* #,##0.00_);_(* \(#,##0.00\);_(* "-"??_);_(@_)</c:formatCode>
                <c:ptCount val="253"/>
                <c:pt idx="0">
                  <c:v>173.2</c:v>
                </c:pt>
                <c:pt idx="1">
                  <c:v>175.34</c:v>
                </c:pt>
                <c:pt idx="2">
                  <c:v>176.71</c:v>
                </c:pt>
                <c:pt idx="3">
                  <c:v>175.12</c:v>
                </c:pt>
                <c:pt idx="4">
                  <c:v>171.22</c:v>
                </c:pt>
                <c:pt idx="5">
                  <c:v>169.31</c:v>
                </c:pt>
                <c:pt idx="6">
                  <c:v>168.34</c:v>
                </c:pt>
                <c:pt idx="7">
                  <c:v>167.68</c:v>
                </c:pt>
                <c:pt idx="8">
                  <c:v>168.34</c:v>
                </c:pt>
                <c:pt idx="9">
                  <c:v>186.78</c:v>
                </c:pt>
                <c:pt idx="10">
                  <c:v>184.07</c:v>
                </c:pt>
                <c:pt idx="11">
                  <c:v>188.71</c:v>
                </c:pt>
                <c:pt idx="12">
                  <c:v>192.31</c:v>
                </c:pt>
                <c:pt idx="13">
                  <c:v>192.29</c:v>
                </c:pt>
                <c:pt idx="14">
                  <c:v>190.96</c:v>
                </c:pt>
                <c:pt idx="15">
                  <c:v>188.96</c:v>
                </c:pt>
                <c:pt idx="16">
                  <c:v>183.3</c:v>
                </c:pt>
                <c:pt idx="17">
                  <c:v>183.2</c:v>
                </c:pt>
                <c:pt idx="18">
                  <c:v>181.83</c:v>
                </c:pt>
                <c:pt idx="19">
                  <c:v>185.21</c:v>
                </c:pt>
                <c:pt idx="20">
                  <c:v>187</c:v>
                </c:pt>
                <c:pt idx="21">
                  <c:v>185.34</c:v>
                </c:pt>
                <c:pt idx="22">
                  <c:v>186.52</c:v>
                </c:pt>
                <c:pt idx="23">
                  <c:v>186.49</c:v>
                </c:pt>
                <c:pt idx="24">
                  <c:v>186.88</c:v>
                </c:pt>
                <c:pt idx="25">
                  <c:v>181.95</c:v>
                </c:pt>
                <c:pt idx="26">
                  <c:v>184.6</c:v>
                </c:pt>
                <c:pt idx="27">
                  <c:v>186.16</c:v>
                </c:pt>
                <c:pt idx="28">
                  <c:v>186.28</c:v>
                </c:pt>
                <c:pt idx="29">
                  <c:v>190</c:v>
                </c:pt>
                <c:pt idx="30">
                  <c:v>193.22</c:v>
                </c:pt>
                <c:pt idx="31">
                  <c:v>213.68</c:v>
                </c:pt>
                <c:pt idx="32">
                  <c:v>206.96</c:v>
                </c:pt>
                <c:pt idx="33">
                  <c:v>202.14</c:v>
                </c:pt>
                <c:pt idx="34">
                  <c:v>201.02</c:v>
                </c:pt>
                <c:pt idx="35">
                  <c:v>201.4</c:v>
                </c:pt>
                <c:pt idx="36">
                  <c:v>200.13</c:v>
                </c:pt>
                <c:pt idx="37">
                  <c:v>199.38</c:v>
                </c:pt>
                <c:pt idx="38">
                  <c:v>204.62</c:v>
                </c:pt>
                <c:pt idx="39">
                  <c:v>197.71</c:v>
                </c:pt>
                <c:pt idx="40">
                  <c:v>197.83</c:v>
                </c:pt>
                <c:pt idx="41">
                  <c:v>203.41</c:v>
                </c:pt>
                <c:pt idx="42">
                  <c:v>201</c:v>
                </c:pt>
                <c:pt idx="43">
                  <c:v>211.08</c:v>
                </c:pt>
                <c:pt idx="44">
                  <c:v>210.82</c:v>
                </c:pt>
                <c:pt idx="45">
                  <c:v>195.29</c:v>
                </c:pt>
                <c:pt idx="46">
                  <c:v>196.51</c:v>
                </c:pt>
                <c:pt idx="47">
                  <c:v>194.42</c:v>
                </c:pt>
                <c:pt idx="48">
                  <c:v>194.35</c:v>
                </c:pt>
                <c:pt idx="49">
                  <c:v>194.55</c:v>
                </c:pt>
                <c:pt idx="50">
                  <c:v>190.76</c:v>
                </c:pt>
                <c:pt idx="51">
                  <c:v>189.5</c:v>
                </c:pt>
                <c:pt idx="52">
                  <c:v>185</c:v>
                </c:pt>
                <c:pt idx="53">
                  <c:v>185.3</c:v>
                </c:pt>
                <c:pt idx="54">
                  <c:v>184.36</c:v>
                </c:pt>
                <c:pt idx="55">
                  <c:v>180.24</c:v>
                </c:pt>
                <c:pt idx="56">
                  <c:v>177.97</c:v>
                </c:pt>
                <c:pt idx="57">
                  <c:v>177.1</c:v>
                </c:pt>
                <c:pt idx="58">
                  <c:v>179.5</c:v>
                </c:pt>
                <c:pt idx="59">
                  <c:v>179.04</c:v>
                </c:pt>
                <c:pt idx="60">
                  <c:v>179.99</c:v>
                </c:pt>
                <c:pt idx="61">
                  <c:v>193.08</c:v>
                </c:pt>
                <c:pt idx="62">
                  <c:v>197.53</c:v>
                </c:pt>
                <c:pt idx="63">
                  <c:v>196.67</c:v>
                </c:pt>
                <c:pt idx="64">
                  <c:v>194.68</c:v>
                </c:pt>
                <c:pt idx="65">
                  <c:v>194.78</c:v>
                </c:pt>
                <c:pt idx="66">
                  <c:v>200.67</c:v>
                </c:pt>
                <c:pt idx="67">
                  <c:v>202.16</c:v>
                </c:pt>
                <c:pt idx="68">
                  <c:v>208.63</c:v>
                </c:pt>
                <c:pt idx="69">
                  <c:v>208.05</c:v>
                </c:pt>
                <c:pt idx="70">
                  <c:v>209.29</c:v>
                </c:pt>
                <c:pt idx="71">
                  <c:v>207</c:v>
                </c:pt>
                <c:pt idx="72">
                  <c:v>204.95</c:v>
                </c:pt>
                <c:pt idx="73">
                  <c:v>207.31</c:v>
                </c:pt>
                <c:pt idx="74">
                  <c:v>202.69</c:v>
                </c:pt>
                <c:pt idx="75">
                  <c:v>196.44</c:v>
                </c:pt>
                <c:pt idx="76">
                  <c:v>191.5</c:v>
                </c:pt>
                <c:pt idx="77">
                  <c:v>190.01</c:v>
                </c:pt>
                <c:pt idx="78">
                  <c:v>185.26</c:v>
                </c:pt>
                <c:pt idx="79">
                  <c:v>190</c:v>
                </c:pt>
                <c:pt idx="80">
                  <c:v>183.32</c:v>
                </c:pt>
                <c:pt idx="81">
                  <c:v>175.16</c:v>
                </c:pt>
                <c:pt idx="82">
                  <c:v>187.87</c:v>
                </c:pt>
                <c:pt idx="83">
                  <c:v>204.13</c:v>
                </c:pt>
                <c:pt idx="84">
                  <c:v>206.1</c:v>
                </c:pt>
                <c:pt idx="85">
                  <c:v>208.26</c:v>
                </c:pt>
                <c:pt idx="86">
                  <c:v>208.3</c:v>
                </c:pt>
                <c:pt idx="87">
                  <c:v>206.99</c:v>
                </c:pt>
                <c:pt idx="88">
                  <c:v>207.15</c:v>
                </c:pt>
                <c:pt idx="89">
                  <c:v>217.37</c:v>
                </c:pt>
                <c:pt idx="90">
                  <c:v>220.45</c:v>
                </c:pt>
                <c:pt idx="91">
                  <c:v>216.23</c:v>
                </c:pt>
                <c:pt idx="92">
                  <c:v>217.5</c:v>
                </c:pt>
                <c:pt idx="93">
                  <c:v>222.15</c:v>
                </c:pt>
                <c:pt idx="94">
                  <c:v>231.24</c:v>
                </c:pt>
                <c:pt idx="95">
                  <c:v>246.96</c:v>
                </c:pt>
                <c:pt idx="96">
                  <c:v>244.52</c:v>
                </c:pt>
                <c:pt idx="97">
                  <c:v>241.61</c:v>
                </c:pt>
                <c:pt idx="98">
                  <c:v>255.57</c:v>
                </c:pt>
                <c:pt idx="99">
                  <c:v>253</c:v>
                </c:pt>
                <c:pt idx="100">
                  <c:v>248</c:v>
                </c:pt>
                <c:pt idx="101">
                  <c:v>243.11</c:v>
                </c:pt>
                <c:pt idx="102">
                  <c:v>244.69</c:v>
                </c:pt>
                <c:pt idx="103">
                  <c:v>241.64</c:v>
                </c:pt>
                <c:pt idx="104">
                  <c:v>235.02</c:v>
                </c:pt>
                <c:pt idx="105">
                  <c:v>236.86</c:v>
                </c:pt>
                <c:pt idx="106">
                  <c:v>235.35</c:v>
                </c:pt>
                <c:pt idx="107">
                  <c:v>237.5</c:v>
                </c:pt>
                <c:pt idx="108">
                  <c:v>235</c:v>
                </c:pt>
                <c:pt idx="109">
                  <c:v>231.04</c:v>
                </c:pt>
                <c:pt idx="110">
                  <c:v>233</c:v>
                </c:pt>
                <c:pt idx="111">
                  <c:v>238.32</c:v>
                </c:pt>
                <c:pt idx="112">
                  <c:v>247</c:v>
                </c:pt>
                <c:pt idx="113">
                  <c:v>242.78</c:v>
                </c:pt>
                <c:pt idx="114">
                  <c:v>236.67</c:v>
                </c:pt>
                <c:pt idx="115">
                  <c:v>234.08</c:v>
                </c:pt>
                <c:pt idx="116">
                  <c:v>231.47</c:v>
                </c:pt>
                <c:pt idx="117">
                  <c:v>231.43</c:v>
                </c:pt>
                <c:pt idx="118">
                  <c:v>227.27</c:v>
                </c:pt>
                <c:pt idx="119">
                  <c:v>219.71</c:v>
                </c:pt>
                <c:pt idx="120">
                  <c:v>224.21</c:v>
                </c:pt>
                <c:pt idx="121">
                  <c:v>221.67</c:v>
                </c:pt>
                <c:pt idx="122">
                  <c:v>219.6</c:v>
                </c:pt>
                <c:pt idx="123">
                  <c:v>213.8</c:v>
                </c:pt>
                <c:pt idx="124">
                  <c:v>218.33</c:v>
                </c:pt>
                <c:pt idx="125">
                  <c:v>216.75</c:v>
                </c:pt>
                <c:pt idx="126">
                  <c:v>217.97</c:v>
                </c:pt>
                <c:pt idx="127">
                  <c:v>217.59</c:v>
                </c:pt>
                <c:pt idx="128">
                  <c:v>222.15</c:v>
                </c:pt>
                <c:pt idx="129">
                  <c:v>220.2</c:v>
                </c:pt>
                <c:pt idx="130">
                  <c:v>225</c:v>
                </c:pt>
                <c:pt idx="131">
                  <c:v>220.52</c:v>
                </c:pt>
                <c:pt idx="132">
                  <c:v>218</c:v>
                </c:pt>
                <c:pt idx="133">
                  <c:v>212.15</c:v>
                </c:pt>
                <c:pt idx="134">
                  <c:v>216.4</c:v>
                </c:pt>
                <c:pt idx="135">
                  <c:v>218.22</c:v>
                </c:pt>
                <c:pt idx="136">
                  <c:v>212.5</c:v>
                </c:pt>
                <c:pt idx="137">
                  <c:v>205.84</c:v>
                </c:pt>
                <c:pt idx="138">
                  <c:v>208.4</c:v>
                </c:pt>
                <c:pt idx="139">
                  <c:v>208.8</c:v>
                </c:pt>
                <c:pt idx="140">
                  <c:v>207.36</c:v>
                </c:pt>
                <c:pt idx="141">
                  <c:v>205.91</c:v>
                </c:pt>
                <c:pt idx="142">
                  <c:v>209.24</c:v>
                </c:pt>
                <c:pt idx="143">
                  <c:v>205.31</c:v>
                </c:pt>
                <c:pt idx="144">
                  <c:v>202</c:v>
                </c:pt>
                <c:pt idx="145">
                  <c:v>196.26</c:v>
                </c:pt>
                <c:pt idx="146">
                  <c:v>196.08</c:v>
                </c:pt>
                <c:pt idx="147">
                  <c:v>203.67</c:v>
                </c:pt>
                <c:pt idx="148">
                  <c:v>203.51</c:v>
                </c:pt>
                <c:pt idx="149">
                  <c:v>197.03</c:v>
                </c:pt>
                <c:pt idx="150">
                  <c:v>196.28</c:v>
                </c:pt>
                <c:pt idx="151">
                  <c:v>197.99</c:v>
                </c:pt>
                <c:pt idx="152">
                  <c:v>190.25</c:v>
                </c:pt>
                <c:pt idx="153">
                  <c:v>191.55</c:v>
                </c:pt>
                <c:pt idx="154">
                  <c:v>194.26</c:v>
                </c:pt>
                <c:pt idx="155">
                  <c:v>197.47</c:v>
                </c:pt>
                <c:pt idx="156">
                  <c:v>206.09</c:v>
                </c:pt>
                <c:pt idx="157">
                  <c:v>206.34</c:v>
                </c:pt>
                <c:pt idx="158">
                  <c:v>211.9</c:v>
                </c:pt>
                <c:pt idx="159">
                  <c:v>208</c:v>
                </c:pt>
                <c:pt idx="160">
                  <c:v>209.46</c:v>
                </c:pt>
                <c:pt idx="161">
                  <c:v>208.89</c:v>
                </c:pt>
                <c:pt idx="162">
                  <c:v>211.35</c:v>
                </c:pt>
                <c:pt idx="163">
                  <c:v>212.86</c:v>
                </c:pt>
                <c:pt idx="164">
                  <c:v>204.9</c:v>
                </c:pt>
                <c:pt idx="165">
                  <c:v>211.61</c:v>
                </c:pt>
                <c:pt idx="166">
                  <c:v>203.6</c:v>
                </c:pt>
                <c:pt idx="167">
                  <c:v>206.58</c:v>
                </c:pt>
                <c:pt idx="168">
                  <c:v>206.93</c:v>
                </c:pt>
                <c:pt idx="169">
                  <c:v>207.56</c:v>
                </c:pt>
                <c:pt idx="170">
                  <c:v>208.04</c:v>
                </c:pt>
                <c:pt idx="171">
                  <c:v>209.79</c:v>
                </c:pt>
                <c:pt idx="172">
                  <c:v>207.63</c:v>
                </c:pt>
                <c:pt idx="173">
                  <c:v>208.51</c:v>
                </c:pt>
                <c:pt idx="174">
                  <c:v>213.37</c:v>
                </c:pt>
                <c:pt idx="175">
                  <c:v>201</c:v>
                </c:pt>
                <c:pt idx="176">
                  <c:v>199.18</c:v>
                </c:pt>
                <c:pt idx="177">
                  <c:v>201.68</c:v>
                </c:pt>
                <c:pt idx="178">
                  <c:v>199.44</c:v>
                </c:pt>
                <c:pt idx="179">
                  <c:v>201.93</c:v>
                </c:pt>
                <c:pt idx="180">
                  <c:v>202.97</c:v>
                </c:pt>
                <c:pt idx="181">
                  <c:v>203.88</c:v>
                </c:pt>
                <c:pt idx="182">
                  <c:v>203.28</c:v>
                </c:pt>
                <c:pt idx="183">
                  <c:v>212.48</c:v>
                </c:pt>
                <c:pt idx="184">
                  <c:v>213.23</c:v>
                </c:pt>
                <c:pt idx="185">
                  <c:v>209.95</c:v>
                </c:pt>
                <c:pt idx="186">
                  <c:v>207.75</c:v>
                </c:pt>
                <c:pt idx="187">
                  <c:v>212</c:v>
                </c:pt>
                <c:pt idx="188">
                  <c:v>203.77</c:v>
                </c:pt>
                <c:pt idx="189">
                  <c:v>199.91</c:v>
                </c:pt>
                <c:pt idx="190">
                  <c:v>198.49</c:v>
                </c:pt>
                <c:pt idx="191">
                  <c:v>203.73</c:v>
                </c:pt>
                <c:pt idx="192">
                  <c:v>199.8</c:v>
                </c:pt>
                <c:pt idx="193">
                  <c:v>199.32</c:v>
                </c:pt>
                <c:pt idx="194">
                  <c:v>198.28</c:v>
                </c:pt>
                <c:pt idx="195">
                  <c:v>187.92</c:v>
                </c:pt>
                <c:pt idx="196">
                  <c:v>195.59</c:v>
                </c:pt>
                <c:pt idx="197">
                  <c:v>202.02</c:v>
                </c:pt>
                <c:pt idx="198">
                  <c:v>189</c:v>
                </c:pt>
                <c:pt idx="199">
                  <c:v>182.64</c:v>
                </c:pt>
                <c:pt idx="200">
                  <c:v>178.6</c:v>
                </c:pt>
                <c:pt idx="201">
                  <c:v>185.27</c:v>
                </c:pt>
                <c:pt idx="202">
                  <c:v>179.04</c:v>
                </c:pt>
                <c:pt idx="203">
                  <c:v>169.99</c:v>
                </c:pt>
                <c:pt idx="204">
                  <c:v>170.49</c:v>
                </c:pt>
                <c:pt idx="205">
                  <c:v>170.99</c:v>
                </c:pt>
                <c:pt idx="206">
                  <c:v>168.6</c:v>
                </c:pt>
                <c:pt idx="207">
                  <c:v>165.92</c:v>
                </c:pt>
                <c:pt idx="208">
                  <c:v>165.46</c:v>
                </c:pt>
                <c:pt idx="209">
                  <c:v>164</c:v>
                </c:pt>
                <c:pt idx="210">
                  <c:v>167.33</c:v>
                </c:pt>
                <c:pt idx="211">
                  <c:v>166.31</c:v>
                </c:pt>
                <c:pt idx="212">
                  <c:v>169.07</c:v>
                </c:pt>
                <c:pt idx="213">
                  <c:v>177.17</c:v>
                </c:pt>
                <c:pt idx="214">
                  <c:v>171.39</c:v>
                </c:pt>
                <c:pt idx="215">
                  <c:v>167.76</c:v>
                </c:pt>
                <c:pt idx="216">
                  <c:v>168.18</c:v>
                </c:pt>
                <c:pt idx="217">
                  <c:v>162.57</c:v>
                </c:pt>
                <c:pt idx="218">
                  <c:v>158.66</c:v>
                </c:pt>
                <c:pt idx="219">
                  <c:v>153.11000000000001</c:v>
                </c:pt>
                <c:pt idx="220">
                  <c:v>151.30000000000001</c:v>
                </c:pt>
                <c:pt idx="221">
                  <c:v>152.19999999999999</c:v>
                </c:pt>
                <c:pt idx="222">
                  <c:v>150.25</c:v>
                </c:pt>
                <c:pt idx="223">
                  <c:v>151.77000000000001</c:v>
                </c:pt>
                <c:pt idx="224">
                  <c:v>149.87</c:v>
                </c:pt>
                <c:pt idx="225">
                  <c:v>149.83000000000001</c:v>
                </c:pt>
                <c:pt idx="226">
                  <c:v>150.08000000000001</c:v>
                </c:pt>
                <c:pt idx="227">
                  <c:v>149.80000000000001</c:v>
                </c:pt>
                <c:pt idx="228">
                  <c:v>151.71</c:v>
                </c:pt>
                <c:pt idx="229">
                  <c:v>160</c:v>
                </c:pt>
                <c:pt idx="230">
                  <c:v>163.11000000000001</c:v>
                </c:pt>
                <c:pt idx="231">
                  <c:v>165</c:v>
                </c:pt>
                <c:pt idx="232">
                  <c:v>164.54</c:v>
                </c:pt>
                <c:pt idx="233">
                  <c:v>162.30000000000001</c:v>
                </c:pt>
                <c:pt idx="234">
                  <c:v>161.6</c:v>
                </c:pt>
                <c:pt idx="235">
                  <c:v>161</c:v>
                </c:pt>
                <c:pt idx="236">
                  <c:v>160.81</c:v>
                </c:pt>
                <c:pt idx="237">
                  <c:v>160.58000000000001</c:v>
                </c:pt>
                <c:pt idx="238">
                  <c:v>160.88999999999999</c:v>
                </c:pt>
                <c:pt idx="239">
                  <c:v>162.21</c:v>
                </c:pt>
                <c:pt idx="240">
                  <c:v>157.77000000000001</c:v>
                </c:pt>
                <c:pt idx="241">
                  <c:v>157.03</c:v>
                </c:pt>
                <c:pt idx="242">
                  <c:v>155.13999999999999</c:v>
                </c:pt>
                <c:pt idx="243">
                  <c:v>149.21</c:v>
                </c:pt>
                <c:pt idx="244">
                  <c:v>147.41999999999999</c:v>
                </c:pt>
                <c:pt idx="245">
                  <c:v>146.96</c:v>
                </c:pt>
                <c:pt idx="246">
                  <c:v>148.68</c:v>
                </c:pt>
                <c:pt idx="247">
                  <c:v>146.53</c:v>
                </c:pt>
                <c:pt idx="248">
                  <c:v>150.04</c:v>
                </c:pt>
                <c:pt idx="249">
                  <c:v>149.56</c:v>
                </c:pt>
                <c:pt idx="250">
                  <c:v>150.41</c:v>
                </c:pt>
                <c:pt idx="251">
                  <c:v>150.24</c:v>
                </c:pt>
                <c:pt idx="252">
                  <c:v>149.36000000000001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88-4578-96CA-C1EB425BF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2237824"/>
        <c:axId val="1092238304"/>
      </c:lineChart>
      <c:dateAx>
        <c:axId val="1092237824"/>
        <c:scaling>
          <c:orientation val="minMax"/>
        </c:scaling>
        <c:delete val="0"/>
        <c:axPos val="b"/>
        <c:numFmt formatCode="m/d/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2238304"/>
        <c:crosses val="autoZero"/>
        <c:auto val="0"/>
        <c:lblOffset val="100"/>
        <c:baseTimeUnit val="days"/>
      </c:dateAx>
      <c:valAx>
        <c:axId val="1092238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2237824"/>
        <c:crosses val="autoZero"/>
        <c:crossBetween val="between"/>
      </c:valAx>
      <c:valAx>
        <c:axId val="1411661104"/>
        <c:scaling>
          <c:orientation val="minMax"/>
        </c:scaling>
        <c:delete val="0"/>
        <c:axPos val="r"/>
        <c:numFmt formatCode="0,,\ \M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1665904"/>
        <c:crosses val="max"/>
        <c:crossBetween val="between"/>
      </c:valAx>
      <c:catAx>
        <c:axId val="1411665904"/>
        <c:scaling>
          <c:orientation val="minMax"/>
        </c:scaling>
        <c:delete val="1"/>
        <c:axPos val="b"/>
        <c:majorTickMark val="out"/>
        <c:minorTickMark val="none"/>
        <c:tickLblPos val="nextTo"/>
        <c:crossAx val="14116611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Applied</a:t>
            </a:r>
            <a:r>
              <a:rPr lang="en-US" b="1" baseline="0">
                <a:solidFill>
                  <a:sysClr val="windowText" lastClr="000000"/>
                </a:solidFill>
              </a:rPr>
              <a:t> Materials Valuation - Range of Implied Share Prices:</a:t>
            </a:r>
            <a:endParaRPr lang="en-US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40825208454694911"/>
          <c:y val="9.4815978674949966E-2"/>
          <c:w val="0.56993375876175445"/>
          <c:h val="0.86436907037617716"/>
        </c:manualLayout>
      </c:layout>
      <c:barChart>
        <c:barDir val="bar"/>
        <c:grouping val="stacked"/>
        <c:varyColors val="0"/>
        <c:ser>
          <c:idx val="0"/>
          <c:order val="1"/>
          <c:spPr>
            <a:noFill/>
            <a:ln>
              <a:noFill/>
            </a:ln>
            <a:effectLst/>
          </c:spPr>
          <c:invertIfNegative val="0"/>
          <c:cat>
            <c:strRef>
              <c:f>ValGraph!$B$36:$B$53</c:f>
              <c:strCache>
                <c:ptCount val="17"/>
                <c:pt idx="0">
                  <c:v>(10% - 12% WACC, 4.5% - 7.5% Free Cash Flow Growth Rate</c:v>
                </c:pt>
                <c:pt idx="1">
                  <c:v>DCF Output:</c:v>
                </c:pt>
                <c:pt idx="2">
                  <c:v>2024-10-27 EV / Revenue:</c:v>
                </c:pt>
                <c:pt idx="3">
                  <c:v>2024-10-27 EV / EBITDA:</c:v>
                </c:pt>
                <c:pt idx="4">
                  <c:v>LTM TEV / EBITDA:</c:v>
                </c:pt>
                <c:pt idx="5">
                  <c:v>LTM TEV / Revenue:</c:v>
                </c:pt>
                <c:pt idx="6">
                  <c:v>CY 22 P / E:</c:v>
                </c:pt>
                <c:pt idx="7">
                  <c:v>CY 21 P / E:</c:v>
                </c:pt>
                <c:pt idx="8">
                  <c:v>LTM P / E:</c:v>
                </c:pt>
                <c:pt idx="9">
                  <c:v>CY 22 TEV / EBITDA:</c:v>
                </c:pt>
                <c:pt idx="10">
                  <c:v>CY 21 TEV / EBITDA:</c:v>
                </c:pt>
                <c:pt idx="11">
                  <c:v>LTM TEV / EBITDA:</c:v>
                </c:pt>
                <c:pt idx="12">
                  <c:v>CY 22 TEV / Revenue:</c:v>
                </c:pt>
                <c:pt idx="13">
                  <c:v>CY 21 TEV / Revenue:</c:v>
                </c:pt>
                <c:pt idx="14">
                  <c:v>LTM TEV / Revenue:</c:v>
                </c:pt>
                <c:pt idx="15">
                  <c:v>Comparable Public Companies:</c:v>
                </c:pt>
                <c:pt idx="16">
                  <c:v>Current Share Price</c:v>
                </c:pt>
              </c:strCache>
            </c:strRef>
          </c:cat>
          <c:val>
            <c:numRef>
              <c:f>ValGraph!$K$36:$K$50</c:f>
              <c:numCache>
                <c:formatCode>_("$"* #,##0.00_);_("$"* \(#,##0.00\);_("$"* "-"??_);_(@_)</c:formatCode>
                <c:ptCount val="15"/>
                <c:pt idx="0" formatCode="_(* #,##0.00_);_(* \(#,##0.00\);_(* &quot;-&quot;??_);_(@_)">
                  <c:v>140.51478751616125</c:v>
                </c:pt>
                <c:pt idx="2" formatCode="_(* #,##0.00_);_(* \(#,##0.00\);_(* &quot;-&quot;??_);_(@_)">
                  <c:v>102.29485012346248</c:v>
                </c:pt>
                <c:pt idx="3" formatCode="_(* #,##0.00_);_(* \(#,##0.00\);_(* &quot;-&quot;??_);_(@_)">
                  <c:v>87.963254706563319</c:v>
                </c:pt>
                <c:pt idx="4" formatCode="_(* #,##0.00_);_(* \(#,##0.00\);_(* &quot;-&quot;??_);_(@_)">
                  <c:v>163.43183903113734</c:v>
                </c:pt>
                <c:pt idx="5" formatCode="_(* #,##0.00_);_(* \(#,##0.00\);_(* &quot;-&quot;??_);_(@_)">
                  <c:v>161.76743902374326</c:v>
                </c:pt>
                <c:pt idx="6" formatCode="_(* #,##0.00_);_(* \(#,##0.00\);_(* &quot;-&quot;??_);_(@_)">
                  <c:v>158.09869648417791</c:v>
                </c:pt>
                <c:pt idx="7" formatCode="_(* #,##0.00_);_(* \(#,##0.00\);_(* &quot;-&quot;??_);_(@_)">
                  <c:v>179.25388681434092</c:v>
                </c:pt>
                <c:pt idx="8" formatCode="_(* #,##0.00_);_(* \(#,##0.00\);_(* &quot;-&quot;??_);_(@_)">
                  <c:v>203.08879263487179</c:v>
                </c:pt>
                <c:pt idx="9" formatCode="_(* #,##0.00_);_(* \(#,##0.00\);_(* &quot;-&quot;??_);_(@_)">
                  <c:v>151.42260330010464</c:v>
                </c:pt>
                <c:pt idx="10" formatCode="_(* #,##0.00_);_(* \(#,##0.00\);_(* &quot;-&quot;??_);_(@_)">
                  <c:v>160.33738796114096</c:v>
                </c:pt>
                <c:pt idx="11" formatCode="_(* #,##0.00_);_(* \(#,##0.00\);_(* &quot;-&quot;??_);_(@_)">
                  <c:v>163.43183903113734</c:v>
                </c:pt>
                <c:pt idx="12" formatCode="_(* #,##0.00_);_(* \(#,##0.00\);_(* &quot;-&quot;??_);_(@_)">
                  <c:v>146.50922982777044</c:v>
                </c:pt>
                <c:pt idx="13" formatCode="_(* #,##0.00_);_(* \(#,##0.00\);_(* &quot;-&quot;??_);_(@_)">
                  <c:v>155.62528467524447</c:v>
                </c:pt>
                <c:pt idx="14" formatCode="_(* #,##0.00_);_(* \(#,##0.00\);_(* &quot;-&quot;??_);_(@_)">
                  <c:v>161.76743902374326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BD-43D9-8DF8-8C34B82F8860}"/>
            </c:ext>
          </c:extLst>
        </c:ser>
        <c:ser>
          <c:idx val="1"/>
          <c:order val="2"/>
          <c:spPr>
            <a:solidFill>
              <a:schemeClr val="accent4">
                <a:tint val="7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strRef>
              <c:f>ValGraph!$B$36:$B$53</c:f>
              <c:strCache>
                <c:ptCount val="17"/>
                <c:pt idx="0">
                  <c:v>(10% - 12% WACC, 4.5% - 7.5% Free Cash Flow Growth Rate</c:v>
                </c:pt>
                <c:pt idx="1">
                  <c:v>DCF Output:</c:v>
                </c:pt>
                <c:pt idx="2">
                  <c:v>2024-10-27 EV / Revenue:</c:v>
                </c:pt>
                <c:pt idx="3">
                  <c:v>2024-10-27 EV / EBITDA:</c:v>
                </c:pt>
                <c:pt idx="4">
                  <c:v>LTM TEV / EBITDA:</c:v>
                </c:pt>
                <c:pt idx="5">
                  <c:v>LTM TEV / Revenue:</c:v>
                </c:pt>
                <c:pt idx="6">
                  <c:v>CY 22 P / E:</c:v>
                </c:pt>
                <c:pt idx="7">
                  <c:v>CY 21 P / E:</c:v>
                </c:pt>
                <c:pt idx="8">
                  <c:v>LTM P / E:</c:v>
                </c:pt>
                <c:pt idx="9">
                  <c:v>CY 22 TEV / EBITDA:</c:v>
                </c:pt>
                <c:pt idx="10">
                  <c:v>CY 21 TEV / EBITDA:</c:v>
                </c:pt>
                <c:pt idx="11">
                  <c:v>LTM TEV / EBITDA:</c:v>
                </c:pt>
                <c:pt idx="12">
                  <c:v>CY 22 TEV / Revenue:</c:v>
                </c:pt>
                <c:pt idx="13">
                  <c:v>CY 21 TEV / Revenue:</c:v>
                </c:pt>
                <c:pt idx="14">
                  <c:v>LTM TEV / Revenue:</c:v>
                </c:pt>
                <c:pt idx="15">
                  <c:v>Comparable Public Companies:</c:v>
                </c:pt>
                <c:pt idx="16">
                  <c:v>Current Share Price</c:v>
                </c:pt>
              </c:strCache>
            </c:strRef>
          </c:cat>
          <c:val>
            <c:numRef>
              <c:f>ValGraph!$L$36:$L$50</c:f>
              <c:numCache>
                <c:formatCode>_("$"* #,##0.00_);_("$"* \(#,##0.00\);_("$"* "-"??_);_(@_)</c:formatCode>
                <c:ptCount val="15"/>
                <c:pt idx="0" formatCode="_(* #,##0.00_);_(* \(#,##0.00\);_(* &quot;-&quot;??_);_(@_)">
                  <c:v>18.03944511974197</c:v>
                </c:pt>
                <c:pt idx="2" formatCode="_(* #,##0.00_);_(* \(#,##0.00\);_(* &quot;-&quot;??_);_(@_)">
                  <c:v>0.24945891810403964</c:v>
                </c:pt>
                <c:pt idx="3" formatCode="_(* #,##0.00_);_(* \(#,##0.00\);_(* &quot;-&quot;??_);_(@_)">
                  <c:v>80.322681353979746</c:v>
                </c:pt>
                <c:pt idx="4" formatCode="_(* #,##0.00_);_(* \(#,##0.00\);_(* &quot;-&quot;??_);_(@_)">
                  <c:v>20.300819590688775</c:v>
                </c:pt>
                <c:pt idx="5" formatCode="_(* #,##0.00_);_(* \(#,##0.00\);_(* &quot;-&quot;??_);_(@_)">
                  <c:v>30.969477924558191</c:v>
                </c:pt>
                <c:pt idx="6" formatCode="_(* #,##0.00_);_(* \(#,##0.00\);_(* &quot;-&quot;??_);_(@_)">
                  <c:v>13.805855052967814</c:v>
                </c:pt>
                <c:pt idx="7" formatCode="_(* #,##0.00_);_(* \(#,##0.00\);_(* &quot;-&quot;??_);_(@_)">
                  <c:v>5.9855738522796003</c:v>
                </c:pt>
                <c:pt idx="8" formatCode="_(* #,##0.00_);_(* \(#,##0.00\);_(* &quot;-&quot;??_);_(@_)">
                  <c:v>21.512301285539053</c:v>
                </c:pt>
                <c:pt idx="9" formatCode="_(* #,##0.00_);_(* \(#,##0.00\);_(* &quot;-&quot;??_);_(@_)">
                  <c:v>26.528236792468334</c:v>
                </c:pt>
                <c:pt idx="10" formatCode="_(* #,##0.00_);_(* \(#,##0.00\);_(* &quot;-&quot;??_);_(@_)">
                  <c:v>24.886232456127715</c:v>
                </c:pt>
                <c:pt idx="11" formatCode="_(* #,##0.00_);_(* \(#,##0.00\);_(* &quot;-&quot;??_);_(@_)">
                  <c:v>20.300819590688775</c:v>
                </c:pt>
                <c:pt idx="12" formatCode="_(* #,##0.00_);_(* \(#,##0.00\);_(* &quot;-&quot;??_);_(@_)">
                  <c:v>36.510482514114926</c:v>
                </c:pt>
                <c:pt idx="13" formatCode="_(* #,##0.00_);_(* \(#,##0.00\);_(* &quot;-&quot;??_);_(@_)">
                  <c:v>35.478285661581964</c:v>
                </c:pt>
                <c:pt idx="14" formatCode="_(* #,##0.00_);_(* \(#,##0.00\);_(* &quot;-&quot;??_);_(@_)">
                  <c:v>30.969477924558191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BD-43D9-8DF8-8C34B82F8860}"/>
            </c:ext>
          </c:extLst>
        </c:ser>
        <c:ser>
          <c:idx val="2"/>
          <c:order val="3"/>
          <c:spPr>
            <a:solidFill>
              <a:schemeClr val="accent4">
                <a:tint val="9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strRef>
              <c:f>ValGraph!$B$36:$B$53</c:f>
              <c:strCache>
                <c:ptCount val="17"/>
                <c:pt idx="0">
                  <c:v>(10% - 12% WACC, 4.5% - 7.5% Free Cash Flow Growth Rate</c:v>
                </c:pt>
                <c:pt idx="1">
                  <c:v>DCF Output:</c:v>
                </c:pt>
                <c:pt idx="2">
                  <c:v>2024-10-27 EV / Revenue:</c:v>
                </c:pt>
                <c:pt idx="3">
                  <c:v>2024-10-27 EV / EBITDA:</c:v>
                </c:pt>
                <c:pt idx="4">
                  <c:v>LTM TEV / EBITDA:</c:v>
                </c:pt>
                <c:pt idx="5">
                  <c:v>LTM TEV / Revenue:</c:v>
                </c:pt>
                <c:pt idx="6">
                  <c:v>CY 22 P / E:</c:v>
                </c:pt>
                <c:pt idx="7">
                  <c:v>CY 21 P / E:</c:v>
                </c:pt>
                <c:pt idx="8">
                  <c:v>LTM P / E:</c:v>
                </c:pt>
                <c:pt idx="9">
                  <c:v>CY 22 TEV / EBITDA:</c:v>
                </c:pt>
                <c:pt idx="10">
                  <c:v>CY 21 TEV / EBITDA:</c:v>
                </c:pt>
                <c:pt idx="11">
                  <c:v>LTM TEV / EBITDA:</c:v>
                </c:pt>
                <c:pt idx="12">
                  <c:v>CY 22 TEV / Revenue:</c:v>
                </c:pt>
                <c:pt idx="13">
                  <c:v>CY 21 TEV / Revenue:</c:v>
                </c:pt>
                <c:pt idx="14">
                  <c:v>LTM TEV / Revenue:</c:v>
                </c:pt>
                <c:pt idx="15">
                  <c:v>Comparable Public Companies:</c:v>
                </c:pt>
                <c:pt idx="16">
                  <c:v>Current Share Price</c:v>
                </c:pt>
              </c:strCache>
            </c:strRef>
          </c:cat>
          <c:val>
            <c:numRef>
              <c:f>ValGraph!$M$36:$M$50</c:f>
              <c:numCache>
                <c:formatCode>_("$"* #,##0.00_);_("$"* \(#,##0.00\);_("$"* "-"??_);_(@_)</c:formatCode>
                <c:ptCount val="15"/>
                <c:pt idx="0" formatCode="_(* #,##0.00_);_(* \(#,##0.00\);_(* &quot;-&quot;??_);_(@_)">
                  <c:v>40.438191300548453</c:v>
                </c:pt>
                <c:pt idx="2" formatCode="_(* #,##0.00_);_(* \(#,##0.00\);_(* &quot;-&quot;??_);_(@_)">
                  <c:v>16.464137464764221</c:v>
                </c:pt>
                <c:pt idx="3" formatCode="_(* #,##0.00_);_(* \(#,##0.00\);_(* &quot;-&quot;??_);_(@_)">
                  <c:v>31.116165728918105</c:v>
                </c:pt>
                <c:pt idx="4" formatCode="_(* #,##0.00_);_(* \(#,##0.00\);_(* &quot;-&quot;??_);_(@_)">
                  <c:v>28.438195165494932</c:v>
                </c:pt>
                <c:pt idx="5" formatCode="_(* #,##0.00_);_(* \(#,##0.00\);_(* &quot;-&quot;??_);_(@_)">
                  <c:v>100.10477101268296</c:v>
                </c:pt>
                <c:pt idx="6" formatCode="_(* #,##0.00_);_(* \(#,##0.00\);_(* &quot;-&quot;??_);_(@_)">
                  <c:v>11.921756929834288</c:v>
                </c:pt>
                <c:pt idx="7" formatCode="_(* #,##0.00_);_(* \(#,##0.00\);_(* &quot;-&quot;??_);_(@_)">
                  <c:v>14.81669524727522</c:v>
                </c:pt>
                <c:pt idx="8" formatCode="_(* #,##0.00_);_(* \(#,##0.00\);_(* &quot;-&quot;??_);_(@_)">
                  <c:v>31.053463801415006</c:v>
                </c:pt>
                <c:pt idx="9" formatCode="_(* #,##0.00_);_(* \(#,##0.00\);_(* &quot;-&quot;??_);_(@_)">
                  <c:v>34.883492346346458</c:v>
                </c:pt>
                <c:pt idx="10" formatCode="_(* #,##0.00_);_(* \(#,##0.00\);_(* &quot;-&quot;??_);_(@_)">
                  <c:v>21.365408776955888</c:v>
                </c:pt>
                <c:pt idx="11" formatCode="_(* #,##0.00_);_(* \(#,##0.00\);_(* &quot;-&quot;??_);_(@_)">
                  <c:v>28.438195165494932</c:v>
                </c:pt>
                <c:pt idx="12" formatCode="_(* #,##0.00_);_(* \(#,##0.00\);_(* &quot;-&quot;??_);_(@_)">
                  <c:v>61.716459307139274</c:v>
                </c:pt>
                <c:pt idx="13" formatCode="_(* #,##0.00_);_(* \(#,##0.00\);_(* &quot;-&quot;??_);_(@_)">
                  <c:v>73.175565993971674</c:v>
                </c:pt>
                <c:pt idx="14" formatCode="_(* #,##0.00_);_(* \(#,##0.00\);_(* &quot;-&quot;??_);_(@_)">
                  <c:v>100.10477101268296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BD-43D9-8DF8-8C34B82F8860}"/>
            </c:ext>
          </c:extLst>
        </c:ser>
        <c:ser>
          <c:idx val="3"/>
          <c:order val="4"/>
          <c:spPr>
            <a:noFill/>
            <a:ln>
              <a:noFill/>
            </a:ln>
            <a:effectLst/>
          </c:spPr>
          <c:invertIfNegative val="0"/>
          <c:cat>
            <c:strRef>
              <c:f>ValGraph!$B$36:$B$53</c:f>
              <c:strCache>
                <c:ptCount val="17"/>
                <c:pt idx="0">
                  <c:v>(10% - 12% WACC, 4.5% - 7.5% Free Cash Flow Growth Rate</c:v>
                </c:pt>
                <c:pt idx="1">
                  <c:v>DCF Output:</c:v>
                </c:pt>
                <c:pt idx="2">
                  <c:v>2024-10-27 EV / Revenue:</c:v>
                </c:pt>
                <c:pt idx="3">
                  <c:v>2024-10-27 EV / EBITDA:</c:v>
                </c:pt>
                <c:pt idx="4">
                  <c:v>LTM TEV / EBITDA:</c:v>
                </c:pt>
                <c:pt idx="5">
                  <c:v>LTM TEV / Revenue:</c:v>
                </c:pt>
                <c:pt idx="6">
                  <c:v>CY 22 P / E:</c:v>
                </c:pt>
                <c:pt idx="7">
                  <c:v>CY 21 P / E:</c:v>
                </c:pt>
                <c:pt idx="8">
                  <c:v>LTM P / E:</c:v>
                </c:pt>
                <c:pt idx="9">
                  <c:v>CY 22 TEV / EBITDA:</c:v>
                </c:pt>
                <c:pt idx="10">
                  <c:v>CY 21 TEV / EBITDA:</c:v>
                </c:pt>
                <c:pt idx="11">
                  <c:v>LTM TEV / EBITDA:</c:v>
                </c:pt>
                <c:pt idx="12">
                  <c:v>CY 22 TEV / Revenue:</c:v>
                </c:pt>
                <c:pt idx="13">
                  <c:v>CY 21 TEV / Revenue:</c:v>
                </c:pt>
                <c:pt idx="14">
                  <c:v>LTM TEV / Revenue:</c:v>
                </c:pt>
                <c:pt idx="15">
                  <c:v>Comparable Public Companies:</c:v>
                </c:pt>
                <c:pt idx="16">
                  <c:v>Current Share Price</c:v>
                </c:pt>
              </c:strCache>
            </c:strRef>
          </c:cat>
          <c:val>
            <c:numRef>
              <c:f>ValGraph!$N$36:$N$50</c:f>
              <c:numCache>
                <c:formatCode>_("$"* #,##0.00_);_("$"* \(#,##0.00\);_("$"* "-"??_);_(@_)</c:formatCode>
                <c:ptCount val="15"/>
                <c:pt idx="0" formatCode="_(* #,##0.00_);_(* \(#,##0.00\);_(* &quot;-&quot;??_);_(@_)">
                  <c:v>43.67945525036771</c:v>
                </c:pt>
                <c:pt idx="2" formatCode="_(* #,##0.00_);_(* \(#,##0.00\);_(* &quot;-&quot;??_);_(@_)">
                  <c:v>144.32198045704143</c:v>
                </c:pt>
                <c:pt idx="3" formatCode="_(* #,##0.00_);_(* \(#,##0.00\);_(* &quot;-&quot;??_);_(@_)">
                  <c:v>40.322575421217863</c:v>
                </c:pt>
                <c:pt idx="4" formatCode="_(* #,##0.00_);_(* \(#,##0.00\);_(* &quot;-&quot;??_);_(@_)">
                  <c:v>84.335376745536337</c:v>
                </c:pt>
                <c:pt idx="5" formatCode="_(* #,##0.00_);_(* \(#,##0.00\);_(* &quot;-&quot;??_);_(@_)">
                  <c:v>36.768651751642722</c:v>
                </c:pt>
                <c:pt idx="6" formatCode="_(* #,##0.00_);_(* \(#,##0.00\);_(* &quot;-&quot;??_);_(@_)">
                  <c:v>30.779274688202491</c:v>
                </c:pt>
                <c:pt idx="7" formatCode="_(* #,##0.00_);_(* \(#,##0.00\);_(* &quot;-&quot;??_);_(@_)">
                  <c:v>30.474125382268824</c:v>
                </c:pt>
                <c:pt idx="8" formatCode="_(* #,##0.00_);_(* \(#,##0.00\);_(* &quot;-&quot;??_);_(@_)">
                  <c:v>78.576880549767424</c:v>
                </c:pt>
                <c:pt idx="9" formatCode="_(* #,##0.00_);_(* \(#,##0.00\);_(* &quot;-&quot;??_);_(@_)">
                  <c:v>11.144413244457553</c:v>
                </c:pt>
                <c:pt idx="10" formatCode="_(* #,##0.00_);_(* \(#,##0.00\);_(* &quot;-&quot;??_);_(@_)">
                  <c:v>34.508572276140683</c:v>
                </c:pt>
                <c:pt idx="11" formatCode="_(* #,##0.00_);_(* \(#,##0.00\);_(* &quot;-&quot;??_);_(@_)">
                  <c:v>84.335376745536337</c:v>
                </c:pt>
                <c:pt idx="12" formatCode="_(* #,##0.00_);_(* \(#,##0.00\);_(* &quot;-&quot;??_);_(@_)">
                  <c:v>41.771608739460703</c:v>
                </c:pt>
                <c:pt idx="13" formatCode="_(* #,##0.00_);_(* \(#,##0.00\);_(* &quot;-&quot;??_);_(@_)">
                  <c:v>14.699310952583971</c:v>
                </c:pt>
                <c:pt idx="14" formatCode="_(* #,##0.00_);_(* \(#,##0.00\);_(* &quot;-&quot;??_);_(@_)">
                  <c:v>36.768651751642722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BD-43D9-8DF8-8C34B82F8860}"/>
            </c:ext>
          </c:extLst>
        </c:ser>
        <c:ser>
          <c:idx val="4"/>
          <c:order val="5"/>
          <c:spPr>
            <a:noFill/>
            <a:ln>
              <a:noFill/>
            </a:ln>
            <a:effectLst/>
          </c:spPr>
          <c:invertIfNegative val="0"/>
          <c:cat>
            <c:strRef>
              <c:f>ValGraph!$B$36:$B$53</c:f>
              <c:strCache>
                <c:ptCount val="17"/>
                <c:pt idx="0">
                  <c:v>(10% - 12% WACC, 4.5% - 7.5% Free Cash Flow Growth Rate</c:v>
                </c:pt>
                <c:pt idx="1">
                  <c:v>DCF Output:</c:v>
                </c:pt>
                <c:pt idx="2">
                  <c:v>2024-10-27 EV / Revenue:</c:v>
                </c:pt>
                <c:pt idx="3">
                  <c:v>2024-10-27 EV / EBITDA:</c:v>
                </c:pt>
                <c:pt idx="4">
                  <c:v>LTM TEV / EBITDA:</c:v>
                </c:pt>
                <c:pt idx="5">
                  <c:v>LTM TEV / Revenue:</c:v>
                </c:pt>
                <c:pt idx="6">
                  <c:v>CY 22 P / E:</c:v>
                </c:pt>
                <c:pt idx="7">
                  <c:v>CY 21 P / E:</c:v>
                </c:pt>
                <c:pt idx="8">
                  <c:v>LTM P / E:</c:v>
                </c:pt>
                <c:pt idx="9">
                  <c:v>CY 22 TEV / EBITDA:</c:v>
                </c:pt>
                <c:pt idx="10">
                  <c:v>CY 21 TEV / EBITDA:</c:v>
                </c:pt>
                <c:pt idx="11">
                  <c:v>LTM TEV / EBITDA:</c:v>
                </c:pt>
                <c:pt idx="12">
                  <c:v>CY 22 TEV / Revenue:</c:v>
                </c:pt>
                <c:pt idx="13">
                  <c:v>CY 21 TEV / Revenue:</c:v>
                </c:pt>
                <c:pt idx="14">
                  <c:v>LTM TEV / Revenue:</c:v>
                </c:pt>
                <c:pt idx="15">
                  <c:v>Comparable Public Companies:</c:v>
                </c:pt>
                <c:pt idx="16">
                  <c:v>Current Share Price</c:v>
                </c:pt>
              </c:strCache>
            </c:strRef>
          </c:cat>
          <c:val>
            <c:numRef>
              <c:f>ValGraph!$O$36:$O$50</c:f>
              <c:numCache>
                <c:formatCode>General</c:formatCode>
                <c:ptCount val="15"/>
                <c:pt idx="0" formatCode="_(* #,##0.00_);_(* \(#,##0.00\);_(* &quot;-&quot;??_);_(@_)">
                  <c:v>130.72093908631544</c:v>
                </c:pt>
                <c:pt idx="2" formatCode="_(* #,##0.00_);_(* \(#,##0.00\);_(* &quot;-&quot;??_);_(@_)">
                  <c:v>174.60174142741954</c:v>
                </c:pt>
                <c:pt idx="3" formatCode="_(* #,##0.00_);_(* \(#,##0.00\);_(* &quot;-&quot;??_);_(@_)">
                  <c:v>208.13509904154574</c:v>
                </c:pt>
                <c:pt idx="4" formatCode="_(* #,##0.00_);_(* \(#,##0.00\);_(* &quot;-&quot;??_);_(@_)">
                  <c:v>187.78092411856454</c:v>
                </c:pt>
                <c:pt idx="5" formatCode="_(* #,##0.00_);_(* \(#,##0.00\);_(* &quot;-&quot;??_);_(@_)">
                  <c:v>218.87869145825653</c:v>
                </c:pt>
                <c:pt idx="6" formatCode="_(* #,##0.00_);_(* \(#,##0.00\);_(* &quot;-&quot;??_);_(@_)">
                  <c:v>173.57693340669704</c:v>
                </c:pt>
                <c:pt idx="7" formatCode="_(* #,##0.00_);_(* \(#,##0.00\);_(* &quot;-&quot;??_);_(@_)">
                  <c:v>147.99673949524816</c:v>
                </c:pt>
                <c:pt idx="8" formatCode="_(* #,##0.00_);_(* \(#,##0.00\);_(* &quot;-&quot;??_);_(@_)">
                  <c:v>139.61697665646381</c:v>
                </c:pt>
                <c:pt idx="9" formatCode="_(* #,##0.00_);_(* \(#,##0.00\);_(* &quot;-&quot;??_);_(@_)">
                  <c:v>380.61712471895811</c:v>
                </c:pt>
                <c:pt idx="10" formatCode="_(* #,##0.00_);_(* \(#,##0.00\);_(* &quot;-&quot;??_);_(@_)">
                  <c:v>399.15745474563914</c:v>
                </c:pt>
                <c:pt idx="11" formatCode="_(* #,##0.00_);_(* \(#,##0.00\);_(* &quot;-&quot;??_);_(@_)">
                  <c:v>187.78092411856454</c:v>
                </c:pt>
                <c:pt idx="12" formatCode="_(* #,##0.00_);_(* \(#,##0.00\);_(* &quot;-&quot;??_);_(@_)">
                  <c:v>362.52443326421667</c:v>
                </c:pt>
                <c:pt idx="13" formatCode="_(* #,##0.00_);_(* \(#,##0.00\);_(* &quot;-&quot;??_);_(@_)">
                  <c:v>410.51577762028461</c:v>
                </c:pt>
                <c:pt idx="14" formatCode="_(* #,##0.00_);_(* \(#,##0.00\);_(* &quot;-&quot;??_);_(@_)">
                  <c:v>218.87869145825653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3BD-43D9-8DF8-8C34B82F88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80128991"/>
        <c:axId val="380126591"/>
      </c:barChart>
      <c:scatterChart>
        <c:scatterStyle val="smoothMarker"/>
        <c:varyColors val="0"/>
        <c:ser>
          <c:idx val="5"/>
          <c:order val="0"/>
          <c:tx>
            <c:strRef>
              <c:f>ValGraph!$B$52</c:f>
              <c:strCache>
                <c:ptCount val="1"/>
                <c:pt idx="0">
                  <c:v>Current Share Price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ValGraph!$E$52:$I$52</c:f>
              <c:numCache>
                <c:formatCode>_(* #,##0.00_);_(* \(#,##0.00\);_(* "-"??_);_(@_)</c:formatCode>
                <c:ptCount val="5"/>
                <c:pt idx="0">
                  <c:v>175.55</c:v>
                </c:pt>
                <c:pt idx="1">
                  <c:v>175.55</c:v>
                </c:pt>
                <c:pt idx="2">
                  <c:v>175.55</c:v>
                </c:pt>
                <c:pt idx="3">
                  <c:v>175.55</c:v>
                </c:pt>
                <c:pt idx="4">
                  <c:v>175.55</c:v>
                </c:pt>
              </c:numCache>
            </c:numRef>
          </c:xVal>
          <c:yVal>
            <c:numRef>
              <c:f>ValGraph!$K$52:$O$52</c:f>
              <c:numCache>
                <c:formatCode>_(* #,##0.00_);_(* \(#,##0.00\);_(* "-"??_);_(@_)</c:formatCode>
                <c:ptCount val="5"/>
                <c:pt idx="0">
                  <c:v>1000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3BD-43D9-8DF8-8C34B82F88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22205423"/>
        <c:axId val="1322206863"/>
      </c:scatterChart>
      <c:catAx>
        <c:axId val="380128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0126591"/>
        <c:crosses val="autoZero"/>
        <c:auto val="1"/>
        <c:lblAlgn val="ctr"/>
        <c:lblOffset val="100"/>
        <c:noMultiLvlLbl val="0"/>
      </c:catAx>
      <c:valAx>
        <c:axId val="3801265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[$$-409]* #,##0_);_([$$-409]* \(#,##0\);_([$$-409]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0128991"/>
        <c:crosses val="autoZero"/>
        <c:crossBetween val="between"/>
      </c:valAx>
      <c:valAx>
        <c:axId val="1322206863"/>
        <c:scaling>
          <c:orientation val="minMax"/>
          <c:max val="1000"/>
          <c:min val="0"/>
        </c:scaling>
        <c:delete val="1"/>
        <c:axPos val="r"/>
        <c:numFmt formatCode="_(* #,##0.00_);_(* \(#,##0.00\);_(* &quot;-&quot;??_);_(@_)" sourceLinked="1"/>
        <c:majorTickMark val="out"/>
        <c:minorTickMark val="none"/>
        <c:tickLblPos val="nextTo"/>
        <c:crossAx val="1322205423"/>
        <c:crosses val="max"/>
        <c:crossBetween val="midCat"/>
      </c:valAx>
      <c:valAx>
        <c:axId val="1322205423"/>
        <c:scaling>
          <c:orientation val="minMax"/>
        </c:scaling>
        <c:delete val="1"/>
        <c:axPos val="b"/>
        <c:numFmt formatCode="_(* #,##0.00_);_(* \(#,##0.00\);_(* &quot;-&quot;??_);_(@_)" sourceLinked="1"/>
        <c:majorTickMark val="out"/>
        <c:minorTickMark val="none"/>
        <c:tickLblPos val="nextTo"/>
        <c:crossAx val="1322206863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Graphs!$P$33</c:f>
          <c:strCache>
            <c:ptCount val="1"/>
            <c:pt idx="0">
              <c:v>Applied Materials: Revenue and Operating Margins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Revenue</c:v>
          </c:tx>
          <c:spPr>
            <a:solidFill>
              <a:schemeClr val="tx2">
                <a:lumMod val="50000"/>
                <a:lumOff val="50000"/>
              </a:schemeClr>
            </a:solidFill>
          </c:spPr>
          <c:invertIfNegative val="0"/>
          <c:cat>
            <c:numRef>
              <c:f>Summary!$G$7:$P$7</c:f>
              <c:numCache>
                <c:formatCode>"FY"yy</c:formatCode>
                <c:ptCount val="10"/>
                <c:pt idx="0">
                  <c:v>43496</c:v>
                </c:pt>
                <c:pt idx="1">
                  <c:v>43861</c:v>
                </c:pt>
                <c:pt idx="2">
                  <c:v>44227</c:v>
                </c:pt>
                <c:pt idx="3">
                  <c:v>44592</c:v>
                </c:pt>
                <c:pt idx="4">
                  <c:v>44957</c:v>
                </c:pt>
                <c:pt idx="5">
                  <c:v>45322</c:v>
                </c:pt>
                <c:pt idx="6">
                  <c:v>45688</c:v>
                </c:pt>
                <c:pt idx="7">
                  <c:v>46053</c:v>
                </c:pt>
                <c:pt idx="8">
                  <c:v>46418</c:v>
                </c:pt>
                <c:pt idx="9">
                  <c:v>46783</c:v>
                </c:pt>
              </c:numCache>
            </c:numRef>
          </c:cat>
          <c:val>
            <c:numRef>
              <c:f>Summary!$G$21:$P$21</c:f>
              <c:numCache>
                <c:formatCode>_("$"* #,##0_);_("$"* \(#,##0\);_("$"* "-"_);_(@_)</c:formatCode>
                <c:ptCount val="10"/>
                <c:pt idx="0">
                  <c:v>14608</c:v>
                </c:pt>
                <c:pt idx="1">
                  <c:v>17202</c:v>
                </c:pt>
                <c:pt idx="2">
                  <c:v>23063</c:v>
                </c:pt>
                <c:pt idx="3">
                  <c:v>25785</c:v>
                </c:pt>
                <c:pt idx="4">
                  <c:v>26517</c:v>
                </c:pt>
                <c:pt idx="5">
                  <c:v>27176</c:v>
                </c:pt>
                <c:pt idx="6">
                  <c:v>28207.022910228687</c:v>
                </c:pt>
                <c:pt idx="7">
                  <c:v>29577.653506353243</c:v>
                </c:pt>
                <c:pt idx="8">
                  <c:v>31316.528779159173</c:v>
                </c:pt>
                <c:pt idx="9">
                  <c:v>33497.173884528573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95C4-4D0C-9F41-D1677FCC8E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91077599"/>
        <c:axId val="1391076639"/>
      </c:barChart>
      <c:lineChart>
        <c:grouping val="standard"/>
        <c:varyColors val="0"/>
        <c:ser>
          <c:idx val="1"/>
          <c:order val="1"/>
          <c:tx>
            <c:v>Operating Margin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Summary!$G$24:$P$24</c:f>
              <c:numCache>
                <c:formatCode>_("$"* #,##0_);_("$"* \(#,##0\);_("$"* "-"_);_(@_)</c:formatCode>
                <c:ptCount val="10"/>
                <c:pt idx="0">
                  <c:v>6386</c:v>
                </c:pt>
                <c:pt idx="1">
                  <c:v>7692</c:v>
                </c:pt>
                <c:pt idx="2">
                  <c:v>10914</c:v>
                </c:pt>
                <c:pt idx="3">
                  <c:v>11993</c:v>
                </c:pt>
                <c:pt idx="4">
                  <c:v>12384</c:v>
                </c:pt>
                <c:pt idx="5">
                  <c:v>12897</c:v>
                </c:pt>
                <c:pt idx="6">
                  <c:v>13173.276453606064</c:v>
                </c:pt>
                <c:pt idx="7">
                  <c:v>13813.389939385244</c:v>
                </c:pt>
                <c:pt idx="8">
                  <c:v>14625.48147984716</c:v>
                </c:pt>
                <c:pt idx="9">
                  <c:v>15643.888878304551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5C4-4D0C-9F41-D1677FCC8E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1077599"/>
        <c:axId val="1391076639"/>
      </c:lineChart>
      <c:dateAx>
        <c:axId val="1391077599"/>
        <c:scaling>
          <c:orientation val="minMax"/>
        </c:scaling>
        <c:delete val="0"/>
        <c:axPos val="b"/>
        <c:numFmt formatCode="&quot;FY&quot;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1076639"/>
        <c:crosses val="autoZero"/>
        <c:auto val="1"/>
        <c:lblOffset val="100"/>
        <c:baseTimeUnit val="years"/>
      </c:dateAx>
      <c:valAx>
        <c:axId val="1391076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1077599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Graphs!$P$48</c:f>
          <c:strCache>
            <c:ptCount val="1"/>
            <c:pt idx="0">
              <c:v>Applied Materials: Revenue by Segment</c:v>
            </c:pt>
          </c:strCache>
        </c:strRef>
      </c:tx>
      <c:layout>
        <c:manualLayout>
          <c:xMode val="edge"/>
          <c:yMode val="edge"/>
          <c:x val="0.20002051170947796"/>
          <c:y val="2.67442835848711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Summary!$C$10:$E$10</c:f>
              <c:strCache>
                <c:ptCount val="3"/>
                <c:pt idx="0">
                  <c:v>Semiconductor Systems</c:v>
                </c:pt>
                <c:pt idx="2">
                  <c:v>$ M</c:v>
                </c:pt>
              </c:strCache>
            </c:strRef>
          </c:tx>
          <c:spPr>
            <a:solidFill>
              <a:schemeClr val="tx2">
                <a:lumMod val="75000"/>
                <a:lumOff val="25000"/>
              </a:schemeClr>
            </a:solidFill>
            <a:ln>
              <a:solidFill>
                <a:srgbClr val="000000"/>
              </a:solidFill>
            </a:ln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Summary!$G$7:$P$7</c15:sqref>
                  </c15:fullRef>
                </c:ext>
              </c:extLst>
              <c:f>Summary!$G$7:$P$7</c:f>
              <c:numCache>
                <c:formatCode>"FY"yy</c:formatCode>
                <c:ptCount val="10"/>
                <c:pt idx="0">
                  <c:v>43496</c:v>
                </c:pt>
                <c:pt idx="1">
                  <c:v>43861</c:v>
                </c:pt>
                <c:pt idx="2">
                  <c:v>44227</c:v>
                </c:pt>
                <c:pt idx="3">
                  <c:v>44592</c:v>
                </c:pt>
                <c:pt idx="4">
                  <c:v>44957</c:v>
                </c:pt>
                <c:pt idx="5">
                  <c:v>45322</c:v>
                </c:pt>
                <c:pt idx="6">
                  <c:v>45688</c:v>
                </c:pt>
                <c:pt idx="7">
                  <c:v>46053</c:v>
                </c:pt>
                <c:pt idx="8">
                  <c:v>46418</c:v>
                </c:pt>
                <c:pt idx="9">
                  <c:v>46783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Summary!$F$10:$P$10</c15:sqref>
                  </c15:fullRef>
                </c:ext>
              </c:extLst>
              <c:f>Summary!$F$10:$O$10</c:f>
              <c:numCache>
                <c:formatCode>_("$"* #,##0_);_("$"* \(#,##0\);_("$"* "-"??_);_(@_)</c:formatCode>
                <c:ptCount val="10"/>
                <c:pt idx="1">
                  <c:v>9027</c:v>
                </c:pt>
                <c:pt idx="2">
                  <c:v>11367</c:v>
                </c:pt>
                <c:pt idx="3">
                  <c:v>16286</c:v>
                </c:pt>
                <c:pt idx="4">
                  <c:v>18797</c:v>
                </c:pt>
                <c:pt idx="5">
                  <c:v>19698</c:v>
                </c:pt>
                <c:pt idx="6">
                  <c:v>19911</c:v>
                </c:pt>
                <c:pt idx="7">
                  <c:v>20325.413228754187</c:v>
                </c:pt>
                <c:pt idx="8">
                  <c:v>20951.705888583845</c:v>
                </c:pt>
                <c:pt idx="9">
                  <c:v>21806.81373872437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8777-4DB1-9CD0-6D1822176DA9}"/>
            </c:ext>
          </c:extLst>
        </c:ser>
        <c:ser>
          <c:idx val="1"/>
          <c:order val="1"/>
          <c:tx>
            <c:strRef>
              <c:f>Summary!$C$12:$E$12</c:f>
              <c:strCache>
                <c:ptCount val="3"/>
                <c:pt idx="0">
                  <c:v>Applied Global Services</c:v>
                </c:pt>
                <c:pt idx="2">
                  <c:v>$ M</c:v>
                </c:pt>
              </c:strCache>
            </c:strRef>
          </c:tx>
          <c:spPr>
            <a:solidFill>
              <a:schemeClr val="tx2">
                <a:lumMod val="50000"/>
                <a:lumOff val="50000"/>
              </a:schemeClr>
            </a:solidFill>
            <a:ln>
              <a:solidFill>
                <a:srgbClr val="000000"/>
              </a:solidFill>
            </a:ln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Summary!$G$7:$P$7</c15:sqref>
                  </c15:fullRef>
                </c:ext>
              </c:extLst>
              <c:f>Summary!$G$7:$P$7</c:f>
              <c:numCache>
                <c:formatCode>"FY"yy</c:formatCode>
                <c:ptCount val="10"/>
                <c:pt idx="0">
                  <c:v>43496</c:v>
                </c:pt>
                <c:pt idx="1">
                  <c:v>43861</c:v>
                </c:pt>
                <c:pt idx="2">
                  <c:v>44227</c:v>
                </c:pt>
                <c:pt idx="3">
                  <c:v>44592</c:v>
                </c:pt>
                <c:pt idx="4">
                  <c:v>44957</c:v>
                </c:pt>
                <c:pt idx="5">
                  <c:v>45322</c:v>
                </c:pt>
                <c:pt idx="6">
                  <c:v>45688</c:v>
                </c:pt>
                <c:pt idx="7">
                  <c:v>46053</c:v>
                </c:pt>
                <c:pt idx="8">
                  <c:v>46418</c:v>
                </c:pt>
                <c:pt idx="9">
                  <c:v>46783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Summary!$F$12:$P$12</c15:sqref>
                  </c15:fullRef>
                </c:ext>
              </c:extLst>
              <c:f>Summary!$F$12:$O$12</c:f>
              <c:numCache>
                <c:formatCode>_("$"* #,##0_);_("$"* \(#,##0\);_("$"* "-"??_);_(@_)</c:formatCode>
                <c:ptCount val="10"/>
                <c:pt idx="1">
                  <c:v>3854</c:v>
                </c:pt>
                <c:pt idx="2">
                  <c:v>4155</c:v>
                </c:pt>
                <c:pt idx="3">
                  <c:v>5013</c:v>
                </c:pt>
                <c:pt idx="4">
                  <c:v>5543</c:v>
                </c:pt>
                <c:pt idx="5">
                  <c:v>5732</c:v>
                </c:pt>
                <c:pt idx="6">
                  <c:v>6225</c:v>
                </c:pt>
                <c:pt idx="7">
                  <c:v>6785.2500000000009</c:v>
                </c:pt>
                <c:pt idx="8">
                  <c:v>7463.7750000000015</c:v>
                </c:pt>
                <c:pt idx="9">
                  <c:v>8284.79025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8777-4DB1-9CD0-6D1822176DA9}"/>
            </c:ext>
          </c:extLst>
        </c:ser>
        <c:ser>
          <c:idx val="2"/>
          <c:order val="2"/>
          <c:tx>
            <c:strRef>
              <c:f>Summary!$C$14:$E$14</c:f>
              <c:strCache>
                <c:ptCount val="3"/>
                <c:pt idx="0">
                  <c:v>Display and Adjacent Markets</c:v>
                </c:pt>
                <c:pt idx="2">
                  <c:v>$ M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Summary!$G$7:$P$7</c15:sqref>
                  </c15:fullRef>
                </c:ext>
              </c:extLst>
              <c:f>Summary!$G$7:$P$7</c:f>
              <c:numCache>
                <c:formatCode>"FY"yy</c:formatCode>
                <c:ptCount val="10"/>
                <c:pt idx="0">
                  <c:v>43496</c:v>
                </c:pt>
                <c:pt idx="1">
                  <c:v>43861</c:v>
                </c:pt>
                <c:pt idx="2">
                  <c:v>44227</c:v>
                </c:pt>
                <c:pt idx="3">
                  <c:v>44592</c:v>
                </c:pt>
                <c:pt idx="4">
                  <c:v>44957</c:v>
                </c:pt>
                <c:pt idx="5">
                  <c:v>45322</c:v>
                </c:pt>
                <c:pt idx="6">
                  <c:v>45688</c:v>
                </c:pt>
                <c:pt idx="7">
                  <c:v>46053</c:v>
                </c:pt>
                <c:pt idx="8">
                  <c:v>46418</c:v>
                </c:pt>
                <c:pt idx="9">
                  <c:v>46783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Summary!$F$14:$P$14</c15:sqref>
                  </c15:fullRef>
                </c:ext>
              </c:extLst>
              <c:f>Summary!$F$14:$O$14</c:f>
              <c:numCache>
                <c:formatCode>_("$"* #,##0_);_("$"* \(#,##0\);_("$"* "-"??_);_(@_)</c:formatCode>
                <c:ptCount val="10"/>
                <c:pt idx="1">
                  <c:v>1651</c:v>
                </c:pt>
                <c:pt idx="2">
                  <c:v>1607</c:v>
                </c:pt>
                <c:pt idx="3">
                  <c:v>1634</c:v>
                </c:pt>
                <c:pt idx="4">
                  <c:v>1331</c:v>
                </c:pt>
                <c:pt idx="5">
                  <c:v>868</c:v>
                </c:pt>
                <c:pt idx="6">
                  <c:v>885</c:v>
                </c:pt>
                <c:pt idx="7">
                  <c:v>902.7</c:v>
                </c:pt>
                <c:pt idx="8">
                  <c:v>929.78100000000006</c:v>
                </c:pt>
                <c:pt idx="9">
                  <c:v>957.67443000000014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8777-4DB1-9CD0-6D1822176DA9}"/>
            </c:ext>
          </c:extLst>
        </c:ser>
        <c:ser>
          <c:idx val="3"/>
          <c:order val="3"/>
          <c:tx>
            <c:strRef>
              <c:f>Summary!$C$16:$E$16</c:f>
              <c:strCache>
                <c:ptCount val="3"/>
                <c:pt idx="0">
                  <c:v>Corporate and Other</c:v>
                </c:pt>
                <c:pt idx="2">
                  <c:v>$ M</c:v>
                </c:pt>
              </c:strCache>
            </c:strRef>
          </c:tx>
          <c:spPr>
            <a:solidFill>
              <a:schemeClr val="tx2">
                <a:lumMod val="25000"/>
                <a:lumOff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Summary!$G$7:$P$7</c15:sqref>
                  </c15:fullRef>
                </c:ext>
              </c:extLst>
              <c:f>Summary!$G$7:$P$7</c:f>
              <c:numCache>
                <c:formatCode>"FY"yy</c:formatCode>
                <c:ptCount val="10"/>
                <c:pt idx="0">
                  <c:v>43496</c:v>
                </c:pt>
                <c:pt idx="1">
                  <c:v>43861</c:v>
                </c:pt>
                <c:pt idx="2">
                  <c:v>44227</c:v>
                </c:pt>
                <c:pt idx="3">
                  <c:v>44592</c:v>
                </c:pt>
                <c:pt idx="4">
                  <c:v>44957</c:v>
                </c:pt>
                <c:pt idx="5">
                  <c:v>45322</c:v>
                </c:pt>
                <c:pt idx="6">
                  <c:v>45688</c:v>
                </c:pt>
                <c:pt idx="7">
                  <c:v>46053</c:v>
                </c:pt>
                <c:pt idx="8">
                  <c:v>46418</c:v>
                </c:pt>
                <c:pt idx="9">
                  <c:v>46783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Summary!$F$16:$P$16</c15:sqref>
                  </c15:fullRef>
                </c:ext>
              </c:extLst>
              <c:f>Summary!$F$16:$O$16</c:f>
              <c:numCache>
                <c:formatCode>_("$"* #,##0_);_("$"* \(#,##0\);_("$"* "-"??_);_(@_)</c:formatCode>
                <c:ptCount val="10"/>
                <c:pt idx="1">
                  <c:v>76</c:v>
                </c:pt>
                <c:pt idx="2">
                  <c:v>73</c:v>
                </c:pt>
                <c:pt idx="3">
                  <c:v>130</c:v>
                </c:pt>
                <c:pt idx="4">
                  <c:v>114</c:v>
                </c:pt>
                <c:pt idx="5">
                  <c:v>219</c:v>
                </c:pt>
                <c:pt idx="6">
                  <c:v>155</c:v>
                </c:pt>
                <c:pt idx="7">
                  <c:v>193.6596814744976</c:v>
                </c:pt>
                <c:pt idx="8">
                  <c:v>232.3916177693971</c:v>
                </c:pt>
                <c:pt idx="9">
                  <c:v>267.25036043480662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8777-4DB1-9CD0-6D1822176D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91077599"/>
        <c:axId val="1391076639"/>
      </c:barChart>
      <c:dateAx>
        <c:axId val="1391077599"/>
        <c:scaling>
          <c:orientation val="minMax"/>
        </c:scaling>
        <c:delete val="0"/>
        <c:axPos val="b"/>
        <c:numFmt formatCode="&quot;FY&quot;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1076639"/>
        <c:crosses val="autoZero"/>
        <c:auto val="1"/>
        <c:lblOffset val="100"/>
        <c:baseTimeUnit val="years"/>
      </c:dateAx>
      <c:valAx>
        <c:axId val="1391076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1077599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Graphs!$P$65</c:f>
          <c:strCache>
            <c:ptCount val="1"/>
            <c:pt idx="0">
              <c:v>Annual Revenue, FY25 - FY26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Graphs!$P$92:$P$97</c:f>
              <c:strCache>
                <c:ptCount val="6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</c:strCache>
            </c:strRef>
          </c:cat>
          <c:val>
            <c:numRef>
              <c:f>Graphs!$Q$92:$Q$97</c:f>
              <c:numCache>
                <c:formatCode>_("$"* #,##0_);_("$"* \(#,##0\);_("$"* "-"_);_(@_)</c:formatCode>
                <c:ptCount val="6"/>
                <c:pt idx="0">
                  <c:v>16321.412999999999</c:v>
                </c:pt>
                <c:pt idx="1">
                  <c:v>33975</c:v>
                </c:pt>
                <c:pt idx="2">
                  <c:v>11175.868</c:v>
                </c:pt>
                <c:pt idx="3">
                  <c:v>38648.701000000001</c:v>
                </c:pt>
                <c:pt idx="4">
                  <c:v>42039.998</c:v>
                </c:pt>
                <c:pt idx="5">
                  <c:v>28207.022910228687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12-4949-8CEE-4F95D8D31FF0}"/>
            </c:ext>
          </c:extLst>
        </c:ser>
        <c:ser>
          <c:idx val="1"/>
          <c:order val="1"/>
          <c:tx>
            <c:v>2026</c:v>
          </c:tx>
          <c:spPr>
            <a:solidFill>
              <a:schemeClr val="accent4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Graphs!$P$92:$P$97</c:f>
              <c:strCache>
                <c:ptCount val="6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</c:strCache>
            </c:strRef>
          </c:cat>
          <c:val>
            <c:numRef>
              <c:f>Graphs!$R$92:$R$97</c:f>
              <c:numCache>
                <c:formatCode>_("$"* #,##0_);_("$"* \(#,##0\);_("$"* "-"_);_(@_)</c:formatCode>
                <c:ptCount val="6"/>
                <c:pt idx="0">
                  <c:v>17871.947235</c:v>
                </c:pt>
                <c:pt idx="1">
                  <c:v>38475</c:v>
                </c:pt>
                <c:pt idx="2">
                  <c:v>11410.561227999999</c:v>
                </c:pt>
                <c:pt idx="3">
                  <c:v>43054.652914000006</c:v>
                </c:pt>
                <c:pt idx="4">
                  <c:v>46832.557772000007</c:v>
                </c:pt>
                <c:pt idx="5">
                  <c:v>29577.653506353243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12-4949-8CEE-4F95D8D31F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9900303"/>
        <c:axId val="1679915663"/>
      </c:barChart>
      <c:catAx>
        <c:axId val="1679900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9915663"/>
        <c:crosses val="autoZero"/>
        <c:auto val="1"/>
        <c:lblAlgn val="ctr"/>
        <c:lblOffset val="100"/>
        <c:noMultiLvlLbl val="0"/>
      </c:catAx>
      <c:valAx>
        <c:axId val="16799156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9900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Graphs!$P$66</c:f>
          <c:strCache>
            <c:ptCount val="1"/>
            <c:pt idx="0">
              <c:v>Annual EBITDA, FY25 - FY26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Graphs!$P$92:$P$97</c:f>
              <c:strCache>
                <c:ptCount val="6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</c:strCache>
            </c:strRef>
          </c:cat>
          <c:val>
            <c:numRef>
              <c:f>Graphs!$T$92:$T$97</c:f>
              <c:numCache>
                <c:formatCode>_("$"* #,##0_);_("$"* \(#,##0\);_("$"* "-"_);_(@_)</c:formatCode>
                <c:ptCount val="6"/>
                <c:pt idx="0">
                  <c:v>5222.8521599999995</c:v>
                </c:pt>
                <c:pt idx="1">
                  <c:v>11551.5</c:v>
                </c:pt>
                <c:pt idx="2">
                  <c:v>4682.6886919999997</c:v>
                </c:pt>
                <c:pt idx="3">
                  <c:v>12908.666134000001</c:v>
                </c:pt>
                <c:pt idx="4">
                  <c:v>12654.039397999999</c:v>
                </c:pt>
                <c:pt idx="5">
                  <c:v>8747.9925771195904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C1-4955-A467-24610778E5E3}"/>
            </c:ext>
          </c:extLst>
        </c:ser>
        <c:ser>
          <c:idx val="1"/>
          <c:order val="1"/>
          <c:tx>
            <c:v>2026</c:v>
          </c:tx>
          <c:spPr>
            <a:solidFill>
              <a:schemeClr val="accent4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Graphs!$P$92:$P$97</c:f>
              <c:strCache>
                <c:ptCount val="6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</c:strCache>
            </c:strRef>
          </c:cat>
          <c:val>
            <c:numRef>
              <c:f>Graphs!$U$92:$U$97</c:f>
              <c:numCache>
                <c:formatCode>_("$"* #,##0_);_("$"* \(#,##0\);_("$"* "-"_);_(@_)</c:formatCode>
                <c:ptCount val="6"/>
                <c:pt idx="0">
                  <c:v>5719.0231151999997</c:v>
                </c:pt>
                <c:pt idx="1">
                  <c:v>13081.500000000002</c:v>
                </c:pt>
                <c:pt idx="2">
                  <c:v>4781.0251545319989</c:v>
                </c:pt>
                <c:pt idx="3">
                  <c:v>14380.254073276003</c:v>
                </c:pt>
                <c:pt idx="4">
                  <c:v>14096.599889372003</c:v>
                </c:pt>
                <c:pt idx="5">
                  <c:v>9202.1888249477997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C1-4955-A467-24610778E5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81818687"/>
        <c:axId val="1581839327"/>
      </c:barChart>
      <c:catAx>
        <c:axId val="1581818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1839327"/>
        <c:crosses val="autoZero"/>
        <c:auto val="1"/>
        <c:lblAlgn val="ctr"/>
        <c:lblOffset val="100"/>
        <c:noMultiLvlLbl val="0"/>
      </c:catAx>
      <c:valAx>
        <c:axId val="1581839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181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Graphs!$P$80</c:f>
          <c:strCache>
            <c:ptCount val="1"/>
            <c:pt idx="0">
              <c:v>Projected Revenue Growth, FY25 - FY26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tx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chemeClr val="tx2">
                  <a:lumMod val="50000"/>
                  <a:lumOff val="50000"/>
                </a:schemeClr>
              </a:solidFill>
              <a:ln>
                <a:solidFill>
                  <a:srgbClr val="FF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CF56-44A4-BDA9-DB80D62E318D}"/>
              </c:ext>
            </c:extLst>
          </c:dPt>
          <c:cat>
            <c:strRef>
              <c:f>Graphs!$P$102:$P$107</c:f>
              <c:strCache>
                <c:ptCount val="6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</c:strCache>
            </c:strRef>
          </c:cat>
          <c:val>
            <c:numRef>
              <c:f>Graphs!$Q$102:$Q$107</c:f>
              <c:numCache>
                <c:formatCode>0.0%</c:formatCode>
                <c:ptCount val="6"/>
                <c:pt idx="0">
                  <c:v>9.4999999999999973E-2</c:v>
                </c:pt>
                <c:pt idx="1">
                  <c:v>0.13245033112582782</c:v>
                </c:pt>
                <c:pt idx="2">
                  <c:v>2.0999999999999908E-2</c:v>
                </c:pt>
                <c:pt idx="3">
                  <c:v>0.1140000000000001</c:v>
                </c:pt>
                <c:pt idx="4">
                  <c:v>0.1140000000000001</c:v>
                </c:pt>
                <c:pt idx="5">
                  <c:v>4.8591820572015276E-2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56-44A4-BDA9-DB80D62E318D}"/>
            </c:ext>
          </c:extLst>
        </c:ser>
        <c:ser>
          <c:idx val="1"/>
          <c:order val="1"/>
          <c:tx>
            <c:v>2026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56-44A4-BDA9-DB80D62E318D}"/>
              </c:ext>
            </c:extLst>
          </c:dPt>
          <c:cat>
            <c:strRef>
              <c:f>Graphs!$P$102:$P$107</c:f>
              <c:strCache>
                <c:ptCount val="6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</c:strCache>
            </c:strRef>
          </c:cat>
          <c:val>
            <c:numRef>
              <c:f>Graphs!$R$102:$R$107</c:f>
              <c:numCache>
                <c:formatCode>_(0.0%_);\(0.0%\);_("–"_)_%;_(@_)_%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4.8591820572015276E-2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56-44A4-BDA9-DB80D62E31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844888960"/>
        <c:axId val="1844889440"/>
      </c:barChart>
      <c:catAx>
        <c:axId val="184488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4889440"/>
        <c:crosses val="autoZero"/>
        <c:auto val="1"/>
        <c:lblAlgn val="ctr"/>
        <c:lblOffset val="100"/>
        <c:noMultiLvlLbl val="0"/>
      </c:catAx>
      <c:valAx>
        <c:axId val="1844889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4888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Graphs!$P$81</c:f>
          <c:strCache>
            <c:ptCount val="1"/>
            <c:pt idx="0">
              <c:v>Projected EBITDA Growth, FY25 - FY26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tx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Graphs!$P$102:$P$107</c:f>
              <c:strCache>
                <c:ptCount val="6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</c:strCache>
            </c:strRef>
          </c:cat>
          <c:val>
            <c:numRef>
              <c:f>Graphs!$T$102:$T$107</c:f>
              <c:numCache>
                <c:formatCode>0.0%</c:formatCode>
                <c:ptCount val="6"/>
                <c:pt idx="0">
                  <c:v>9.4999999999999973E-2</c:v>
                </c:pt>
                <c:pt idx="1">
                  <c:v>0.13245033112582805</c:v>
                </c:pt>
                <c:pt idx="2">
                  <c:v>2.0999999999999908E-2</c:v>
                </c:pt>
                <c:pt idx="3">
                  <c:v>0.1140000000000001</c:v>
                </c:pt>
                <c:pt idx="4">
                  <c:v>0.11400000000000032</c:v>
                </c:pt>
                <c:pt idx="5">
                  <c:v>5.1920054095171642E-2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85-447C-A00B-DE10386164E4}"/>
            </c:ext>
          </c:extLst>
        </c:ser>
        <c:ser>
          <c:idx val="1"/>
          <c:order val="1"/>
          <c:tx>
            <c:v>2026</c:v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Graphs!$P$102:$P$107</c:f>
              <c:strCache>
                <c:ptCount val="6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</c:strCache>
            </c:strRef>
          </c:cat>
          <c:val>
            <c:numRef>
              <c:f>Graphs!$U$102:$U$107</c:f>
              <c:numCache>
                <c:formatCode>_(0.0%_);\(0.0%\);_("–"_)_%;_(@_)_%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5.1920054095171642E-2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85-447C-A00B-DE10386164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680884911"/>
        <c:axId val="883081040"/>
      </c:barChart>
      <c:catAx>
        <c:axId val="1680884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3081040"/>
        <c:crosses val="autoZero"/>
        <c:auto val="1"/>
        <c:lblAlgn val="ctr"/>
        <c:lblOffset val="100"/>
        <c:noMultiLvlLbl val="0"/>
      </c:catAx>
      <c:valAx>
        <c:axId val="883081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80884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Graphs!$P$83</c:f>
          <c:strCache>
            <c:ptCount val="1"/>
            <c:pt idx="0">
              <c:v>FY26 Revenue Multiples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559347670332423E-2"/>
          <c:y val="0.18294104861666177"/>
          <c:w val="0.86900021257926885"/>
          <c:h val="0.63009584507733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Graphs!$P$102:$P$107</c:f>
              <c:strCache>
                <c:ptCount val="6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</c:strCache>
            </c:strRef>
          </c:cat>
          <c:val>
            <c:numRef>
              <c:f>Graphs!$W$102:$W$107</c:f>
              <c:numCache>
                <c:formatCode>0.0\ \x</c:formatCode>
                <c:ptCount val="6"/>
                <c:pt idx="0">
                  <c:v>19.158319447232014</c:v>
                </c:pt>
                <c:pt idx="1">
                  <c:v>23.917239424332969</c:v>
                </c:pt>
                <c:pt idx="2">
                  <c:v>17.619692465096605</c:v>
                </c:pt>
                <c:pt idx="3">
                  <c:v>43.261941522914974</c:v>
                </c:pt>
                <c:pt idx="4">
                  <c:v>20.48696854693118</c:v>
                </c:pt>
                <c:pt idx="5">
                  <c:v>19.564595287838202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69-44DB-A14E-9F1079F03EA9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4F69-44DB-A14E-9F1079F03EA9}"/>
              </c:ext>
            </c:extLst>
          </c:dPt>
          <c:cat>
            <c:strRef>
              <c:f>Graphs!$P$102:$P$107</c:f>
              <c:strCache>
                <c:ptCount val="6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</c:strCache>
            </c:strRef>
          </c:cat>
          <c:val>
            <c:numRef>
              <c:f>Graphs!$X$102:$X$107</c:f>
              <c:numCache>
                <c:formatCode>_(0.0%_);\(0.0%\);_("–"_)_%;_(@_)_%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 formatCode="0.0\ \x">
                  <c:v>19.564595287838202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69-44DB-A14E-9F1079F03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831929152"/>
        <c:axId val="1831929632"/>
      </c:barChart>
      <c:catAx>
        <c:axId val="183192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1929632"/>
        <c:crosses val="autoZero"/>
        <c:auto val="1"/>
        <c:lblAlgn val="ctr"/>
        <c:lblOffset val="100"/>
        <c:noMultiLvlLbl val="0"/>
      </c:catAx>
      <c:valAx>
        <c:axId val="183192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\ \x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1929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Graphs!$P$84</c:f>
          <c:strCache>
            <c:ptCount val="1"/>
            <c:pt idx="0">
              <c:v>FY26 EBITDA Multiples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Graphs!$P$102:$P$107</c:f>
              <c:strCache>
                <c:ptCount val="6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</c:strCache>
            </c:strRef>
          </c:cat>
          <c:val>
            <c:numRef>
              <c:f>Graphs!$Z$102:$Z$107</c:f>
              <c:numCache>
                <c:formatCode>0.0\ \x</c:formatCode>
                <c:ptCount val="6"/>
                <c:pt idx="0">
                  <c:v>15.909440173126161</c:v>
                </c:pt>
                <c:pt idx="1">
                  <c:v>20.032959706455678</c:v>
                </c:pt>
                <c:pt idx="2">
                  <c:v>19.034560906615475</c:v>
                </c:pt>
                <c:pt idx="3">
                  <c:v>54.131451227041161</c:v>
                </c:pt>
                <c:pt idx="4">
                  <c:v>13.532844905658918</c:v>
                </c:pt>
                <c:pt idx="5">
                  <c:v>15.292711622965236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99-453B-B9E7-1B4DEE2EB2EA}"/>
            </c:ext>
          </c:extLst>
        </c:ser>
        <c:ser>
          <c:idx val="1"/>
          <c:order val="1"/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Graphs!$P$102:$P$107</c:f>
              <c:strCache>
                <c:ptCount val="6"/>
                <c:pt idx="0">
                  <c:v>LRCX</c:v>
                </c:pt>
                <c:pt idx="1">
                  <c:v>ASML</c:v>
                </c:pt>
                <c:pt idx="2">
                  <c:v>KLAC</c:v>
                </c:pt>
                <c:pt idx="3">
                  <c:v>AVGO</c:v>
                </c:pt>
                <c:pt idx="4">
                  <c:v>QCOM</c:v>
                </c:pt>
                <c:pt idx="5">
                  <c:v>AMAT</c:v>
                </c:pt>
              </c:strCache>
            </c:strRef>
          </c:cat>
          <c:val>
            <c:numRef>
              <c:f>Graphs!$AA$102:$AA$107</c:f>
              <c:numCache>
                <c:formatCode>_(0.0%_);\(0.0%\);_("–"_)_%;_(@_)_%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 formatCode="0.0\ \x">
                  <c:v>15.292711622965236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99-453B-B9E7-1B4DEE2EB2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411653904"/>
        <c:axId val="1411656784"/>
      </c:barChart>
      <c:catAx>
        <c:axId val="141165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1656784"/>
        <c:crosses val="autoZero"/>
        <c:auto val="1"/>
        <c:lblAlgn val="ctr"/>
        <c:lblOffset val="100"/>
        <c:noMultiLvlLbl val="0"/>
      </c:catAx>
      <c:valAx>
        <c:axId val="1411656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\ \x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1653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2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3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1501775</xdr:colOff>
      <xdr:row>3</xdr:row>
      <xdr:rowOff>15874</xdr:rowOff>
    </xdr:from>
    <xdr:to>
      <xdr:col>2</xdr:col>
      <xdr:colOff>1279525</xdr:colOff>
      <xdr:row>10</xdr:row>
      <xdr:rowOff>16016</xdr:rowOff>
    </xdr:to>
    <xdr:pic>
      <xdr:nvPicPr>
        <xdr:cNvPr id="6" name="Picture 5" descr="Applied Materials (AMAT) Stock Price ...">
          <a:extLst>
            <a:ext uri="{FF2B5EF4-FFF2-40B4-BE49-F238E27FC236}">
              <a16:creationId xmlns:a16="http://schemas.microsoft.com/office/drawing/2014/main" id="{EEB291DB-A86B-6275-B2CD-746A3414B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3256" y="650874"/>
          <a:ext cx="1388769" cy="13994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57218</xdr:colOff>
      <xdr:row>4</xdr:row>
      <xdr:rowOff>33371</xdr:rowOff>
    </xdr:from>
    <xdr:to>
      <xdr:col>12</xdr:col>
      <xdr:colOff>430894</xdr:colOff>
      <xdr:row>27</xdr:row>
      <xdr:rowOff>124732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8BF2483-816F-E953-F5C3-08E2B10715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108451</xdr:colOff>
      <xdr:row>28</xdr:row>
      <xdr:rowOff>53118</xdr:rowOff>
    </xdr:from>
    <xdr:to>
      <xdr:col>12</xdr:col>
      <xdr:colOff>336550</xdr:colOff>
      <xdr:row>45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1BF659-ABB0-E968-0137-1B1F8F721E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87455</xdr:colOff>
      <xdr:row>45</xdr:row>
      <xdr:rowOff>194242</xdr:rowOff>
    </xdr:from>
    <xdr:to>
      <xdr:col>12</xdr:col>
      <xdr:colOff>365124</xdr:colOff>
      <xdr:row>62</xdr:row>
      <xdr:rowOff>87313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00F4AAB-1C65-BED5-51E6-F0FA82842F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249261</xdr:colOff>
      <xdr:row>63</xdr:row>
      <xdr:rowOff>99041</xdr:rowOff>
    </xdr:from>
    <xdr:to>
      <xdr:col>7</xdr:col>
      <xdr:colOff>88474</xdr:colOff>
      <xdr:row>77</xdr:row>
      <xdr:rowOff>37910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D6E821D8-381C-9F8A-B988-0E3183D0DB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160835</xdr:colOff>
      <xdr:row>63</xdr:row>
      <xdr:rowOff>92737</xdr:rowOff>
    </xdr:from>
    <xdr:to>
      <xdr:col>14</xdr:col>
      <xdr:colOff>369627</xdr:colOff>
      <xdr:row>77</xdr:row>
      <xdr:rowOff>52694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836B9AF-B70B-BC83-8328-019CA61D0A3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265088</xdr:colOff>
      <xdr:row>77</xdr:row>
      <xdr:rowOff>136952</xdr:rowOff>
    </xdr:from>
    <xdr:to>
      <xdr:col>7</xdr:col>
      <xdr:colOff>75821</xdr:colOff>
      <xdr:row>91</xdr:row>
      <xdr:rowOff>90559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3613ADD-FF8D-9CC8-372F-CF0EA8A210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167138</xdr:colOff>
      <xdr:row>77</xdr:row>
      <xdr:rowOff>168560</xdr:rowOff>
    </xdr:from>
    <xdr:to>
      <xdr:col>14</xdr:col>
      <xdr:colOff>398060</xdr:colOff>
      <xdr:row>91</xdr:row>
      <xdr:rowOff>115817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530C1922-4111-4903-5798-00734DE8DA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271316</xdr:colOff>
      <xdr:row>92</xdr:row>
      <xdr:rowOff>53629</xdr:rowOff>
    </xdr:from>
    <xdr:to>
      <xdr:col>7</xdr:col>
      <xdr:colOff>113609</xdr:colOff>
      <xdr:row>106</xdr:row>
      <xdr:rowOff>16761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B639F31B-4FB3-8CE5-FDE8-146604C112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188153</xdr:colOff>
      <xdr:row>92</xdr:row>
      <xdr:rowOff>69453</xdr:rowOff>
    </xdr:from>
    <xdr:to>
      <xdr:col>14</xdr:col>
      <xdr:colOff>396875</xdr:colOff>
      <xdr:row>106</xdr:row>
      <xdr:rowOff>16272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103E6102-A3BF-B688-4566-37A6DAF173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252213</xdr:colOff>
      <xdr:row>107</xdr:row>
      <xdr:rowOff>116681</xdr:rowOff>
    </xdr:from>
    <xdr:to>
      <xdr:col>14</xdr:col>
      <xdr:colOff>466327</xdr:colOff>
      <xdr:row>132</xdr:row>
      <xdr:rowOff>9922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61F504A4-DF4C-81A9-F803-C2476B50BA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423671</xdr:colOff>
      <xdr:row>1</xdr:row>
      <xdr:rowOff>128042</xdr:rowOff>
    </xdr:from>
    <xdr:to>
      <xdr:col>8</xdr:col>
      <xdr:colOff>593003</xdr:colOff>
      <xdr:row>32</xdr:row>
      <xdr:rowOff>141446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7311C4E-47C4-CCDF-6E1D-539E1CE438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rent\Downloads\XL-Walmart-Model-Complete-Macros.xlsm" TargetMode="External"/><Relationship Id="rId1" Type="http://schemas.openxmlformats.org/officeDocument/2006/relationships/externalLinkPath" Target="file:///C:\Users\grent\Downloads\XL-Walmart-Model-Complete-Macros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59063F627C2EB15/Documents/07-11-Cost-of-Equity-Company-Beta-Before.xlsx" TargetMode="External"/><Relationship Id="rId1" Type="http://schemas.openxmlformats.org/officeDocument/2006/relationships/externalLinkPath" Target="/359063F627C2EB15/Documents/07-11-Cost-of-Equity-Company-Beta-Befo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Summary"/>
      <sheetName val="Graphs"/>
      <sheetName val="WMT_Model"/>
      <sheetName val="Q1_Results"/>
      <sheetName val="DCF"/>
      <sheetName val="WACC"/>
      <sheetName val="ValSum"/>
      <sheetName val="ValGraph"/>
      <sheetName val="Public_Comps"/>
      <sheetName val="Public_Comps_Data"/>
      <sheetName val="MA_Comps"/>
    </sheetNames>
    <sheetDataSet>
      <sheetData sheetId="0" refreshError="1"/>
      <sheetData sheetId="1" refreshError="1"/>
      <sheetData sheetId="2" refreshError="1"/>
      <sheetData sheetId="3" refreshError="1">
        <row r="3">
          <cell r="B3" t="str">
            <v>($ in Millions Except Per Share and Per Unit Data)</v>
          </cell>
        </row>
        <row r="90">
          <cell r="E90" t="str">
            <v>Historical:</v>
          </cell>
          <cell r="I90" t="str">
            <v>Projected:</v>
          </cell>
        </row>
        <row r="91">
          <cell r="D91" t="str">
            <v>Units: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hart2"/>
      <sheetName val="Chart1"/>
      <sheetName val="STLD_DCF"/>
      <sheetName val="WACC"/>
      <sheetName val="Public_Comps"/>
      <sheetName val="MA_Comps"/>
      <sheetName val="ValSum"/>
      <sheetName val="ValGraph"/>
    </sheetNames>
    <sheetDataSet>
      <sheetData sheetId="0" refreshError="1"/>
      <sheetData sheetId="1" refreshError="1"/>
      <sheetData sheetId="2"/>
      <sheetData sheetId="3"/>
      <sheetData sheetId="4">
        <row r="3">
          <cell r="B3" t="str">
            <v>($ USD in Millions Except Per Share Amounts in USD as Stated)</v>
          </cell>
        </row>
        <row r="7">
          <cell r="B7" t="str">
            <v>Company Name</v>
          </cell>
          <cell r="F7" t="str">
            <v xml:space="preserve">Value </v>
          </cell>
          <cell r="G7" t="str">
            <v>Beta</v>
          </cell>
          <cell r="H7" t="str">
            <v>Tax Rate</v>
          </cell>
          <cell r="J7" t="str">
            <v>Debt</v>
          </cell>
          <cell r="K7" t="str">
            <v>Preferred</v>
          </cell>
        </row>
      </sheetData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D3EB1-8E80-4B42-B453-1A320BAECE6D}">
  <dimension ref="B2:F35"/>
  <sheetViews>
    <sheetView showGridLines="0" tabSelected="1" zoomScale="73" zoomScaleNormal="400" workbookViewId="0">
      <selection activeCell="C15" sqref="C15"/>
    </sheetView>
  </sheetViews>
  <sheetFormatPr defaultRowHeight="14.5"/>
  <cols>
    <col min="2" max="2" width="24.1796875" customWidth="1"/>
    <col min="3" max="3" width="53" bestFit="1" customWidth="1"/>
    <col min="4" max="4" width="12.54296875" bestFit="1" customWidth="1"/>
  </cols>
  <sheetData>
    <row r="2" spans="2:6" ht="18.5">
      <c r="B2" s="257" t="str">
        <f>CompanyName&amp;" - Operating Model and Valuation - Cover Page and Navigation"</f>
        <v>Applied Materials - Operating Model and Valuation - Cover Page and Navigation</v>
      </c>
      <c r="C2" s="549"/>
      <c r="D2" s="549"/>
      <c r="E2" s="549"/>
      <c r="F2" s="549"/>
    </row>
    <row r="3" spans="2:6" ht="16">
      <c r="B3" s="549"/>
      <c r="C3" s="549"/>
      <c r="D3" s="549"/>
      <c r="E3" s="549"/>
      <c r="F3" s="549"/>
    </row>
    <row r="4" spans="2:6" ht="16">
      <c r="B4" s="549"/>
      <c r="C4" s="549"/>
      <c r="D4" s="549"/>
      <c r="E4" s="549"/>
      <c r="F4" s="549"/>
    </row>
    <row r="5" spans="2:6" ht="16">
      <c r="B5" s="549"/>
      <c r="C5" s="549"/>
      <c r="D5" s="549"/>
      <c r="E5" s="549"/>
      <c r="F5" s="549"/>
    </row>
    <row r="6" spans="2:6" ht="16">
      <c r="B6" s="549"/>
      <c r="C6" s="549"/>
      <c r="D6" s="549"/>
      <c r="E6" s="549"/>
      <c r="F6" s="549"/>
    </row>
    <row r="7" spans="2:6" ht="16">
      <c r="B7" s="549"/>
      <c r="C7" s="549"/>
      <c r="D7" s="549"/>
      <c r="E7" s="549"/>
      <c r="F7" s="549"/>
    </row>
    <row r="8" spans="2:6" ht="16">
      <c r="B8" s="549"/>
      <c r="D8" s="549"/>
      <c r="E8" s="549"/>
      <c r="F8" s="549"/>
    </row>
    <row r="9" spans="2:6" ht="16">
      <c r="B9" s="549"/>
      <c r="C9" s="368"/>
      <c r="D9" s="549"/>
      <c r="E9" s="549"/>
      <c r="F9" s="549"/>
    </row>
    <row r="10" spans="2:6" ht="16">
      <c r="B10" s="549"/>
      <c r="C10" s="549"/>
      <c r="D10" s="549"/>
      <c r="E10" s="549"/>
      <c r="F10" s="549"/>
    </row>
    <row r="11" spans="2:6" ht="16">
      <c r="B11" s="549"/>
      <c r="C11" s="549"/>
      <c r="D11" s="549"/>
      <c r="E11" s="549"/>
      <c r="F11" s="549"/>
    </row>
    <row r="12" spans="2:6" ht="16">
      <c r="B12" s="549"/>
      <c r="C12" s="549" t="s">
        <v>1</v>
      </c>
      <c r="D12" s="619" t="str">
        <f>CompanyName</f>
        <v>Applied Materials</v>
      </c>
      <c r="E12" s="549"/>
      <c r="F12" s="549"/>
    </row>
    <row r="13" spans="2:6" ht="16">
      <c r="B13" s="549"/>
      <c r="C13" s="549" t="s">
        <v>459</v>
      </c>
      <c r="D13" s="549" t="s">
        <v>460</v>
      </c>
      <c r="E13" s="549"/>
      <c r="F13" s="549"/>
    </row>
    <row r="14" spans="2:6" ht="16">
      <c r="B14" s="549"/>
      <c r="C14" s="549" t="s">
        <v>461</v>
      </c>
      <c r="D14" s="549" t="s">
        <v>502</v>
      </c>
      <c r="E14" s="549"/>
      <c r="F14" s="549"/>
    </row>
    <row r="15" spans="2:6" ht="16">
      <c r="B15" s="549"/>
      <c r="C15" s="549"/>
      <c r="D15" s="549"/>
      <c r="E15" s="549"/>
      <c r="F15" s="549"/>
    </row>
    <row r="16" spans="2:6" ht="16">
      <c r="B16" s="549"/>
      <c r="C16" s="549" t="s">
        <v>462</v>
      </c>
      <c r="D16" s="549" t="str">
        <f ca="1">MID(CELL("filename"),SEARCH("[",CELL("filename"))+1, SEARCH("]",CELL("filename"))-SEARCH("[",CELL("filename"))-1)</f>
        <v>NBISMODEL.xlsx</v>
      </c>
      <c r="E16" s="549"/>
      <c r="F16" s="549"/>
    </row>
    <row r="17" spans="2:6" ht="16">
      <c r="B17" s="549"/>
      <c r="C17" s="549" t="s">
        <v>463</v>
      </c>
      <c r="D17" s="620">
        <f>Valuation_Date</f>
        <v>45617</v>
      </c>
      <c r="E17" s="549"/>
      <c r="F17" s="549"/>
    </row>
    <row r="18" spans="2:6" ht="16">
      <c r="B18" s="549"/>
      <c r="C18" s="549"/>
      <c r="D18" s="549"/>
      <c r="E18" s="549"/>
      <c r="F18" s="549"/>
    </row>
    <row r="19" spans="2:6" ht="16">
      <c r="B19" s="549"/>
      <c r="C19" s="549" t="s">
        <v>464</v>
      </c>
      <c r="D19" s="621"/>
      <c r="E19" s="549"/>
      <c r="F19" s="549"/>
    </row>
    <row r="20" spans="2:6" ht="16">
      <c r="B20" s="549"/>
      <c r="C20" s="549" t="s">
        <v>465</v>
      </c>
      <c r="D20" s="622"/>
      <c r="E20" s="549"/>
      <c r="F20" s="549"/>
    </row>
    <row r="21" spans="2:6" ht="16">
      <c r="B21" s="549"/>
      <c r="C21" s="549" t="s">
        <v>466</v>
      </c>
      <c r="D21" s="623"/>
      <c r="E21" s="549"/>
      <c r="F21" s="549"/>
    </row>
    <row r="22" spans="2:6" ht="16">
      <c r="B22" s="549"/>
      <c r="C22" s="549"/>
      <c r="D22" s="549"/>
      <c r="E22" s="549"/>
      <c r="F22" s="549"/>
    </row>
    <row r="23" spans="2:6" ht="16">
      <c r="B23" s="624" t="s">
        <v>12</v>
      </c>
      <c r="C23" s="625" t="s">
        <v>467</v>
      </c>
      <c r="D23" s="625" t="s">
        <v>468</v>
      </c>
      <c r="E23" s="625"/>
      <c r="F23" s="625"/>
    </row>
    <row r="24" spans="2:6" ht="16">
      <c r="B24" s="626">
        <f ca="1">_xlfn.SHEET(INDIRECT(D24&amp;"!A1"))</f>
        <v>2</v>
      </c>
      <c r="C24" s="549" t="s">
        <v>469</v>
      </c>
      <c r="D24" s="369" t="s">
        <v>470</v>
      </c>
      <c r="E24" s="549"/>
      <c r="F24" s="549"/>
    </row>
    <row r="25" spans="2:6" ht="16">
      <c r="B25" s="626">
        <f t="shared" ref="B25:B35" ca="1" si="0">_xlfn.SHEET(INDIRECT(D25&amp;"!A1"))</f>
        <v>3</v>
      </c>
      <c r="C25" s="549" t="s">
        <v>471</v>
      </c>
      <c r="D25" s="369" t="s">
        <v>472</v>
      </c>
      <c r="E25" s="549"/>
      <c r="F25" s="549"/>
    </row>
    <row r="26" spans="2:6" ht="16">
      <c r="B26" s="626">
        <f ca="1">_xlfn.SHEET(INDIRECT(D26&amp;"!A1"))</f>
        <v>4</v>
      </c>
      <c r="C26" s="549" t="s">
        <v>473</v>
      </c>
      <c r="D26" s="369" t="s">
        <v>486</v>
      </c>
      <c r="E26" s="549"/>
      <c r="F26" s="549"/>
    </row>
    <row r="27" spans="2:6" ht="16">
      <c r="B27" s="626">
        <f ca="1">_xlfn.SHEET(INDIRECT(D27&amp;"!A1"))</f>
        <v>5</v>
      </c>
      <c r="C27" s="549" t="s">
        <v>491</v>
      </c>
      <c r="D27" s="369" t="s">
        <v>138</v>
      </c>
      <c r="E27" s="549"/>
      <c r="F27" s="549"/>
    </row>
    <row r="28" spans="2:6" ht="16">
      <c r="B28" s="626">
        <f t="shared" ca="1" si="0"/>
        <v>6</v>
      </c>
      <c r="C28" s="549" t="s">
        <v>474</v>
      </c>
      <c r="D28" s="369" t="s">
        <v>487</v>
      </c>
      <c r="E28" s="549"/>
      <c r="F28" s="549"/>
    </row>
    <row r="29" spans="2:6" ht="16">
      <c r="B29" s="626">
        <f t="shared" ca="1" si="0"/>
        <v>7</v>
      </c>
      <c r="C29" s="549" t="s">
        <v>475</v>
      </c>
      <c r="D29" s="369" t="s">
        <v>476</v>
      </c>
      <c r="E29" s="549"/>
      <c r="F29" s="549"/>
    </row>
    <row r="30" spans="2:6" ht="16">
      <c r="B30" s="626">
        <f t="shared" ca="1" si="0"/>
        <v>8</v>
      </c>
      <c r="C30" s="549" t="s">
        <v>477</v>
      </c>
      <c r="D30" s="369" t="s">
        <v>478</v>
      </c>
      <c r="E30" s="549"/>
      <c r="F30" s="549"/>
    </row>
    <row r="31" spans="2:6" ht="16">
      <c r="B31" s="626">
        <f t="shared" ca="1" si="0"/>
        <v>9</v>
      </c>
      <c r="C31" s="549" t="s">
        <v>479</v>
      </c>
      <c r="D31" s="369" t="s">
        <v>480</v>
      </c>
      <c r="E31" s="549"/>
      <c r="F31" s="549"/>
    </row>
    <row r="32" spans="2:6" ht="16">
      <c r="B32" s="626">
        <f t="shared" ca="1" si="0"/>
        <v>10</v>
      </c>
      <c r="C32" s="549" t="s">
        <v>481</v>
      </c>
      <c r="D32" s="369" t="s">
        <v>482</v>
      </c>
      <c r="E32" s="549"/>
      <c r="F32" s="549"/>
    </row>
    <row r="33" spans="2:6" ht="16">
      <c r="B33" s="626">
        <f t="shared" ca="1" si="0"/>
        <v>11</v>
      </c>
      <c r="C33" s="549" t="s">
        <v>483</v>
      </c>
      <c r="D33" s="369" t="s">
        <v>488</v>
      </c>
      <c r="E33" s="549"/>
      <c r="F33" s="549"/>
    </row>
    <row r="34" spans="2:6" ht="16">
      <c r="B34" s="626">
        <f t="shared" ca="1" si="0"/>
        <v>12</v>
      </c>
      <c r="C34" s="549" t="s">
        <v>484</v>
      </c>
      <c r="D34" s="369" t="s">
        <v>489</v>
      </c>
      <c r="E34" s="549"/>
      <c r="F34" s="549"/>
    </row>
    <row r="35" spans="2:6" ht="16">
      <c r="B35" s="626">
        <f t="shared" ca="1" si="0"/>
        <v>13</v>
      </c>
      <c r="C35" s="549" t="s">
        <v>485</v>
      </c>
      <c r="D35" s="369" t="s">
        <v>490</v>
      </c>
      <c r="E35" s="549"/>
      <c r="F35" s="549"/>
    </row>
  </sheetData>
  <hyperlinks>
    <hyperlink ref="D24" location="Summary!A1" display="Summary" xr:uid="{4C1617A8-A8F6-45DD-8B1D-F7B04055BD46}"/>
    <hyperlink ref="D25" location="Graphs!A1" display="Graphs" xr:uid="{A23DA396-4316-4323-9CF9-DA8CB6F52E3B}"/>
    <hyperlink ref="D26" location="WMT_Model!A1" display="WMT_Model" xr:uid="{76EC94FF-F933-4985-9B64-C0957C669EF2}"/>
    <hyperlink ref="D28" location="Q1_Results!A1" display="Q1_Results" xr:uid="{78FA0D12-1AB5-4952-A603-7403AD7BD263}"/>
    <hyperlink ref="D29" location="DCF!A1" display="DCF" xr:uid="{D5D6043F-6BC0-491C-A698-6E0E08A6484A}"/>
    <hyperlink ref="D30" location="WACC!A1" display="WACC" xr:uid="{D5B76572-6EAE-4A71-A74C-19DBC8FF3824}"/>
    <hyperlink ref="D31" location="ValSum!A1" display="ValSum" xr:uid="{302025E0-F607-442F-B8A9-2AAB86049FC5}"/>
    <hyperlink ref="D32" location="ValGraph!A1" display="ValGraph" xr:uid="{3607B68B-803E-401B-B700-312473D6B4B1}"/>
    <hyperlink ref="D33" location="Public_Comps!A1" display="Public_Comps" xr:uid="{05D99C54-193E-4B94-9DFA-C8A9C9B5E0F5}"/>
    <hyperlink ref="D34" location="Public_Comps_Data!A1" display="Public_Comps_Data" xr:uid="{353ECAF0-8CE5-4B52-9215-3100BE8F6B98}"/>
    <hyperlink ref="D35" location="MA_Comps!A1" display="MA_Comps" xr:uid="{AF20EF10-C15E-4A2E-934B-1888F8F0FC7F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F18F2-6FD3-4DD2-BFE4-2D94999E752D}">
  <dimension ref="B34:O52"/>
  <sheetViews>
    <sheetView showGridLines="0" topLeftCell="A32" zoomScale="70" workbookViewId="0">
      <selection activeCell="L14" sqref="L14"/>
    </sheetView>
  </sheetViews>
  <sheetFormatPr defaultRowHeight="14.5"/>
  <cols>
    <col min="2" max="2" width="69" bestFit="1" customWidth="1"/>
    <col min="5" max="9" width="10.54296875" bestFit="1" customWidth="1"/>
    <col min="10" max="10" width="11.1796875" bestFit="1" customWidth="1"/>
    <col min="11" max="11" width="10.7265625" bestFit="1" customWidth="1"/>
    <col min="12" max="12" width="11.7265625" bestFit="1" customWidth="1"/>
    <col min="13" max="13" width="14.1796875" bestFit="1" customWidth="1"/>
    <col min="14" max="14" width="11.7265625" bestFit="1" customWidth="1"/>
    <col min="15" max="15" width="10.81640625" bestFit="1" customWidth="1"/>
    <col min="16" max="16" width="8.7265625" bestFit="1" customWidth="1"/>
    <col min="17" max="18" width="9.54296875" bestFit="1" customWidth="1"/>
  </cols>
  <sheetData>
    <row r="34" spans="2:15" ht="16">
      <c r="E34" s="295" t="s">
        <v>253</v>
      </c>
      <c r="F34" s="295" t="s">
        <v>229</v>
      </c>
      <c r="G34" s="295" t="s">
        <v>190</v>
      </c>
      <c r="H34" s="295" t="s">
        <v>228</v>
      </c>
      <c r="I34" s="295" t="s">
        <v>254</v>
      </c>
      <c r="J34" s="296"/>
      <c r="K34" s="295" t="s">
        <v>255</v>
      </c>
      <c r="L34" s="295" t="s">
        <v>256</v>
      </c>
      <c r="M34" s="295" t="s">
        <v>257</v>
      </c>
      <c r="N34" s="295" t="s">
        <v>258</v>
      </c>
      <c r="O34" s="295" t="s">
        <v>259</v>
      </c>
    </row>
    <row r="35" spans="2:15" ht="16">
      <c r="E35" s="295"/>
      <c r="F35" s="295"/>
      <c r="G35" s="295"/>
      <c r="H35" s="295"/>
      <c r="I35" s="295"/>
      <c r="J35" s="296"/>
      <c r="K35" s="295"/>
      <c r="L35" s="295"/>
      <c r="M35" s="295"/>
      <c r="N35" s="295"/>
      <c r="O35" s="295"/>
    </row>
    <row r="36" spans="2:15" ht="16">
      <c r="B36" s="267" t="str">
        <f>ValSum!B30</f>
        <v>(10% - 12% WACC, 4.5% - 7.5% Free Cash Flow Growth Rate</v>
      </c>
      <c r="E36" s="296">
        <f>ValSum!I30</f>
        <v>140.51478751616125</v>
      </c>
      <c r="F36" s="296">
        <f>ValSum!J30</f>
        <v>158.55423263590322</v>
      </c>
      <c r="G36" s="296">
        <f>ValSum!K30</f>
        <v>198.99242393645167</v>
      </c>
      <c r="H36" s="296">
        <f>ValSum!L30</f>
        <v>242.67187918681938</v>
      </c>
      <c r="I36" s="296">
        <f>ValSum!M30</f>
        <v>373.39281827313482</v>
      </c>
      <c r="J36" s="296"/>
      <c r="K36" s="299">
        <f>E36</f>
        <v>140.51478751616125</v>
      </c>
      <c r="L36" s="299">
        <f t="shared" ref="L36:O36" si="0">F36-E36</f>
        <v>18.03944511974197</v>
      </c>
      <c r="M36" s="299">
        <f t="shared" si="0"/>
        <v>40.438191300548453</v>
      </c>
      <c r="N36" s="299">
        <f t="shared" si="0"/>
        <v>43.67945525036771</v>
      </c>
      <c r="O36" s="299">
        <f t="shared" si="0"/>
        <v>130.72093908631544</v>
      </c>
    </row>
    <row r="37" spans="2:15" ht="16">
      <c r="B37" s="300" t="s">
        <v>260</v>
      </c>
      <c r="E37" s="296"/>
      <c r="F37" s="296"/>
      <c r="G37" s="296"/>
      <c r="H37" s="296"/>
      <c r="I37" s="296"/>
      <c r="J37" s="296"/>
      <c r="K37" s="296"/>
      <c r="L37" s="296"/>
      <c r="M37" s="296"/>
      <c r="N37" s="296"/>
    </row>
    <row r="38" spans="2:15" ht="16">
      <c r="B38" s="297" t="str">
        <f>TEXT(LTM,"yyyy-mm-dd")&amp;" EV / Revenue:"</f>
        <v>2024-10-27 EV / Revenue:</v>
      </c>
      <c r="E38" s="296">
        <f>ValSum!I23</f>
        <v>102.29485012346248</v>
      </c>
      <c r="F38" s="296">
        <f>ValSum!J23</f>
        <v>102.54430904156652</v>
      </c>
      <c r="G38" s="296">
        <f>ValSum!K23</f>
        <v>119.00844650633074</v>
      </c>
      <c r="H38" s="296">
        <f>ValSum!L23</f>
        <v>263.33042696337219</v>
      </c>
      <c r="I38" s="296">
        <f>ValSum!M23</f>
        <v>437.93216839079173</v>
      </c>
      <c r="K38" s="299">
        <f>+E38</f>
        <v>102.29485012346248</v>
      </c>
      <c r="L38" s="299">
        <f t="shared" ref="L38:O39" si="1">+F38-E38</f>
        <v>0.24945891810403964</v>
      </c>
      <c r="M38" s="299">
        <f t="shared" si="1"/>
        <v>16.464137464764221</v>
      </c>
      <c r="N38" s="299">
        <f t="shared" si="1"/>
        <v>144.32198045704143</v>
      </c>
      <c r="O38" s="299">
        <f t="shared" si="1"/>
        <v>174.60174142741954</v>
      </c>
    </row>
    <row r="39" spans="2:15" ht="16">
      <c r="B39" s="297" t="str">
        <f>TEXT(LTM,"yyyy-mm-dd")&amp;" EV / EBITDA:"</f>
        <v>2024-10-27 EV / EBITDA:</v>
      </c>
      <c r="E39" s="296">
        <f>ValSum!I24</f>
        <v>87.963254706563319</v>
      </c>
      <c r="F39" s="296">
        <f>ValSum!J24</f>
        <v>168.28593606054307</v>
      </c>
      <c r="G39" s="296">
        <f>ValSum!K24</f>
        <v>199.40210178946117</v>
      </c>
      <c r="H39" s="296">
        <f>ValSum!L24</f>
        <v>239.72467721067903</v>
      </c>
      <c r="I39" s="296">
        <f>ValSum!M24</f>
        <v>447.85977625222478</v>
      </c>
      <c r="K39" s="299">
        <f>+E39</f>
        <v>87.963254706563319</v>
      </c>
      <c r="L39" s="299">
        <f t="shared" si="1"/>
        <v>80.322681353979746</v>
      </c>
      <c r="M39" s="299">
        <f t="shared" si="1"/>
        <v>31.116165728918105</v>
      </c>
      <c r="N39" s="299">
        <f t="shared" si="1"/>
        <v>40.322575421217863</v>
      </c>
      <c r="O39" s="299">
        <f t="shared" si="1"/>
        <v>208.13509904154574</v>
      </c>
    </row>
    <row r="40" spans="2:15" ht="16">
      <c r="B40" s="297" t="s">
        <v>238</v>
      </c>
      <c r="E40" s="296">
        <f>ValSum!I15</f>
        <v>163.43183903113734</v>
      </c>
      <c r="F40" s="296">
        <f>ValSum!J15</f>
        <v>183.73265862182612</v>
      </c>
      <c r="G40" s="296">
        <f>ValSum!K15</f>
        <v>212.17085378732105</v>
      </c>
      <c r="H40" s="296">
        <f>ValSum!L15</f>
        <v>296.50623053285739</v>
      </c>
      <c r="I40" s="296">
        <f>ValSum!M15</f>
        <v>484.28715465142193</v>
      </c>
      <c r="J40" s="296"/>
      <c r="K40" s="299">
        <f>E40</f>
        <v>163.43183903113734</v>
      </c>
      <c r="L40" s="299">
        <f>F40-E40</f>
        <v>20.300819590688775</v>
      </c>
      <c r="M40" s="299">
        <f t="shared" ref="M40:O40" si="2">G40-F40</f>
        <v>28.438195165494932</v>
      </c>
      <c r="N40" s="299">
        <f t="shared" si="2"/>
        <v>84.335376745536337</v>
      </c>
      <c r="O40" s="299">
        <f t="shared" si="2"/>
        <v>187.78092411856454</v>
      </c>
    </row>
    <row r="41" spans="2:15" ht="16">
      <c r="B41" s="297" t="s">
        <v>237</v>
      </c>
      <c r="E41" s="296">
        <f>ValSum!I12</f>
        <v>161.76743902374326</v>
      </c>
      <c r="F41" s="296">
        <f>ValSum!J12</f>
        <v>192.73691694830146</v>
      </c>
      <c r="G41" s="296">
        <f>ValSum!K12</f>
        <v>292.84168796098442</v>
      </c>
      <c r="H41" s="296">
        <f>ValSum!L12</f>
        <v>329.61033971262714</v>
      </c>
      <c r="I41" s="296">
        <f>ValSum!M12</f>
        <v>548.48903117088366</v>
      </c>
      <c r="J41" s="296"/>
      <c r="K41" s="299">
        <f>E41</f>
        <v>161.76743902374326</v>
      </c>
      <c r="L41" s="299">
        <f>F41-E41</f>
        <v>30.969477924558191</v>
      </c>
      <c r="M41" s="299">
        <f t="shared" ref="M41" si="3">G41-F41</f>
        <v>100.10477101268296</v>
      </c>
      <c r="N41" s="299">
        <f t="shared" ref="N41" si="4">H41-G41</f>
        <v>36.768651751642722</v>
      </c>
      <c r="O41" s="299">
        <f t="shared" ref="O41" si="5">I41-H41</f>
        <v>218.87869145825653</v>
      </c>
    </row>
    <row r="42" spans="2:15" ht="16">
      <c r="B42" s="297" t="s">
        <v>246</v>
      </c>
      <c r="E42" s="296">
        <f>ValSum!I20</f>
        <v>158.09869648417791</v>
      </c>
      <c r="F42" s="296">
        <f>ValSum!J20</f>
        <v>171.90455153714572</v>
      </c>
      <c r="G42" s="296">
        <f>ValSum!K20</f>
        <v>183.82630846698001</v>
      </c>
      <c r="H42" s="296">
        <f>ValSum!L20</f>
        <v>214.6055831551825</v>
      </c>
      <c r="I42" s="296">
        <f>ValSum!M20</f>
        <v>388.18251656187954</v>
      </c>
      <c r="J42" s="296"/>
      <c r="K42" s="299">
        <f t="shared" ref="K42:K50" si="6">E42</f>
        <v>158.09869648417791</v>
      </c>
      <c r="L42" s="299">
        <f t="shared" ref="L42:L50" si="7">F42-E42</f>
        <v>13.805855052967814</v>
      </c>
      <c r="M42" s="299">
        <f t="shared" ref="M42:M50" si="8">G42-F42</f>
        <v>11.921756929834288</v>
      </c>
      <c r="N42" s="299">
        <f t="shared" ref="N42:N50" si="9">H42-G42</f>
        <v>30.779274688202491</v>
      </c>
      <c r="O42" s="299">
        <f t="shared" ref="O42:O50" si="10">I42-H42</f>
        <v>173.57693340669704</v>
      </c>
    </row>
    <row r="43" spans="2:15" ht="16">
      <c r="B43" s="297" t="s">
        <v>247</v>
      </c>
      <c r="E43" s="296">
        <f>ValSum!I19</f>
        <v>179.25388681434092</v>
      </c>
      <c r="F43" s="296">
        <f>ValSum!J19</f>
        <v>185.23946066662052</v>
      </c>
      <c r="G43" s="296">
        <f>ValSum!K19</f>
        <v>200.05615591389574</v>
      </c>
      <c r="H43" s="296">
        <f>ValSum!L19</f>
        <v>230.53028129616456</v>
      </c>
      <c r="I43" s="296">
        <f>ValSum!M19</f>
        <v>378.52702079141272</v>
      </c>
      <c r="J43" s="296"/>
      <c r="K43" s="299">
        <f t="shared" si="6"/>
        <v>179.25388681434092</v>
      </c>
      <c r="L43" s="299">
        <f t="shared" si="7"/>
        <v>5.9855738522796003</v>
      </c>
      <c r="M43" s="299">
        <f t="shared" si="8"/>
        <v>14.81669524727522</v>
      </c>
      <c r="N43" s="299">
        <f t="shared" si="9"/>
        <v>30.474125382268824</v>
      </c>
      <c r="O43" s="299">
        <f t="shared" si="10"/>
        <v>147.99673949524816</v>
      </c>
    </row>
    <row r="44" spans="2:15" ht="16">
      <c r="B44" s="297" t="s">
        <v>239</v>
      </c>
      <c r="E44" s="296">
        <f>ValSum!I18</f>
        <v>203.08879263487179</v>
      </c>
      <c r="F44" s="296">
        <f>ValSum!J18</f>
        <v>224.60109392041085</v>
      </c>
      <c r="G44" s="296">
        <f>ValSum!K18</f>
        <v>255.65455772182585</v>
      </c>
      <c r="H44" s="296">
        <f>ValSum!L18</f>
        <v>334.23143827159328</v>
      </c>
      <c r="I44" s="296">
        <f>ValSum!M18</f>
        <v>473.84841492805708</v>
      </c>
      <c r="J44" s="296"/>
      <c r="K44" s="299">
        <f t="shared" si="6"/>
        <v>203.08879263487179</v>
      </c>
      <c r="L44" s="299">
        <f t="shared" si="7"/>
        <v>21.512301285539053</v>
      </c>
      <c r="M44" s="299">
        <f t="shared" si="8"/>
        <v>31.053463801415006</v>
      </c>
      <c r="N44" s="299">
        <f t="shared" si="9"/>
        <v>78.576880549767424</v>
      </c>
      <c r="O44" s="299">
        <f t="shared" si="10"/>
        <v>139.61697665646381</v>
      </c>
    </row>
    <row r="45" spans="2:15" ht="16">
      <c r="B45" s="297" t="s">
        <v>248</v>
      </c>
      <c r="E45" s="296">
        <f>ValSum!I17</f>
        <v>151.42260330010464</v>
      </c>
      <c r="F45" s="296">
        <f>ValSum!J17</f>
        <v>177.95084009257297</v>
      </c>
      <c r="G45" s="296">
        <f>ValSum!K17</f>
        <v>212.83433243891943</v>
      </c>
      <c r="H45" s="296">
        <f>ValSum!L17</f>
        <v>223.97874568337699</v>
      </c>
      <c r="I45" s="296">
        <f>ValSum!M17</f>
        <v>604.59587040233509</v>
      </c>
      <c r="J45" s="296"/>
      <c r="K45" s="299">
        <f t="shared" si="6"/>
        <v>151.42260330010464</v>
      </c>
      <c r="L45" s="299">
        <f t="shared" si="7"/>
        <v>26.528236792468334</v>
      </c>
      <c r="M45" s="299">
        <f t="shared" si="8"/>
        <v>34.883492346346458</v>
      </c>
      <c r="N45" s="299">
        <f t="shared" si="9"/>
        <v>11.144413244457553</v>
      </c>
      <c r="O45" s="299">
        <f t="shared" si="10"/>
        <v>380.61712471895811</v>
      </c>
    </row>
    <row r="46" spans="2:15" ht="16">
      <c r="B46" s="297" t="s">
        <v>249</v>
      </c>
      <c r="E46" s="296">
        <f>ValSum!I16</f>
        <v>160.33738796114096</v>
      </c>
      <c r="F46" s="296">
        <f>ValSum!J16</f>
        <v>185.22362041726868</v>
      </c>
      <c r="G46" s="296">
        <f>ValSum!K16</f>
        <v>206.58902919422457</v>
      </c>
      <c r="H46" s="296">
        <f>ValSum!L16</f>
        <v>241.09760147036525</v>
      </c>
      <c r="I46" s="296">
        <f>ValSum!M16</f>
        <v>640.25505621600439</v>
      </c>
      <c r="J46" s="296"/>
      <c r="K46" s="299">
        <f t="shared" si="6"/>
        <v>160.33738796114096</v>
      </c>
      <c r="L46" s="299">
        <f t="shared" si="7"/>
        <v>24.886232456127715</v>
      </c>
      <c r="M46" s="299">
        <f t="shared" si="8"/>
        <v>21.365408776955888</v>
      </c>
      <c r="N46" s="299">
        <f t="shared" si="9"/>
        <v>34.508572276140683</v>
      </c>
      <c r="O46" s="299">
        <f t="shared" si="10"/>
        <v>399.15745474563914</v>
      </c>
    </row>
    <row r="47" spans="2:15" ht="16">
      <c r="B47" s="300" t="s">
        <v>238</v>
      </c>
      <c r="E47" s="296">
        <f>ValSum!I15</f>
        <v>163.43183903113734</v>
      </c>
      <c r="F47" s="296">
        <f>ValSum!J15</f>
        <v>183.73265862182612</v>
      </c>
      <c r="G47" s="296">
        <f>ValSum!K15</f>
        <v>212.17085378732105</v>
      </c>
      <c r="H47" s="296">
        <f>ValSum!L15</f>
        <v>296.50623053285739</v>
      </c>
      <c r="I47" s="296">
        <f>ValSum!M15</f>
        <v>484.28715465142193</v>
      </c>
      <c r="J47" s="296"/>
      <c r="K47" s="299">
        <f t="shared" si="6"/>
        <v>163.43183903113734</v>
      </c>
      <c r="L47" s="299">
        <f t="shared" si="7"/>
        <v>20.300819590688775</v>
      </c>
      <c r="M47" s="299">
        <f t="shared" si="8"/>
        <v>28.438195165494932</v>
      </c>
      <c r="N47" s="299">
        <f t="shared" si="9"/>
        <v>84.335376745536337</v>
      </c>
      <c r="O47" s="299">
        <f t="shared" si="10"/>
        <v>187.78092411856454</v>
      </c>
    </row>
    <row r="48" spans="2:15" ht="16">
      <c r="B48" s="297" t="s">
        <v>250</v>
      </c>
      <c r="E48" s="296">
        <f>ValSum!I14</f>
        <v>146.50922982777044</v>
      </c>
      <c r="F48" s="296">
        <f>ValSum!J14</f>
        <v>183.01971234188537</v>
      </c>
      <c r="G48" s="296">
        <f>ValSum!K14</f>
        <v>244.73617164902464</v>
      </c>
      <c r="H48" s="296">
        <f>ValSum!L14</f>
        <v>286.50778038848534</v>
      </c>
      <c r="I48" s="296">
        <f>ValSum!M14</f>
        <v>649.03221365270201</v>
      </c>
      <c r="J48" s="296"/>
      <c r="K48" s="299">
        <f t="shared" si="6"/>
        <v>146.50922982777044</v>
      </c>
      <c r="L48" s="299">
        <f t="shared" si="7"/>
        <v>36.510482514114926</v>
      </c>
      <c r="M48" s="299">
        <f t="shared" si="8"/>
        <v>61.716459307139274</v>
      </c>
      <c r="N48" s="299">
        <f t="shared" si="9"/>
        <v>41.771608739460703</v>
      </c>
      <c r="O48" s="299">
        <f t="shared" si="10"/>
        <v>362.52443326421667</v>
      </c>
    </row>
    <row r="49" spans="2:15" ht="16">
      <c r="B49" s="297" t="s">
        <v>251</v>
      </c>
      <c r="E49" s="296">
        <f>ValSum!I13</f>
        <v>155.62528467524447</v>
      </c>
      <c r="F49" s="296">
        <f>ValSum!J13</f>
        <v>191.10357033682644</v>
      </c>
      <c r="G49" s="296">
        <f>ValSum!K13</f>
        <v>264.27913633079811</v>
      </c>
      <c r="H49" s="296">
        <f>ValSum!L13</f>
        <v>278.97844728338208</v>
      </c>
      <c r="I49" s="296">
        <f>ValSum!M13</f>
        <v>689.49422490366669</v>
      </c>
      <c r="J49" s="296"/>
      <c r="K49" s="299">
        <f t="shared" si="6"/>
        <v>155.62528467524447</v>
      </c>
      <c r="L49" s="299">
        <f t="shared" si="7"/>
        <v>35.478285661581964</v>
      </c>
      <c r="M49" s="299">
        <f t="shared" si="8"/>
        <v>73.175565993971674</v>
      </c>
      <c r="N49" s="299">
        <f t="shared" si="9"/>
        <v>14.699310952583971</v>
      </c>
      <c r="O49" s="299">
        <f t="shared" si="10"/>
        <v>410.51577762028461</v>
      </c>
    </row>
    <row r="50" spans="2:15" ht="16">
      <c r="B50" s="300" t="s">
        <v>237</v>
      </c>
      <c r="E50" s="296">
        <f>ValSum!I12</f>
        <v>161.76743902374326</v>
      </c>
      <c r="F50" s="296">
        <f>ValSum!J12</f>
        <v>192.73691694830146</v>
      </c>
      <c r="G50" s="296">
        <f>ValSum!K12</f>
        <v>292.84168796098442</v>
      </c>
      <c r="H50" s="296">
        <f>ValSum!L12</f>
        <v>329.61033971262714</v>
      </c>
      <c r="I50" s="296">
        <f>ValSum!M12</f>
        <v>548.48903117088366</v>
      </c>
      <c r="J50" s="296"/>
      <c r="K50" s="299">
        <f t="shared" si="6"/>
        <v>161.76743902374326</v>
      </c>
      <c r="L50" s="299">
        <f t="shared" si="7"/>
        <v>30.969477924558191</v>
      </c>
      <c r="M50" s="299">
        <f t="shared" si="8"/>
        <v>100.10477101268296</v>
      </c>
      <c r="N50" s="299">
        <f t="shared" si="9"/>
        <v>36.768651751642722</v>
      </c>
      <c r="O50" s="299">
        <f t="shared" si="10"/>
        <v>218.87869145825653</v>
      </c>
    </row>
    <row r="51" spans="2:15" ht="16">
      <c r="B51" s="297" t="s">
        <v>261</v>
      </c>
    </row>
    <row r="52" spans="2:15" ht="16">
      <c r="B52" s="300" t="s">
        <v>252</v>
      </c>
      <c r="E52" s="298">
        <f>DCF!$G$9</f>
        <v>175.55</v>
      </c>
      <c r="F52" s="298">
        <f>DCF!$G$9</f>
        <v>175.55</v>
      </c>
      <c r="G52" s="298">
        <f>DCF!$G$9</f>
        <v>175.55</v>
      </c>
      <c r="H52" s="298">
        <f>DCF!$G$9</f>
        <v>175.55</v>
      </c>
      <c r="I52" s="298">
        <f>DCF!$G$9</f>
        <v>175.55</v>
      </c>
      <c r="K52" s="449">
        <v>1000</v>
      </c>
      <c r="L52" s="299">
        <v>0</v>
      </c>
      <c r="M52" s="299">
        <v>0</v>
      </c>
      <c r="N52" s="299">
        <v>0</v>
      </c>
      <c r="O52" s="299">
        <v>0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EE14F-EDFA-4815-B2B2-C68C5047CB3A}">
  <sheetPr codeName="Sheet4"/>
  <dimension ref="A2:AG41"/>
  <sheetViews>
    <sheetView showGridLines="0" topLeftCell="A7" zoomScale="57" workbookViewId="0">
      <selection activeCell="U41" sqref="U41"/>
    </sheetView>
  </sheetViews>
  <sheetFormatPr defaultRowHeight="14.5"/>
  <cols>
    <col min="2" max="2" width="20.54296875" bestFit="1" customWidth="1"/>
    <col min="3" max="3" width="6.54296875" bestFit="1" customWidth="1"/>
    <col min="4" max="4" width="10.54296875" bestFit="1" customWidth="1"/>
    <col min="5" max="5" width="7.81640625" bestFit="1" customWidth="1"/>
    <col min="6" max="6" width="13.7265625" bestFit="1" customWidth="1"/>
    <col min="7" max="8" width="8.453125" bestFit="1" customWidth="1"/>
    <col min="9" max="10" width="10.7265625" bestFit="1" customWidth="1"/>
    <col min="11" max="11" width="10.26953125" bestFit="1" customWidth="1"/>
    <col min="12" max="12" width="9" bestFit="1" customWidth="1"/>
    <col min="13" max="13" width="13.7265625" bestFit="1" customWidth="1"/>
    <col min="14" max="16" width="12.453125" bestFit="1" customWidth="1"/>
    <col min="17" max="17" width="12" bestFit="1" customWidth="1"/>
    <col min="18" max="19" width="12.453125" bestFit="1" customWidth="1"/>
    <col min="20" max="20" width="12" bestFit="1" customWidth="1"/>
    <col min="21" max="22" width="12.453125" bestFit="1" customWidth="1"/>
    <col min="23" max="27" width="8.81640625" bestFit="1" customWidth="1"/>
    <col min="28" max="33" width="10.1796875" bestFit="1" customWidth="1"/>
  </cols>
  <sheetData>
    <row r="2" spans="2:31" ht="16">
      <c r="B2" s="161" t="s">
        <v>202</v>
      </c>
      <c r="C2" s="100"/>
      <c r="D2" s="100"/>
      <c r="E2" s="100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2:31" ht="16">
      <c r="B3" s="18" t="s">
        <v>171</v>
      </c>
      <c r="C3" s="18"/>
      <c r="D3" s="100"/>
      <c r="E3" s="100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2:31" ht="16">
      <c r="B4" s="18"/>
      <c r="C4" s="18"/>
      <c r="D4" s="100"/>
      <c r="E4" s="100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2:31" ht="16" hidden="1">
      <c r="B5" s="429" t="s">
        <v>1</v>
      </c>
      <c r="C5" s="430" t="s">
        <v>3</v>
      </c>
      <c r="D5" s="431" t="s">
        <v>321</v>
      </c>
      <c r="E5" s="365" t="s">
        <v>333</v>
      </c>
      <c r="F5" s="356" t="s">
        <v>335</v>
      </c>
      <c r="G5" s="356" t="s">
        <v>337</v>
      </c>
      <c r="H5" s="354" t="s">
        <v>8</v>
      </c>
      <c r="I5" s="357" t="s">
        <v>312</v>
      </c>
      <c r="J5" s="357" t="s">
        <v>315</v>
      </c>
      <c r="K5" s="357" t="s">
        <v>166</v>
      </c>
      <c r="L5" s="357" t="s">
        <v>168</v>
      </c>
      <c r="M5" s="356" t="s">
        <v>336</v>
      </c>
      <c r="N5" s="354" t="s">
        <v>305</v>
      </c>
      <c r="O5" s="356" t="s">
        <v>366</v>
      </c>
      <c r="P5" s="356" t="s">
        <v>369</v>
      </c>
      <c r="Q5" s="360" t="s">
        <v>310</v>
      </c>
      <c r="R5" s="356" t="s">
        <v>367</v>
      </c>
      <c r="S5" s="356" t="s">
        <v>370</v>
      </c>
      <c r="T5" s="357" t="s">
        <v>306</v>
      </c>
      <c r="U5" s="356" t="s">
        <v>368</v>
      </c>
      <c r="V5" s="356" t="s">
        <v>371</v>
      </c>
      <c r="W5" s="356" t="s">
        <v>343</v>
      </c>
      <c r="X5" s="356" t="s">
        <v>344</v>
      </c>
      <c r="Y5" s="356" t="s">
        <v>345</v>
      </c>
      <c r="Z5" s="356" t="s">
        <v>375</v>
      </c>
      <c r="AA5" s="356" t="s">
        <v>376</v>
      </c>
      <c r="AB5" s="18"/>
      <c r="AC5" s="18"/>
    </row>
    <row r="6" spans="2:31" ht="16">
      <c r="B6" s="162" t="s">
        <v>172</v>
      </c>
      <c r="C6" s="163"/>
      <c r="D6" s="163"/>
      <c r="E6" s="163"/>
      <c r="F6" s="164" t="s">
        <v>173</v>
      </c>
      <c r="G6" s="164"/>
      <c r="H6" s="164"/>
      <c r="I6" s="164"/>
      <c r="J6" s="164"/>
      <c r="K6" s="164"/>
      <c r="L6" s="164"/>
      <c r="M6" s="165"/>
      <c r="N6" s="166"/>
      <c r="O6" s="166"/>
      <c r="P6" s="166"/>
      <c r="Q6" s="166"/>
      <c r="R6" s="166"/>
      <c r="S6" s="166"/>
      <c r="T6" s="166"/>
      <c r="U6" s="166"/>
      <c r="V6" s="166"/>
      <c r="W6" s="167" t="s">
        <v>0</v>
      </c>
      <c r="X6" s="167" t="s">
        <v>0</v>
      </c>
      <c r="Y6" s="164"/>
      <c r="Z6" s="164"/>
      <c r="AA6" s="168"/>
    </row>
    <row r="7" spans="2:31" ht="16">
      <c r="B7" s="166"/>
      <c r="C7" s="166"/>
      <c r="D7" s="167" t="s">
        <v>174</v>
      </c>
      <c r="E7" s="167" t="s">
        <v>43</v>
      </c>
      <c r="F7" s="167" t="s">
        <v>134</v>
      </c>
      <c r="G7" s="167"/>
      <c r="H7" s="167"/>
      <c r="I7" s="167"/>
      <c r="J7" s="167"/>
      <c r="K7" s="167"/>
      <c r="L7" s="167" t="s">
        <v>175</v>
      </c>
      <c r="M7" s="167" t="s">
        <v>176</v>
      </c>
      <c r="N7" s="164" t="s">
        <v>177</v>
      </c>
      <c r="O7" s="164"/>
      <c r="P7" s="164"/>
      <c r="Q7" s="164" t="s">
        <v>178</v>
      </c>
      <c r="R7" s="164"/>
      <c r="S7" s="164"/>
      <c r="T7" s="164" t="s">
        <v>42</v>
      </c>
      <c r="U7" s="164"/>
      <c r="V7" s="164"/>
      <c r="W7" s="167" t="s">
        <v>177</v>
      </c>
      <c r="X7" s="167" t="s">
        <v>178</v>
      </c>
      <c r="Y7" s="164" t="s">
        <v>179</v>
      </c>
      <c r="Z7" s="164"/>
      <c r="AA7" s="164"/>
    </row>
    <row r="8" spans="2:31" ht="16">
      <c r="B8" s="169" t="s">
        <v>180</v>
      </c>
      <c r="C8" s="169" t="s">
        <v>136</v>
      </c>
      <c r="D8" s="170" t="s">
        <v>181</v>
      </c>
      <c r="E8" s="170" t="s">
        <v>182</v>
      </c>
      <c r="F8" s="170" t="s">
        <v>183</v>
      </c>
      <c r="G8" s="170" t="s">
        <v>137</v>
      </c>
      <c r="H8" s="170" t="s">
        <v>144</v>
      </c>
      <c r="I8" s="170" t="s">
        <v>184</v>
      </c>
      <c r="J8" s="170" t="s">
        <v>138</v>
      </c>
      <c r="K8" s="170" t="s">
        <v>133</v>
      </c>
      <c r="L8" s="170" t="s">
        <v>185</v>
      </c>
      <c r="M8" s="170" t="s">
        <v>142</v>
      </c>
      <c r="N8" s="171" t="s">
        <v>186</v>
      </c>
      <c r="O8" s="172">
        <v>46022</v>
      </c>
      <c r="P8" s="172">
        <f>EOMONTH(O8,12)</f>
        <v>46387</v>
      </c>
      <c r="Q8" s="171" t="str">
        <f>$N$8</f>
        <v>LTM</v>
      </c>
      <c r="R8" s="172">
        <f>+$O$8</f>
        <v>46022</v>
      </c>
      <c r="S8" s="172">
        <f>+$P$8</f>
        <v>46387</v>
      </c>
      <c r="T8" s="171" t="str">
        <f>$N$8</f>
        <v>LTM</v>
      </c>
      <c r="U8" s="172">
        <f>+$O$8</f>
        <v>46022</v>
      </c>
      <c r="V8" s="172">
        <f>+$P$8</f>
        <v>46387</v>
      </c>
      <c r="W8" s="170" t="s">
        <v>187</v>
      </c>
      <c r="X8" s="170" t="s">
        <v>187</v>
      </c>
      <c r="Y8" s="171" t="str">
        <f>$N$8</f>
        <v>LTM</v>
      </c>
      <c r="Z8" s="172">
        <f>+$O$8</f>
        <v>46022</v>
      </c>
      <c r="AA8" s="172">
        <f>+$P$8</f>
        <v>46387</v>
      </c>
    </row>
    <row r="9" spans="2:31" ht="16">
      <c r="B9" s="429" t="str">
        <f>INDEX(Pub_Comps_Range,MATCH(B$5,Pub_Comps_Params,0),MATCH($C9,Pub_Comps_Tickers,0))</f>
        <v>Lam Research Corp.</v>
      </c>
      <c r="C9" s="18" t="s">
        <v>197</v>
      </c>
      <c r="D9" s="429">
        <f t="shared" ref="D9:M13" si="0">INDEX(Pub_Comps_Range,MATCH(D$5,Pub_Comps_Params,0),MATCH($C9,Pub_Comps_Tickers,0))</f>
        <v>73.069999999999993</v>
      </c>
      <c r="E9" s="429">
        <f t="shared" si="0"/>
        <v>1295.23</v>
      </c>
      <c r="F9" s="433">
        <f t="shared" si="0"/>
        <v>94642.456099999996</v>
      </c>
      <c r="G9" s="435">
        <f t="shared" si="0"/>
        <v>1.49</v>
      </c>
      <c r="H9" s="434">
        <f t="shared" si="0"/>
        <v>0.12212742534746113</v>
      </c>
      <c r="I9" s="433">
        <f t="shared" si="0"/>
        <v>-6067.5</v>
      </c>
      <c r="J9" s="433">
        <f t="shared" si="0"/>
        <v>4479</v>
      </c>
      <c r="K9" s="432">
        <f t="shared" si="0"/>
        <v>0</v>
      </c>
      <c r="L9" s="432">
        <f t="shared" si="0"/>
        <v>0</v>
      </c>
      <c r="M9" s="432">
        <f t="shared" si="0"/>
        <v>90986.456099999996</v>
      </c>
      <c r="N9" s="432">
        <f t="shared" ref="N9:AA13" si="1">INDEX(Pub_Comps_Range,MATCH(N$5,Pub_Comps_Params,0),MATCH($C9,Pub_Comps_Tickers,0))</f>
        <v>15591.319999999998</v>
      </c>
      <c r="O9" s="432">
        <f t="shared" si="1"/>
        <v>16321.412999999999</v>
      </c>
      <c r="P9" s="432">
        <f t="shared" si="1"/>
        <v>17871.947235</v>
      </c>
      <c r="Q9" s="432">
        <f t="shared" si="1"/>
        <v>4971</v>
      </c>
      <c r="R9" s="432">
        <f t="shared" si="1"/>
        <v>5222.8521599999995</v>
      </c>
      <c r="S9" s="432">
        <f t="shared" si="1"/>
        <v>5719.0231151999997</v>
      </c>
      <c r="T9" s="432">
        <f t="shared" si="1"/>
        <v>4057</v>
      </c>
      <c r="U9" s="432">
        <f t="shared" si="1"/>
        <v>4348.6080000000002</v>
      </c>
      <c r="V9" s="432">
        <f t="shared" si="1"/>
        <v>4940.018688000001</v>
      </c>
      <c r="W9" s="434">
        <f t="shared" si="1"/>
        <v>9.4999999999999973E-2</v>
      </c>
      <c r="X9" s="434">
        <f t="shared" si="1"/>
        <v>9.4999999999999973E-2</v>
      </c>
      <c r="Y9" s="434">
        <f t="shared" si="1"/>
        <v>0.31883124712981331</v>
      </c>
      <c r="Z9" s="434">
        <f t="shared" si="1"/>
        <v>0.32</v>
      </c>
      <c r="AA9" s="434">
        <f t="shared" si="1"/>
        <v>0.32</v>
      </c>
    </row>
    <row r="10" spans="2:31" ht="16">
      <c r="B10" s="429" t="str">
        <f>INDEX(Pub_Comps_Range,MATCH(B$5,Pub_Comps_Params,0),MATCH($C10,Pub_Comps_Tickers,0))</f>
        <v>ASML Holding, N.V.</v>
      </c>
      <c r="C10" s="18" t="s">
        <v>199</v>
      </c>
      <c r="D10" s="429">
        <f t="shared" si="0"/>
        <v>672.88</v>
      </c>
      <c r="E10" s="429">
        <f t="shared" si="0"/>
        <v>395.22999999999996</v>
      </c>
      <c r="F10" s="433">
        <f t="shared" si="0"/>
        <v>265942.36239999998</v>
      </c>
      <c r="G10" s="435">
        <f t="shared" si="0"/>
        <v>1.1000000000000001</v>
      </c>
      <c r="H10" s="434">
        <f t="shared" si="0"/>
        <v>0.1623471646087051</v>
      </c>
      <c r="I10" s="433">
        <f t="shared" si="0"/>
        <v>-7004</v>
      </c>
      <c r="J10" s="433">
        <f t="shared" si="0"/>
        <v>4694.2</v>
      </c>
      <c r="K10" s="432">
        <f t="shared" si="0"/>
        <v>0</v>
      </c>
      <c r="L10" s="432">
        <f t="shared" si="0"/>
        <v>0</v>
      </c>
      <c r="M10" s="432">
        <f t="shared" si="0"/>
        <v>262061.16239999997</v>
      </c>
      <c r="N10" s="432">
        <f t="shared" si="1"/>
        <v>26238</v>
      </c>
      <c r="O10" s="432">
        <f t="shared" si="1"/>
        <v>33975</v>
      </c>
      <c r="P10" s="432">
        <f t="shared" si="1"/>
        <v>38475</v>
      </c>
      <c r="Q10" s="432">
        <f t="shared" si="1"/>
        <v>8865.2999999999993</v>
      </c>
      <c r="R10" s="432">
        <f t="shared" si="1"/>
        <v>11551.5</v>
      </c>
      <c r="S10" s="432">
        <f t="shared" si="1"/>
        <v>13081.500000000002</v>
      </c>
      <c r="T10" s="432">
        <f t="shared" si="1"/>
        <v>6927</v>
      </c>
      <c r="U10" s="432">
        <f t="shared" si="1"/>
        <v>9818.7749999999996</v>
      </c>
      <c r="V10" s="432">
        <f t="shared" si="1"/>
        <v>11119.275</v>
      </c>
      <c r="W10" s="434">
        <f t="shared" si="1"/>
        <v>0.13245033112582782</v>
      </c>
      <c r="X10" s="434">
        <f t="shared" si="1"/>
        <v>0.13245033112582805</v>
      </c>
      <c r="Y10" s="434">
        <f t="shared" si="1"/>
        <v>0.33788017379373425</v>
      </c>
      <c r="Z10" s="434">
        <f t="shared" si="1"/>
        <v>0.34</v>
      </c>
      <c r="AA10" s="434">
        <f t="shared" si="1"/>
        <v>0.34</v>
      </c>
      <c r="AE10" s="356"/>
    </row>
    <row r="11" spans="2:31" ht="16">
      <c r="B11" s="429" t="str">
        <f>INDEX(Pub_Comps_Range,MATCH(B$5,Pub_Comps_Params,0),MATCH($C11,Pub_Comps_Tickers,0))</f>
        <v>KLA Corporation</v>
      </c>
      <c r="C11" s="18" t="s">
        <v>355</v>
      </c>
      <c r="D11" s="429">
        <f t="shared" si="0"/>
        <v>639.54999999999995</v>
      </c>
      <c r="E11" s="429">
        <f t="shared" si="0"/>
        <v>136.19</v>
      </c>
      <c r="F11" s="433">
        <f t="shared" si="0"/>
        <v>87100.314499999993</v>
      </c>
      <c r="G11" s="435">
        <f t="shared" si="0"/>
        <v>1.29</v>
      </c>
      <c r="H11" s="434">
        <f t="shared" si="0"/>
        <v>0.13187006145741881</v>
      </c>
      <c r="I11" s="433">
        <f t="shared" si="0"/>
        <v>-1977</v>
      </c>
      <c r="J11" s="433">
        <f t="shared" si="0"/>
        <v>5881.4</v>
      </c>
      <c r="K11" s="432">
        <f t="shared" si="0"/>
        <v>0</v>
      </c>
      <c r="L11" s="432">
        <f t="shared" si="0"/>
        <v>0</v>
      </c>
      <c r="M11" s="432">
        <f t="shared" si="0"/>
        <v>91004.714499999987</v>
      </c>
      <c r="N11" s="432">
        <f t="shared" si="1"/>
        <v>10257</v>
      </c>
      <c r="O11" s="432">
        <f t="shared" si="1"/>
        <v>11175.868</v>
      </c>
      <c r="P11" s="432">
        <f t="shared" si="1"/>
        <v>11410.561227999999</v>
      </c>
      <c r="Q11" s="432">
        <f t="shared" si="1"/>
        <v>4304.43</v>
      </c>
      <c r="R11" s="432">
        <f t="shared" si="1"/>
        <v>4682.6886919999997</v>
      </c>
      <c r="S11" s="432">
        <f t="shared" si="1"/>
        <v>4781.0251545319989</v>
      </c>
      <c r="T11" s="432">
        <f t="shared" si="1"/>
        <v>2966</v>
      </c>
      <c r="U11" s="432">
        <f t="shared" si="1"/>
        <v>3705.66</v>
      </c>
      <c r="V11" s="432">
        <f t="shared" si="1"/>
        <v>4943.3504400000002</v>
      </c>
      <c r="W11" s="434">
        <f t="shared" si="1"/>
        <v>2.0999999999999908E-2</v>
      </c>
      <c r="X11" s="434">
        <f t="shared" si="1"/>
        <v>2.0999999999999908E-2</v>
      </c>
      <c r="Y11" s="434">
        <f t="shared" si="1"/>
        <v>0.41965779467680614</v>
      </c>
      <c r="Z11" s="434">
        <f t="shared" si="1"/>
        <v>0.41899999999999998</v>
      </c>
      <c r="AA11" s="434">
        <f t="shared" si="1"/>
        <v>0.41899999999999993</v>
      </c>
      <c r="AE11" s="356"/>
    </row>
    <row r="12" spans="2:31" ht="16">
      <c r="B12" s="429" t="str">
        <f>INDEX(Pub_Comps_Range,MATCH(B$5,Pub_Comps_Params,0),MATCH($C12,Pub_Comps_Tickers,0))</f>
        <v>Broadcom Inc.</v>
      </c>
      <c r="C12" s="18" t="s">
        <v>359</v>
      </c>
      <c r="D12" s="429">
        <f t="shared" si="0"/>
        <v>164.23</v>
      </c>
      <c r="E12" s="429">
        <f t="shared" si="0"/>
        <v>4671.3999999999996</v>
      </c>
      <c r="F12" s="433">
        <f t="shared" si="0"/>
        <v>767184.02199999988</v>
      </c>
      <c r="G12" s="435">
        <f t="shared" si="0"/>
        <v>1.19</v>
      </c>
      <c r="H12" s="434">
        <f t="shared" si="0"/>
        <v>0.39286017128805223</v>
      </c>
      <c r="I12" s="433">
        <f t="shared" si="0"/>
        <v>-1173</v>
      </c>
      <c r="J12" s="433">
        <f t="shared" si="0"/>
        <v>12413</v>
      </c>
      <c r="K12" s="432">
        <f t="shared" si="0"/>
        <v>0</v>
      </c>
      <c r="L12" s="432">
        <f t="shared" si="0"/>
        <v>0</v>
      </c>
      <c r="M12" s="432">
        <f t="shared" si="0"/>
        <v>778424.02199999988</v>
      </c>
      <c r="N12" s="432">
        <f t="shared" si="1"/>
        <v>46815</v>
      </c>
      <c r="O12" s="432">
        <f t="shared" si="1"/>
        <v>38648.701000000001</v>
      </c>
      <c r="P12" s="432">
        <f t="shared" si="1"/>
        <v>43054.652914000006</v>
      </c>
      <c r="Q12" s="432">
        <f t="shared" si="1"/>
        <v>16115</v>
      </c>
      <c r="R12" s="432">
        <f t="shared" si="1"/>
        <v>12908.666134000001</v>
      </c>
      <c r="S12" s="432">
        <f t="shared" si="1"/>
        <v>14380.254073276003</v>
      </c>
      <c r="T12" s="432">
        <f t="shared" si="1"/>
        <v>14095</v>
      </c>
      <c r="U12" s="432">
        <f t="shared" si="1"/>
        <v>17250.45</v>
      </c>
      <c r="V12" s="432">
        <f t="shared" si="1"/>
        <v>17733.462600000003</v>
      </c>
      <c r="W12" s="434">
        <f t="shared" si="1"/>
        <v>0.1140000000000001</v>
      </c>
      <c r="X12" s="434">
        <f t="shared" si="1"/>
        <v>0.1140000000000001</v>
      </c>
      <c r="Y12" s="434">
        <f t="shared" si="1"/>
        <v>0.34422727758197158</v>
      </c>
      <c r="Z12" s="434">
        <f t="shared" si="1"/>
        <v>0.33400000000000002</v>
      </c>
      <c r="AA12" s="434">
        <f t="shared" si="1"/>
        <v>0.33400000000000002</v>
      </c>
      <c r="AE12" s="356"/>
    </row>
    <row r="13" spans="2:31" ht="16">
      <c r="B13" s="429" t="str">
        <f>INDEX(Pub_Comps_Range,MATCH(B$5,Pub_Comps_Params,0),MATCH($C13,Pub_Comps_Tickers,0))</f>
        <v>Qualcomm Incorporated</v>
      </c>
      <c r="C13" s="18" t="s">
        <v>362</v>
      </c>
      <c r="D13" s="429">
        <f t="shared" si="0"/>
        <v>156.79</v>
      </c>
      <c r="E13" s="429">
        <f t="shared" si="0"/>
        <v>1190</v>
      </c>
      <c r="F13" s="433">
        <f t="shared" si="0"/>
        <v>186580.09999999998</v>
      </c>
      <c r="G13" s="435">
        <f t="shared" si="0"/>
        <v>1.29</v>
      </c>
      <c r="H13" s="434">
        <f t="shared" si="0"/>
        <v>2.186532507739938E-2</v>
      </c>
      <c r="I13" s="433">
        <f t="shared" si="0"/>
        <v>-7849</v>
      </c>
      <c r="J13" s="433">
        <f t="shared" si="0"/>
        <v>13270</v>
      </c>
      <c r="K13" s="432">
        <f t="shared" si="0"/>
        <v>0</v>
      </c>
      <c r="L13" s="432">
        <f t="shared" si="0"/>
        <v>0</v>
      </c>
      <c r="M13" s="432">
        <f t="shared" si="0"/>
        <v>190767.09999999998</v>
      </c>
      <c r="N13" s="432">
        <f t="shared" si="1"/>
        <v>38962</v>
      </c>
      <c r="O13" s="432">
        <f t="shared" si="1"/>
        <v>42039.998</v>
      </c>
      <c r="P13" s="432">
        <f t="shared" si="1"/>
        <v>46832.557772000007</v>
      </c>
      <c r="Q13" s="432">
        <f t="shared" si="1"/>
        <v>11720</v>
      </c>
      <c r="R13" s="432">
        <f t="shared" si="1"/>
        <v>12654.039397999999</v>
      </c>
      <c r="S13" s="432">
        <f t="shared" si="1"/>
        <v>14096.599889372003</v>
      </c>
      <c r="T13" s="432">
        <f t="shared" si="1"/>
        <v>7232</v>
      </c>
      <c r="U13" s="432">
        <f t="shared" si="1"/>
        <v>8859.2000000000007</v>
      </c>
      <c r="V13" s="432">
        <f t="shared" si="1"/>
        <v>9107.2576000000008</v>
      </c>
      <c r="W13" s="434">
        <f t="shared" si="1"/>
        <v>0.1140000000000001</v>
      </c>
      <c r="X13" s="434">
        <f t="shared" si="1"/>
        <v>0.11400000000000032</v>
      </c>
      <c r="Y13" s="434">
        <f t="shared" si="1"/>
        <v>0.30080591345413482</v>
      </c>
      <c r="Z13" s="434">
        <f t="shared" si="1"/>
        <v>0.30099999999999999</v>
      </c>
      <c r="AA13" s="434">
        <f t="shared" si="1"/>
        <v>0.30099999999999999</v>
      </c>
      <c r="AD13" s="356"/>
      <c r="AE13" s="356"/>
    </row>
    <row r="14" spans="2:31" ht="16">
      <c r="B14" s="18"/>
      <c r="C14" s="18"/>
      <c r="D14" s="137"/>
      <c r="E14" s="134"/>
      <c r="F14" s="105"/>
      <c r="H14" s="160"/>
      <c r="I14" s="135"/>
      <c r="J14" s="105"/>
      <c r="K14" s="134"/>
      <c r="L14" s="134"/>
      <c r="M14" s="134"/>
      <c r="N14" s="105"/>
      <c r="P14" s="105"/>
      <c r="Q14" s="134"/>
      <c r="S14" s="105"/>
      <c r="T14" s="134"/>
      <c r="V14" s="105"/>
      <c r="W14" s="136"/>
      <c r="X14" s="136"/>
      <c r="Y14" s="136"/>
      <c r="Z14" s="136"/>
      <c r="AA14" s="136"/>
      <c r="AE14" s="356"/>
    </row>
    <row r="15" spans="2:31" ht="16">
      <c r="B15" s="18"/>
      <c r="C15" s="18"/>
      <c r="D15" s="18"/>
      <c r="E15" s="18"/>
      <c r="F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E15" s="356"/>
    </row>
    <row r="16" spans="2:31" ht="16">
      <c r="B16" s="138" t="s">
        <v>188</v>
      </c>
      <c r="C16" s="103"/>
      <c r="D16" s="139">
        <f>MAX(D9:D14)</f>
        <v>672.88</v>
      </c>
      <c r="E16" s="139"/>
      <c r="F16" s="140">
        <f>MAX(F9:F14)</f>
        <v>767184.02199999988</v>
      </c>
      <c r="G16" s="140"/>
      <c r="H16" s="140"/>
      <c r="I16" s="140"/>
      <c r="J16" s="140"/>
      <c r="K16" s="140"/>
      <c r="L16" s="140"/>
      <c r="M16" s="140">
        <f t="shared" ref="M16:AA16" si="2">MAX(M9:M14)</f>
        <v>778424.02199999988</v>
      </c>
      <c r="N16" s="140">
        <f t="shared" si="2"/>
        <v>46815</v>
      </c>
      <c r="O16" s="140">
        <f>MAX(P9:P11)</f>
        <v>38475</v>
      </c>
      <c r="P16" s="140">
        <f>MAX(P9:P14)</f>
        <v>46832.557772000007</v>
      </c>
      <c r="Q16" s="140">
        <f t="shared" si="2"/>
        <v>16115</v>
      </c>
      <c r="R16" s="140">
        <f>MAX(S9:S11)</f>
        <v>13081.500000000002</v>
      </c>
      <c r="S16" s="140">
        <f>MAX(S9:S14)</f>
        <v>14380.254073276003</v>
      </c>
      <c r="T16" s="140">
        <f t="shared" si="2"/>
        <v>14095</v>
      </c>
      <c r="U16" s="140">
        <f>MAX(V9:V11)</f>
        <v>11119.275</v>
      </c>
      <c r="V16" s="140">
        <f>MAX(V9:V14)</f>
        <v>17733.462600000003</v>
      </c>
      <c r="W16" s="141">
        <f t="shared" si="2"/>
        <v>0.13245033112582782</v>
      </c>
      <c r="X16" s="141">
        <f t="shared" si="2"/>
        <v>0.13245033112582805</v>
      </c>
      <c r="Y16" s="141">
        <f t="shared" si="2"/>
        <v>0.41965779467680614</v>
      </c>
      <c r="Z16" s="141">
        <f t="shared" si="2"/>
        <v>0.41899999999999998</v>
      </c>
      <c r="AA16" s="142">
        <f t="shared" si="2"/>
        <v>0.41899999999999993</v>
      </c>
      <c r="AE16" s="356"/>
    </row>
    <row r="17" spans="1:33" ht="16">
      <c r="B17" s="143" t="s">
        <v>189</v>
      </c>
      <c r="C17" s="18"/>
      <c r="D17" s="102">
        <f>QUARTILE(D9:D14,3)</f>
        <v>639.54999999999995</v>
      </c>
      <c r="E17" s="102"/>
      <c r="F17" s="144">
        <f>QUARTILE(F9:F14,3)</f>
        <v>265942.36239999998</v>
      </c>
      <c r="G17" s="144"/>
      <c r="H17" s="144"/>
      <c r="I17" s="144"/>
      <c r="J17" s="144"/>
      <c r="K17" s="144"/>
      <c r="L17" s="144"/>
      <c r="M17" s="144">
        <f t="shared" ref="M17:AA17" si="3">QUARTILE(M9:M14,3)</f>
        <v>262061.16239999997</v>
      </c>
      <c r="N17" s="144">
        <f t="shared" si="3"/>
        <v>38962</v>
      </c>
      <c r="O17" s="144">
        <f>QUARTILE(P9:P11,3)</f>
        <v>28173.4736175</v>
      </c>
      <c r="P17" s="144">
        <f>QUARTILE(P9:P14,3)</f>
        <v>43054.652914000006</v>
      </c>
      <c r="Q17" s="144">
        <f t="shared" si="3"/>
        <v>11720</v>
      </c>
      <c r="R17" s="144">
        <f>QUARTILE(S9:S11,3)</f>
        <v>9400.2615576000007</v>
      </c>
      <c r="S17" s="144">
        <f>QUARTILE(S9:S14,3)</f>
        <v>14096.599889372003</v>
      </c>
      <c r="T17" s="144">
        <f t="shared" si="3"/>
        <v>7232</v>
      </c>
      <c r="U17" s="144">
        <f>QUARTILE(V9:V11,3)</f>
        <v>8031.3127199999999</v>
      </c>
      <c r="V17" s="144">
        <f>QUARTILE(V9:V14,3)</f>
        <v>11119.275</v>
      </c>
      <c r="W17" s="136">
        <f t="shared" si="3"/>
        <v>0.1140000000000001</v>
      </c>
      <c r="X17" s="136">
        <f t="shared" si="3"/>
        <v>0.11400000000000032</v>
      </c>
      <c r="Y17" s="136">
        <f t="shared" si="3"/>
        <v>0.34422727758197158</v>
      </c>
      <c r="Z17" s="136">
        <f t="shared" si="3"/>
        <v>0.34</v>
      </c>
      <c r="AA17" s="145">
        <f t="shared" si="3"/>
        <v>0.34</v>
      </c>
      <c r="AD17" s="356"/>
      <c r="AE17" s="356"/>
    </row>
    <row r="18" spans="1:33" ht="16">
      <c r="B18" s="175" t="s">
        <v>190</v>
      </c>
      <c r="C18" s="176"/>
      <c r="D18" s="177">
        <f>MEDIAN(D9:D14)</f>
        <v>164.23</v>
      </c>
      <c r="E18" s="177"/>
      <c r="F18" s="178">
        <f>MEDIAN(F9:F14)</f>
        <v>186580.09999999998</v>
      </c>
      <c r="G18" s="178"/>
      <c r="H18" s="178"/>
      <c r="I18" s="179"/>
      <c r="J18" s="179"/>
      <c r="K18" s="179"/>
      <c r="L18" s="179"/>
      <c r="M18" s="178">
        <f t="shared" ref="M18:AA18" si="4">MEDIAN(M9:M14)</f>
        <v>190767.09999999998</v>
      </c>
      <c r="N18" s="178">
        <f t="shared" si="4"/>
        <v>26238</v>
      </c>
      <c r="O18" s="178">
        <f>MEDIAN(P9:P11)</f>
        <v>17871.947235</v>
      </c>
      <c r="P18" s="178">
        <f>MEDIAN(P9:P14)</f>
        <v>38475</v>
      </c>
      <c r="Q18" s="178">
        <f t="shared" si="4"/>
        <v>8865.2999999999993</v>
      </c>
      <c r="R18" s="178">
        <f>MEDIAN(S9:S11)</f>
        <v>5719.0231151999997</v>
      </c>
      <c r="S18" s="178">
        <f>MEDIAN(S9:S14)</f>
        <v>13081.500000000002</v>
      </c>
      <c r="T18" s="178">
        <f t="shared" si="4"/>
        <v>6927</v>
      </c>
      <c r="U18" s="178">
        <f>MEDIAN(V9:V11)</f>
        <v>4943.3504400000002</v>
      </c>
      <c r="V18" s="178">
        <f>MEDIAN(V9:V14)</f>
        <v>9107.2576000000008</v>
      </c>
      <c r="W18" s="180">
        <f t="shared" si="4"/>
        <v>0.1140000000000001</v>
      </c>
      <c r="X18" s="180">
        <f t="shared" si="4"/>
        <v>0.1140000000000001</v>
      </c>
      <c r="Y18" s="180">
        <f t="shared" si="4"/>
        <v>0.33788017379373425</v>
      </c>
      <c r="Z18" s="180">
        <f t="shared" si="4"/>
        <v>0.33400000000000002</v>
      </c>
      <c r="AA18" s="181">
        <f t="shared" si="4"/>
        <v>0.33400000000000002</v>
      </c>
      <c r="AD18" s="356" t="s">
        <v>372</v>
      </c>
      <c r="AE18" s="356"/>
    </row>
    <row r="19" spans="1:33" ht="16">
      <c r="B19" s="143" t="s">
        <v>191</v>
      </c>
      <c r="C19" s="100"/>
      <c r="D19" s="102">
        <f>QUARTILE(D9:D14,1)</f>
        <v>156.79</v>
      </c>
      <c r="E19" s="102"/>
      <c r="F19" s="144">
        <f>QUARTILE(F9:F14,1)</f>
        <v>94642.456099999996</v>
      </c>
      <c r="G19" s="144"/>
      <c r="H19" s="144"/>
      <c r="I19" s="144"/>
      <c r="J19" s="144"/>
      <c r="K19" s="144"/>
      <c r="L19" s="144"/>
      <c r="M19" s="144">
        <f t="shared" ref="M19:AA19" si="5">QUARTILE(M9:M14,1)</f>
        <v>91004.714499999987</v>
      </c>
      <c r="N19" s="144">
        <f t="shared" si="5"/>
        <v>15591.319999999998</v>
      </c>
      <c r="O19" s="144">
        <f>QUARTILE(P9:P11,1)</f>
        <v>14641.254231499999</v>
      </c>
      <c r="P19" s="144">
        <f>QUARTILE(P9:P14,1)</f>
        <v>17871.947235</v>
      </c>
      <c r="Q19" s="144">
        <f t="shared" si="5"/>
        <v>4971</v>
      </c>
      <c r="R19" s="144">
        <f>QUARTILE(S9:S11,1)</f>
        <v>5250.0241348659993</v>
      </c>
      <c r="S19" s="144">
        <f>QUARTILE(S9:S14,1)</f>
        <v>5719.0231151999997</v>
      </c>
      <c r="T19" s="144">
        <f t="shared" si="5"/>
        <v>4057</v>
      </c>
      <c r="U19" s="144">
        <f>QUARTILE(V9:V11,1)</f>
        <v>4941.684564000001</v>
      </c>
      <c r="V19" s="144">
        <f>QUARTILE(V9:V14,1)</f>
        <v>4943.3504400000002</v>
      </c>
      <c r="W19" s="136">
        <f t="shared" si="5"/>
        <v>9.4999999999999973E-2</v>
      </c>
      <c r="X19" s="136">
        <f t="shared" si="5"/>
        <v>9.4999999999999973E-2</v>
      </c>
      <c r="Y19" s="136">
        <f t="shared" si="5"/>
        <v>0.31883124712981331</v>
      </c>
      <c r="Z19" s="136">
        <f t="shared" si="5"/>
        <v>0.32</v>
      </c>
      <c r="AA19" s="145">
        <f t="shared" si="5"/>
        <v>0.32</v>
      </c>
      <c r="AD19" s="356" t="s">
        <v>373</v>
      </c>
      <c r="AE19" s="356"/>
    </row>
    <row r="20" spans="1:33" ht="16">
      <c r="B20" s="146" t="s">
        <v>192</v>
      </c>
      <c r="C20" s="147"/>
      <c r="D20" s="148">
        <f>MIN(D9:D14)</f>
        <v>73.069999999999993</v>
      </c>
      <c r="E20" s="148"/>
      <c r="F20" s="149">
        <f>MIN(F9:F14)</f>
        <v>87100.314499999993</v>
      </c>
      <c r="G20" s="149"/>
      <c r="H20" s="149"/>
      <c r="I20" s="149"/>
      <c r="J20" s="149"/>
      <c r="K20" s="149"/>
      <c r="L20" s="149"/>
      <c r="M20" s="149">
        <f t="shared" ref="M20:AA22" si="6">MIN(M9:M14)</f>
        <v>90986.456099999996</v>
      </c>
      <c r="N20" s="149">
        <f t="shared" si="6"/>
        <v>10257</v>
      </c>
      <c r="O20" s="149">
        <f>MIN(P9:P11)</f>
        <v>11410.561227999999</v>
      </c>
      <c r="P20" s="149">
        <f>MIN(P9:P14)</f>
        <v>11410.561227999999</v>
      </c>
      <c r="Q20" s="149">
        <f t="shared" si="6"/>
        <v>4304.43</v>
      </c>
      <c r="R20" s="149">
        <f>MIN(S9:S11)</f>
        <v>4781.0251545319989</v>
      </c>
      <c r="S20" s="149">
        <f>MIN(S9:S14)</f>
        <v>4781.0251545319989</v>
      </c>
      <c r="T20" s="149">
        <f t="shared" si="6"/>
        <v>2966</v>
      </c>
      <c r="U20" s="149">
        <f>MIN(V9:V11)</f>
        <v>4940.018688000001</v>
      </c>
      <c r="V20" s="149">
        <f>MIN(V9:V14)</f>
        <v>4940.018688000001</v>
      </c>
      <c r="W20" s="150">
        <f t="shared" si="6"/>
        <v>2.0999999999999908E-2</v>
      </c>
      <c r="X20" s="150">
        <f t="shared" si="6"/>
        <v>2.0999999999999908E-2</v>
      </c>
      <c r="Y20" s="150">
        <f t="shared" si="6"/>
        <v>0.30080591345413482</v>
      </c>
      <c r="Z20" s="150">
        <f t="shared" si="6"/>
        <v>0.30099999999999999</v>
      </c>
      <c r="AA20" s="151">
        <f t="shared" si="6"/>
        <v>0.30099999999999999</v>
      </c>
      <c r="AD20" s="356" t="s">
        <v>374</v>
      </c>
      <c r="AE20" s="356"/>
    </row>
    <row r="21" spans="1:33" ht="16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D21" s="356"/>
      <c r="AE21" s="356"/>
    </row>
    <row r="22" spans="1:33" ht="16">
      <c r="A22" s="639"/>
      <c r="B22" s="674" t="str">
        <f t="shared" ref="B22:V22" si="7">INDEX(Pub_Comps_Range,MATCH(B$5,Pub_Comps_Params,0),MATCH($C22,Pub_Comps_Tickers,0))</f>
        <v>Applied Materials</v>
      </c>
      <c r="C22" s="173" t="str">
        <f>Ticker</f>
        <v>AMAT</v>
      </c>
      <c r="D22" s="672">
        <f t="shared" si="7"/>
        <v>175.55</v>
      </c>
      <c r="E22" s="672">
        <f t="shared" si="7"/>
        <v>824.4</v>
      </c>
      <c r="F22" s="672">
        <f t="shared" si="7"/>
        <v>144723.42000000001</v>
      </c>
      <c r="G22" s="672">
        <f t="shared" si="7"/>
        <v>1.29</v>
      </c>
      <c r="H22" s="672">
        <f t="shared" si="7"/>
        <v>0.11960255152109912</v>
      </c>
      <c r="I22" s="672">
        <f t="shared" si="7"/>
        <v>-7177</v>
      </c>
      <c r="J22" s="672">
        <f t="shared" si="7"/>
        <v>5461</v>
      </c>
      <c r="K22" s="672">
        <f t="shared" si="7"/>
        <v>0</v>
      </c>
      <c r="L22" s="672">
        <f t="shared" si="7"/>
        <v>0</v>
      </c>
      <c r="M22" s="672">
        <f t="shared" si="7"/>
        <v>140726.42000000001</v>
      </c>
      <c r="N22" s="672">
        <f t="shared" si="7"/>
        <v>27176</v>
      </c>
      <c r="O22" s="672">
        <f t="shared" si="7"/>
        <v>28207.022910228687</v>
      </c>
      <c r="P22" s="672">
        <f t="shared" si="7"/>
        <v>29577.653506353243</v>
      </c>
      <c r="Q22" s="672">
        <f t="shared" si="7"/>
        <v>8259</v>
      </c>
      <c r="R22" s="672">
        <f t="shared" si="7"/>
        <v>8747.9925771195904</v>
      </c>
      <c r="S22" s="672">
        <f t="shared" si="7"/>
        <v>9202.1888249477997</v>
      </c>
      <c r="T22" s="672">
        <f t="shared" si="7"/>
        <v>7177</v>
      </c>
      <c r="U22" s="672">
        <f t="shared" si="7"/>
        <v>7016.7458934992974</v>
      </c>
      <c r="V22" s="672">
        <f t="shared" si="7"/>
        <v>7397.2100046436117</v>
      </c>
      <c r="W22" s="675">
        <f t="shared" si="6"/>
        <v>2.0999999999999908E-2</v>
      </c>
      <c r="X22" s="675">
        <f t="shared" si="6"/>
        <v>2.0999999999999908E-2</v>
      </c>
      <c r="Y22" s="675">
        <f t="shared" si="6"/>
        <v>0.30080591345413482</v>
      </c>
      <c r="Z22" s="675">
        <f t="shared" si="6"/>
        <v>0.30099999999999999</v>
      </c>
      <c r="AA22" s="676">
        <f t="shared" si="6"/>
        <v>0.30099999999999999</v>
      </c>
      <c r="AE22" s="356"/>
    </row>
    <row r="23" spans="1:33" ht="16">
      <c r="B23" s="436"/>
      <c r="C23" s="436"/>
      <c r="D23" s="437"/>
      <c r="E23" s="438"/>
      <c r="F23" s="439"/>
      <c r="G23" s="440"/>
      <c r="H23" s="441"/>
      <c r="I23" s="439"/>
      <c r="J23" s="439"/>
      <c r="K23" s="439"/>
      <c r="L23" s="439"/>
      <c r="M23" s="439"/>
      <c r="N23" s="439"/>
      <c r="O23" s="439"/>
      <c r="P23" s="439"/>
      <c r="Q23" s="439"/>
      <c r="R23" s="439"/>
      <c r="S23" s="439"/>
      <c r="T23" s="439"/>
      <c r="U23" s="439"/>
      <c r="V23" s="439"/>
      <c r="W23" s="442"/>
      <c r="X23" s="442"/>
      <c r="Y23" s="442"/>
      <c r="Z23" s="442"/>
      <c r="AA23" s="442"/>
      <c r="AE23" s="356"/>
    </row>
    <row r="24" spans="1:33" ht="16">
      <c r="B24" s="429" t="s">
        <v>1</v>
      </c>
      <c r="C24" s="430" t="s">
        <v>3</v>
      </c>
      <c r="D24" s="431" t="s">
        <v>321</v>
      </c>
      <c r="F24" s="431" t="s">
        <v>335</v>
      </c>
      <c r="M24" s="431" t="s">
        <v>336</v>
      </c>
      <c r="N24" s="356" t="s">
        <v>377</v>
      </c>
      <c r="O24" s="356" t="s">
        <v>379</v>
      </c>
      <c r="P24" s="356" t="s">
        <v>382</v>
      </c>
      <c r="Q24" s="356" t="s">
        <v>378</v>
      </c>
      <c r="R24" s="356" t="s">
        <v>380</v>
      </c>
      <c r="S24" s="356" t="s">
        <v>383</v>
      </c>
      <c r="T24" s="356" t="s">
        <v>239</v>
      </c>
      <c r="U24" s="356" t="s">
        <v>381</v>
      </c>
      <c r="V24" s="356" t="s">
        <v>384</v>
      </c>
      <c r="W24" s="18"/>
      <c r="X24" s="18"/>
      <c r="Y24" s="18"/>
      <c r="Z24" s="18"/>
      <c r="AA24" s="18"/>
      <c r="AE24" s="356"/>
    </row>
    <row r="25" spans="1:33" ht="16">
      <c r="B25" s="163" t="s">
        <v>193</v>
      </c>
      <c r="C25" s="163"/>
      <c r="D25" s="163"/>
      <c r="E25" s="163"/>
      <c r="F25" s="164" t="s">
        <v>173</v>
      </c>
      <c r="G25" s="164"/>
      <c r="H25" s="164"/>
      <c r="I25" s="164"/>
      <c r="J25" s="164"/>
      <c r="K25" s="164"/>
      <c r="L25" s="164"/>
      <c r="M25" s="165"/>
      <c r="N25" s="164" t="s">
        <v>194</v>
      </c>
      <c r="O25" s="165"/>
      <c r="P25" s="165"/>
      <c r="Q25" s="164" t="s">
        <v>194</v>
      </c>
      <c r="R25" s="165"/>
      <c r="S25" s="165"/>
      <c r="T25" s="166"/>
      <c r="U25" s="166"/>
      <c r="V25" s="166"/>
      <c r="W25" s="18"/>
      <c r="X25" s="18"/>
      <c r="Y25" s="18"/>
      <c r="Z25" s="18"/>
      <c r="AA25" s="18"/>
      <c r="AD25" s="356"/>
      <c r="AE25" s="356"/>
    </row>
    <row r="26" spans="1:33" ht="16">
      <c r="B26" s="166"/>
      <c r="C26" s="166"/>
      <c r="D26" s="167"/>
      <c r="E26" s="167"/>
      <c r="F26" s="167" t="s">
        <v>134</v>
      </c>
      <c r="G26" s="167"/>
      <c r="H26" s="167"/>
      <c r="I26" s="167"/>
      <c r="J26" s="167"/>
      <c r="K26" s="167"/>
      <c r="L26" s="167"/>
      <c r="M26" s="167" t="s">
        <v>176</v>
      </c>
      <c r="N26" s="164" t="s">
        <v>177</v>
      </c>
      <c r="O26" s="165"/>
      <c r="P26" s="165"/>
      <c r="Q26" s="164" t="s">
        <v>178</v>
      </c>
      <c r="R26" s="168"/>
      <c r="S26" s="168"/>
      <c r="T26" s="164" t="s">
        <v>195</v>
      </c>
      <c r="U26" s="164"/>
      <c r="V26" s="164"/>
      <c r="W26" s="152"/>
      <c r="X26" s="152"/>
      <c r="Y26" s="207"/>
      <c r="Z26" s="207"/>
      <c r="AA26" s="207"/>
      <c r="AB26" s="207"/>
      <c r="AC26" s="207"/>
      <c r="AE26" s="356"/>
      <c r="AF26" s="207"/>
      <c r="AG26" s="207"/>
    </row>
    <row r="27" spans="1:33" ht="16">
      <c r="B27" s="169" t="s">
        <v>180</v>
      </c>
      <c r="C27" s="169"/>
      <c r="D27" s="170"/>
      <c r="E27" s="170"/>
      <c r="F27" s="170" t="s">
        <v>142</v>
      </c>
      <c r="G27" s="170"/>
      <c r="H27" s="170"/>
      <c r="I27" s="170"/>
      <c r="J27" s="170"/>
      <c r="K27" s="170"/>
      <c r="L27" s="170"/>
      <c r="M27" s="170" t="s">
        <v>142</v>
      </c>
      <c r="N27" s="443" t="str">
        <f>$N$8</f>
        <v>LTM</v>
      </c>
      <c r="O27" s="444">
        <f>+$O$8</f>
        <v>46022</v>
      </c>
      <c r="P27" s="444">
        <f>+$P$8</f>
        <v>46387</v>
      </c>
      <c r="Q27" s="443" t="str">
        <f>$N$8</f>
        <v>LTM</v>
      </c>
      <c r="R27" s="444">
        <f>+$O$8</f>
        <v>46022</v>
      </c>
      <c r="S27" s="444">
        <f>+$P$8</f>
        <v>46387</v>
      </c>
      <c r="T27" s="443" t="str">
        <f>$N$8</f>
        <v>LTM</v>
      </c>
      <c r="U27" s="444">
        <f>+$O$8</f>
        <v>46022</v>
      </c>
      <c r="V27" s="444">
        <f>+$P$8</f>
        <v>46387</v>
      </c>
      <c r="W27" s="153"/>
      <c r="X27" s="153"/>
      <c r="Y27" s="207"/>
      <c r="Z27" s="207"/>
      <c r="AA27" s="207"/>
      <c r="AB27" s="207"/>
      <c r="AC27" s="207"/>
      <c r="AE27" s="356"/>
      <c r="AF27" s="207"/>
      <c r="AG27" s="207"/>
    </row>
    <row r="28" spans="1:33" ht="16">
      <c r="B28" s="429" t="str">
        <f>INDEX(Pub_Comps_Range,MATCH(B$24,Pub_Comps_Params,0),MATCH($C28,Pub_Comps_Tickers,0))</f>
        <v>Lam Research Corp.</v>
      </c>
      <c r="C28" s="18" t="s">
        <v>197</v>
      </c>
      <c r="D28" s="429">
        <f>INDEX(Pub_Comps_Range,MATCH(D$24,Pub_Comps_Params,0),MATCH($C28,Pub_Comps_Tickers,0))</f>
        <v>73.069999999999993</v>
      </c>
      <c r="E28" s="429"/>
      <c r="F28" s="433">
        <f>INDEX(Pub_Comps_Range,MATCH(F$24,Pub_Comps_Params,0),MATCH($C28,Pub_Comps_Tickers,0))</f>
        <v>94642.456099999996</v>
      </c>
      <c r="G28" s="433"/>
      <c r="H28" s="433"/>
      <c r="I28" s="433"/>
      <c r="J28" s="433"/>
      <c r="K28" s="433"/>
      <c r="L28" s="433"/>
      <c r="M28" s="433">
        <f t="shared" ref="M28:V32" si="8">INDEX(Pub_Comps_Range,MATCH(M$24,Pub_Comps_Params,0),MATCH($C28,Pub_Comps_Tickers,0))</f>
        <v>90986.456099999996</v>
      </c>
      <c r="N28" s="154">
        <f t="shared" si="8"/>
        <v>5.8357121847284263</v>
      </c>
      <c r="O28" s="154">
        <f t="shared" si="8"/>
        <v>5.5746678366634068</v>
      </c>
      <c r="P28" s="154">
        <f t="shared" si="8"/>
        <v>5.0910208554003713</v>
      </c>
      <c r="Q28" s="154">
        <f t="shared" si="8"/>
        <v>18.303451237175619</v>
      </c>
      <c r="R28" s="154">
        <f t="shared" si="8"/>
        <v>17.420836989573147</v>
      </c>
      <c r="S28" s="154">
        <f t="shared" si="8"/>
        <v>15.909440173126161</v>
      </c>
      <c r="T28" s="154">
        <f t="shared" si="8"/>
        <v>23.328187355188561</v>
      </c>
      <c r="U28" s="154">
        <f t="shared" si="8"/>
        <v>21.763850892055572</v>
      </c>
      <c r="V28" s="154">
        <f t="shared" si="8"/>
        <v>19.158319447232014</v>
      </c>
      <c r="W28" s="18"/>
      <c r="X28" s="204"/>
      <c r="Y28" s="207"/>
      <c r="Z28" s="207"/>
      <c r="AA28" s="207"/>
      <c r="AB28" s="207"/>
      <c r="AC28" s="207"/>
      <c r="AE28" s="356"/>
      <c r="AF28" s="207"/>
      <c r="AG28" s="207"/>
    </row>
    <row r="29" spans="1:33" ht="16">
      <c r="B29" s="429" t="str">
        <f>INDEX(Pub_Comps_Range,MATCH(B$24,Pub_Comps_Params,0),MATCH($C29,Pub_Comps_Tickers,0))</f>
        <v>ASML Holding, N.V.</v>
      </c>
      <c r="C29" s="18" t="s">
        <v>199</v>
      </c>
      <c r="D29" s="429">
        <f>INDEX(Pub_Comps_Range,MATCH(D$24,Pub_Comps_Params,0),MATCH($C29,Pub_Comps_Tickers,0))</f>
        <v>672.88</v>
      </c>
      <c r="E29" s="429"/>
      <c r="F29" s="433">
        <f>INDEX(Pub_Comps_Range,MATCH(F$24,Pub_Comps_Params,0),MATCH($C29,Pub_Comps_Tickers,0))</f>
        <v>265942.36239999998</v>
      </c>
      <c r="G29" s="433"/>
      <c r="H29" s="433"/>
      <c r="I29" s="433"/>
      <c r="J29" s="433"/>
      <c r="K29" s="433"/>
      <c r="L29" s="433"/>
      <c r="M29" s="433">
        <f t="shared" si="8"/>
        <v>262061.16239999997</v>
      </c>
      <c r="N29" s="154">
        <f t="shared" si="8"/>
        <v>9.9878482506288577</v>
      </c>
      <c r="O29" s="154">
        <f t="shared" si="8"/>
        <v>7.7133528300220746</v>
      </c>
      <c r="P29" s="154">
        <f t="shared" si="8"/>
        <v>6.8112063001949315</v>
      </c>
      <c r="Q29" s="154">
        <f t="shared" si="8"/>
        <v>29.56032648641332</v>
      </c>
      <c r="R29" s="154">
        <f t="shared" si="8"/>
        <v>22.686331853006102</v>
      </c>
      <c r="S29" s="154">
        <f t="shared" si="8"/>
        <v>20.032959706455678</v>
      </c>
      <c r="T29" s="154">
        <f t="shared" si="8"/>
        <v>38.392141244405948</v>
      </c>
      <c r="U29" s="154">
        <f t="shared" si="8"/>
        <v>27.085085705701577</v>
      </c>
      <c r="V29" s="154">
        <f t="shared" si="8"/>
        <v>23.917239424332969</v>
      </c>
      <c r="W29" s="18"/>
      <c r="X29" s="204"/>
      <c r="Y29" s="204"/>
      <c r="Z29" s="18"/>
      <c r="AA29" s="18"/>
      <c r="AD29" s="356"/>
      <c r="AE29" s="356"/>
    </row>
    <row r="30" spans="1:33" ht="16">
      <c r="B30" s="429" t="str">
        <f>INDEX(Pub_Comps_Range,MATCH(B$24,Pub_Comps_Params,0),MATCH($C30,Pub_Comps_Tickers,0))</f>
        <v>KLA Corporation</v>
      </c>
      <c r="C30" s="18" t="s">
        <v>355</v>
      </c>
      <c r="D30" s="429">
        <f>INDEX(Pub_Comps_Range,MATCH(D$24,Pub_Comps_Params,0),MATCH($C30,Pub_Comps_Tickers,0))</f>
        <v>639.54999999999995</v>
      </c>
      <c r="E30" s="429"/>
      <c r="F30" s="433">
        <f>INDEX(Pub_Comps_Range,MATCH(F$24,Pub_Comps_Params,0),MATCH($C30,Pub_Comps_Tickers,0))</f>
        <v>87100.314499999993</v>
      </c>
      <c r="G30" s="433"/>
      <c r="H30" s="433"/>
      <c r="I30" s="433"/>
      <c r="J30" s="433"/>
      <c r="K30" s="433"/>
      <c r="L30" s="433"/>
      <c r="M30" s="433">
        <f t="shared" si="8"/>
        <v>91004.714499999987</v>
      </c>
      <c r="N30" s="154">
        <f t="shared" si="8"/>
        <v>8.8724494979038688</v>
      </c>
      <c r="O30" s="154">
        <f t="shared" si="8"/>
        <v>8.1429661212891897</v>
      </c>
      <c r="P30" s="154">
        <f t="shared" si="8"/>
        <v>7.9754810198718822</v>
      </c>
      <c r="Q30" s="154">
        <f t="shared" si="8"/>
        <v>21.142105807272969</v>
      </c>
      <c r="R30" s="154">
        <f t="shared" si="8"/>
        <v>19.434286685654396</v>
      </c>
      <c r="S30" s="154">
        <f t="shared" si="8"/>
        <v>19.034560906615475</v>
      </c>
      <c r="T30" s="154">
        <f t="shared" si="8"/>
        <v>29.366255731625081</v>
      </c>
      <c r="U30" s="154">
        <f t="shared" si="8"/>
        <v>23.504669748438875</v>
      </c>
      <c r="V30" s="154">
        <f t="shared" si="8"/>
        <v>17.619692465096605</v>
      </c>
      <c r="W30" s="18"/>
      <c r="X30" s="204"/>
      <c r="Y30" s="204"/>
      <c r="Z30" s="18"/>
      <c r="AA30" s="18"/>
      <c r="AE30" s="356"/>
    </row>
    <row r="31" spans="1:33" ht="16">
      <c r="B31" s="429" t="str">
        <f>INDEX(Pub_Comps_Range,MATCH(B$24,Pub_Comps_Params,0),MATCH($C31,Pub_Comps_Tickers,0))</f>
        <v>Broadcom Inc.</v>
      </c>
      <c r="C31" s="18" t="s">
        <v>359</v>
      </c>
      <c r="D31" s="429">
        <f>INDEX(Pub_Comps_Range,MATCH(D$24,Pub_Comps_Params,0),MATCH($C31,Pub_Comps_Tickers,0))</f>
        <v>164.23</v>
      </c>
      <c r="E31" s="429"/>
      <c r="F31" s="433">
        <f>INDEX(Pub_Comps_Range,MATCH(F$24,Pub_Comps_Params,0),MATCH($C31,Pub_Comps_Tickers,0))</f>
        <v>767184.02199999988</v>
      </c>
      <c r="G31" s="433"/>
      <c r="H31" s="433"/>
      <c r="I31" s="433"/>
      <c r="J31" s="433"/>
      <c r="K31" s="433"/>
      <c r="L31" s="433"/>
      <c r="M31" s="433">
        <f t="shared" si="8"/>
        <v>778424.02199999988</v>
      </c>
      <c r="N31" s="154">
        <f t="shared" si="8"/>
        <v>16.627662544056388</v>
      </c>
      <c r="O31" s="154">
        <f t="shared" si="8"/>
        <v>20.141013846752568</v>
      </c>
      <c r="P31" s="154">
        <f t="shared" si="8"/>
        <v>18.079904709831748</v>
      </c>
      <c r="Q31" s="154">
        <f t="shared" si="8"/>
        <v>48.304314117282026</v>
      </c>
      <c r="R31" s="154">
        <f t="shared" si="8"/>
        <v>60.302436666923853</v>
      </c>
      <c r="S31" s="154">
        <f t="shared" si="8"/>
        <v>54.131451227041161</v>
      </c>
      <c r="T31" s="154">
        <f t="shared" si="8"/>
        <v>54.429515572898183</v>
      </c>
      <c r="U31" s="154">
        <f t="shared" si="8"/>
        <v>44.473275885556603</v>
      </c>
      <c r="V31" s="154">
        <f t="shared" si="8"/>
        <v>43.261941522914974</v>
      </c>
      <c r="W31" s="18"/>
      <c r="X31" s="204"/>
      <c r="Y31" s="204"/>
      <c r="Z31" s="18"/>
      <c r="AA31" s="18"/>
      <c r="AE31" s="356"/>
    </row>
    <row r="32" spans="1:33" ht="16">
      <c r="B32" s="429" t="str">
        <f>INDEX(Pub_Comps_Range,MATCH(B$24,Pub_Comps_Params,0),MATCH($C32,Pub_Comps_Tickers,0))</f>
        <v>Qualcomm Incorporated</v>
      </c>
      <c r="C32" s="18" t="s">
        <v>362</v>
      </c>
      <c r="D32" s="429">
        <f>INDEX(Pub_Comps_Range,MATCH(D$24,Pub_Comps_Params,0),MATCH($C32,Pub_Comps_Tickers,0))</f>
        <v>156.79</v>
      </c>
      <c r="E32" s="429"/>
      <c r="F32" s="433">
        <f>INDEX(Pub_Comps_Range,MATCH(F$24,Pub_Comps_Params,0),MATCH($C32,Pub_Comps_Tickers,0))</f>
        <v>186580.09999999998</v>
      </c>
      <c r="G32" s="433"/>
      <c r="H32" s="433"/>
      <c r="I32" s="433"/>
      <c r="J32" s="433"/>
      <c r="K32" s="433"/>
      <c r="L32" s="433"/>
      <c r="M32" s="433">
        <f t="shared" si="8"/>
        <v>190767.09999999998</v>
      </c>
      <c r="N32" s="154">
        <f t="shared" si="8"/>
        <v>4.8962347928751084</v>
      </c>
      <c r="O32" s="154">
        <f t="shared" si="8"/>
        <v>4.5377523566961155</v>
      </c>
      <c r="P32" s="154">
        <f t="shared" si="8"/>
        <v>4.0733863166033348</v>
      </c>
      <c r="Q32" s="154">
        <f t="shared" si="8"/>
        <v>16.277056313993171</v>
      </c>
      <c r="R32" s="154">
        <f t="shared" si="8"/>
        <v>15.075589224904039</v>
      </c>
      <c r="S32" s="154">
        <f t="shared" si="8"/>
        <v>13.532844905658918</v>
      </c>
      <c r="T32" s="154">
        <f t="shared" si="8"/>
        <v>25.799239491150438</v>
      </c>
      <c r="U32" s="154">
        <f t="shared" si="8"/>
        <v>21.060603666245253</v>
      </c>
      <c r="V32" s="154">
        <f t="shared" si="8"/>
        <v>20.48696854693118</v>
      </c>
      <c r="W32" s="18"/>
      <c r="X32" s="204"/>
      <c r="Y32" s="18"/>
      <c r="Z32" s="18"/>
      <c r="AA32" s="18"/>
      <c r="AE32" s="356"/>
    </row>
    <row r="33" spans="2:31" ht="16">
      <c r="B33" s="18"/>
      <c r="C33" s="18"/>
      <c r="D33" s="137"/>
      <c r="E33" s="134"/>
      <c r="F33" s="105"/>
      <c r="G33" s="105"/>
      <c r="H33" s="105"/>
      <c r="I33" s="134"/>
      <c r="J33" s="134"/>
      <c r="K33" s="134"/>
      <c r="L33" s="134"/>
      <c r="M33" s="105"/>
      <c r="N33" s="154"/>
      <c r="O33" s="154"/>
      <c r="P33" s="154"/>
      <c r="Q33" s="154"/>
      <c r="R33" s="154"/>
      <c r="S33" s="154"/>
      <c r="T33" s="154"/>
      <c r="U33" s="154"/>
      <c r="V33" s="154"/>
      <c r="W33" s="18"/>
      <c r="X33" s="18"/>
      <c r="Y33" s="18"/>
      <c r="Z33" s="18"/>
      <c r="AA33" s="18"/>
      <c r="AD33" s="356"/>
      <c r="AE33" s="356"/>
    </row>
    <row r="34" spans="2:31" ht="16"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E34" s="356"/>
    </row>
    <row r="35" spans="2:31" ht="16">
      <c r="B35" s="138" t="s">
        <v>188</v>
      </c>
      <c r="C35" s="103"/>
      <c r="D35" s="139"/>
      <c r="E35" s="139"/>
      <c r="F35" s="140">
        <f>MAX(F28:F33)</f>
        <v>767184.02199999988</v>
      </c>
      <c r="G35" s="140"/>
      <c r="H35" s="140"/>
      <c r="I35" s="140"/>
      <c r="J35" s="140"/>
      <c r="K35" s="140"/>
      <c r="L35" s="140"/>
      <c r="M35" s="140">
        <f t="shared" ref="M35:V35" si="9">MAX(M28:M33)</f>
        <v>778424.02199999988</v>
      </c>
      <c r="N35" s="155">
        <f t="shared" si="9"/>
        <v>16.627662544056388</v>
      </c>
      <c r="O35" s="155">
        <f t="shared" si="9"/>
        <v>20.141013846752568</v>
      </c>
      <c r="P35" s="155">
        <f t="shared" si="9"/>
        <v>18.079904709831748</v>
      </c>
      <c r="Q35" s="155">
        <f t="shared" si="9"/>
        <v>48.304314117282026</v>
      </c>
      <c r="R35" s="155">
        <f t="shared" si="9"/>
        <v>60.302436666923853</v>
      </c>
      <c r="S35" s="155">
        <f t="shared" si="9"/>
        <v>54.131451227041161</v>
      </c>
      <c r="T35" s="155">
        <f t="shared" si="9"/>
        <v>54.429515572898183</v>
      </c>
      <c r="U35" s="155">
        <f t="shared" si="9"/>
        <v>44.473275885556603</v>
      </c>
      <c r="V35" s="156">
        <f t="shared" si="9"/>
        <v>43.261941522914974</v>
      </c>
      <c r="W35" s="18"/>
      <c r="X35" s="18"/>
      <c r="Y35" s="18"/>
      <c r="Z35" s="18"/>
      <c r="AA35" s="18"/>
      <c r="AE35" s="356"/>
    </row>
    <row r="36" spans="2:31" ht="16">
      <c r="B36" s="143" t="s">
        <v>189</v>
      </c>
      <c r="C36" s="18"/>
      <c r="D36" s="102"/>
      <c r="E36" s="102"/>
      <c r="F36" s="144">
        <f>QUARTILE(F28:F33,3)</f>
        <v>265942.36239999998</v>
      </c>
      <c r="G36" s="144"/>
      <c r="H36" s="144"/>
      <c r="I36" s="144"/>
      <c r="J36" s="144"/>
      <c r="K36" s="144"/>
      <c r="L36" s="144"/>
      <c r="M36" s="144">
        <f t="shared" ref="M36:V36" si="10">QUARTILE(M28:M33,3)</f>
        <v>262061.16239999997</v>
      </c>
      <c r="N36" s="154">
        <f t="shared" si="10"/>
        <v>9.9878482506288577</v>
      </c>
      <c r="O36" s="154">
        <f t="shared" si="10"/>
        <v>8.1429661212891897</v>
      </c>
      <c r="P36" s="154">
        <f t="shared" si="10"/>
        <v>7.9754810198718822</v>
      </c>
      <c r="Q36" s="154">
        <f t="shared" si="10"/>
        <v>29.56032648641332</v>
      </c>
      <c r="R36" s="154">
        <f t="shared" si="10"/>
        <v>22.686331853006102</v>
      </c>
      <c r="S36" s="154">
        <f t="shared" si="10"/>
        <v>20.032959706455678</v>
      </c>
      <c r="T36" s="154">
        <f t="shared" si="10"/>
        <v>38.392141244405948</v>
      </c>
      <c r="U36" s="154">
        <f t="shared" si="10"/>
        <v>27.085085705701577</v>
      </c>
      <c r="V36" s="157">
        <f t="shared" si="10"/>
        <v>23.917239424332969</v>
      </c>
      <c r="W36" s="18"/>
      <c r="X36" s="18"/>
      <c r="Y36" s="18"/>
      <c r="Z36" s="18"/>
      <c r="AA36" s="18"/>
      <c r="AE36" s="356"/>
    </row>
    <row r="37" spans="2:31" ht="16">
      <c r="B37" s="182" t="s">
        <v>190</v>
      </c>
      <c r="C37" s="183"/>
      <c r="D37" s="184"/>
      <c r="E37" s="184"/>
      <c r="F37" s="185">
        <f>MEDIAN(F28:F33)</f>
        <v>186580.09999999998</v>
      </c>
      <c r="G37" s="185"/>
      <c r="H37" s="185"/>
      <c r="I37" s="186"/>
      <c r="J37" s="186"/>
      <c r="K37" s="186"/>
      <c r="L37" s="186"/>
      <c r="M37" s="185">
        <f t="shared" ref="M37:V37" si="11">MEDIAN(M28:M33)</f>
        <v>190767.09999999998</v>
      </c>
      <c r="N37" s="187">
        <f t="shared" si="11"/>
        <v>8.8724494979038688</v>
      </c>
      <c r="O37" s="187">
        <f t="shared" si="11"/>
        <v>7.7133528300220746</v>
      </c>
      <c r="P37" s="187">
        <f t="shared" si="11"/>
        <v>6.8112063001949315</v>
      </c>
      <c r="Q37" s="187">
        <f t="shared" si="11"/>
        <v>21.142105807272969</v>
      </c>
      <c r="R37" s="187">
        <f t="shared" si="11"/>
        <v>19.434286685654396</v>
      </c>
      <c r="S37" s="187">
        <f t="shared" si="11"/>
        <v>19.034560906615475</v>
      </c>
      <c r="T37" s="187">
        <f t="shared" si="11"/>
        <v>29.366255731625081</v>
      </c>
      <c r="U37" s="187">
        <f t="shared" si="11"/>
        <v>23.504669748438875</v>
      </c>
      <c r="V37" s="188">
        <f t="shared" si="11"/>
        <v>20.48696854693118</v>
      </c>
      <c r="W37" s="18"/>
      <c r="X37" s="18"/>
      <c r="Y37" s="18"/>
      <c r="Z37" s="18"/>
      <c r="AA37" s="18"/>
      <c r="AD37" s="356"/>
      <c r="AE37" s="356"/>
    </row>
    <row r="38" spans="2:31" ht="16">
      <c r="B38" s="143" t="s">
        <v>191</v>
      </c>
      <c r="C38" s="100"/>
      <c r="D38" s="102"/>
      <c r="E38" s="102"/>
      <c r="F38" s="144">
        <f>QUARTILE(F28:F33,1)</f>
        <v>94642.456099999996</v>
      </c>
      <c r="G38" s="144"/>
      <c r="H38" s="144"/>
      <c r="I38" s="144"/>
      <c r="J38" s="144"/>
      <c r="K38" s="144"/>
      <c r="L38" s="144"/>
      <c r="M38" s="144">
        <f t="shared" ref="M38:V38" si="12">QUARTILE(M28:M33,1)</f>
        <v>91004.714499999987</v>
      </c>
      <c r="N38" s="154">
        <f t="shared" si="12"/>
        <v>5.8357121847284263</v>
      </c>
      <c r="O38" s="154">
        <f t="shared" si="12"/>
        <v>5.5746678366634068</v>
      </c>
      <c r="P38" s="154">
        <f t="shared" si="12"/>
        <v>5.0910208554003713</v>
      </c>
      <c r="Q38" s="154">
        <f t="shared" si="12"/>
        <v>18.303451237175619</v>
      </c>
      <c r="R38" s="154">
        <f t="shared" si="12"/>
        <v>17.420836989573147</v>
      </c>
      <c r="S38" s="154">
        <f t="shared" si="12"/>
        <v>15.909440173126161</v>
      </c>
      <c r="T38" s="154">
        <f t="shared" si="12"/>
        <v>25.799239491150438</v>
      </c>
      <c r="U38" s="154">
        <f t="shared" si="12"/>
        <v>21.763850892055572</v>
      </c>
      <c r="V38" s="157">
        <f t="shared" si="12"/>
        <v>19.158319447232014</v>
      </c>
      <c r="W38" s="18"/>
      <c r="X38" s="18"/>
      <c r="Y38" s="18"/>
      <c r="Z38" s="18"/>
      <c r="AA38" s="18"/>
      <c r="AE38" s="356"/>
    </row>
    <row r="39" spans="2:31" ht="16">
      <c r="B39" s="146" t="s">
        <v>192</v>
      </c>
      <c r="C39" s="147"/>
      <c r="D39" s="148"/>
      <c r="E39" s="148"/>
      <c r="F39" s="149">
        <f>MIN(F28:F33)</f>
        <v>87100.314499999993</v>
      </c>
      <c r="G39" s="149"/>
      <c r="H39" s="149"/>
      <c r="I39" s="149"/>
      <c r="J39" s="149"/>
      <c r="K39" s="149"/>
      <c r="L39" s="149"/>
      <c r="M39" s="149">
        <f t="shared" ref="M39:V39" si="13">MIN(M28:M33)</f>
        <v>90986.456099999996</v>
      </c>
      <c r="N39" s="158">
        <f t="shared" si="13"/>
        <v>4.8962347928751084</v>
      </c>
      <c r="O39" s="158">
        <f t="shared" si="13"/>
        <v>4.5377523566961155</v>
      </c>
      <c r="P39" s="158">
        <f t="shared" si="13"/>
        <v>4.0733863166033348</v>
      </c>
      <c r="Q39" s="158">
        <f t="shared" si="13"/>
        <v>16.277056313993171</v>
      </c>
      <c r="R39" s="158">
        <f t="shared" si="13"/>
        <v>15.075589224904039</v>
      </c>
      <c r="S39" s="158">
        <f t="shared" si="13"/>
        <v>13.532844905658918</v>
      </c>
      <c r="T39" s="158">
        <f t="shared" si="13"/>
        <v>23.328187355188561</v>
      </c>
      <c r="U39" s="158">
        <f t="shared" si="13"/>
        <v>21.060603666245253</v>
      </c>
      <c r="V39" s="159">
        <f t="shared" si="13"/>
        <v>17.619692465096605</v>
      </c>
      <c r="W39" s="18"/>
      <c r="X39" s="18"/>
      <c r="Y39" s="18"/>
      <c r="Z39" s="18"/>
      <c r="AA39" s="18"/>
      <c r="AE39" s="356"/>
    </row>
    <row r="40" spans="2:31" ht="16"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E40" s="356"/>
    </row>
    <row r="41" spans="2:31" ht="16">
      <c r="B41" s="671" t="str">
        <f>INDEX(Pub_Comps_Range,MATCH(B$24,Pub_Comps_Params,0),MATCH($C41,Pub_Comps_Tickers,0))</f>
        <v>Applied Materials</v>
      </c>
      <c r="C41" s="173" t="str">
        <f>Ticker</f>
        <v>AMAT</v>
      </c>
      <c r="D41" s="174"/>
      <c r="E41" s="174"/>
      <c r="F41" s="672">
        <f>INDEX(Pub_Comps_Range,MATCH(F$24,Pub_Comps_Params,0),MATCH($C41,Pub_Comps_Tickers,0))</f>
        <v>144723.42000000001</v>
      </c>
      <c r="G41" s="672"/>
      <c r="H41" s="672"/>
      <c r="I41" s="672"/>
      <c r="J41" s="672"/>
      <c r="K41" s="672"/>
      <c r="L41" s="672"/>
      <c r="M41" s="672">
        <f t="shared" ref="M41:V41" si="14">INDEX(Pub_Comps_Range,MATCH(M$24,Pub_Comps_Params,0),MATCH($C41,Pub_Comps_Tickers,0))</f>
        <v>140726.42000000001</v>
      </c>
      <c r="N41" s="673">
        <f t="shared" si="14"/>
        <v>5.1783345599057995</v>
      </c>
      <c r="O41" s="673">
        <f t="shared" si="14"/>
        <v>4.9890561101706528</v>
      </c>
      <c r="P41" s="673">
        <f t="shared" si="14"/>
        <v>4.7578628902989939</v>
      </c>
      <c r="Q41" s="673">
        <f t="shared" si="14"/>
        <v>17.039159704564717</v>
      </c>
      <c r="R41" s="673">
        <f t="shared" si="14"/>
        <v>16.08671003769145</v>
      </c>
      <c r="S41" s="673">
        <f t="shared" si="14"/>
        <v>15.292711622965236</v>
      </c>
      <c r="T41" s="673">
        <f t="shared" si="14"/>
        <v>20.164890622822909</v>
      </c>
      <c r="U41" s="673">
        <f t="shared" si="14"/>
        <v>20.625432671586385</v>
      </c>
      <c r="V41" s="677">
        <f t="shared" si="14"/>
        <v>19.564595287838202</v>
      </c>
      <c r="W41" s="18"/>
      <c r="X41" s="18"/>
      <c r="Y41" s="18"/>
      <c r="Z41" s="18"/>
      <c r="AA41" s="18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7A2CE-B792-4183-8642-33FE89C78565}">
  <dimension ref="B3:AH104"/>
  <sheetViews>
    <sheetView showGridLines="0" zoomScale="68" workbookViewId="0">
      <pane xSplit="4" ySplit="7" topLeftCell="E55" activePane="bottomRight" state="frozen"/>
      <selection pane="topRight" activeCell="E1" sqref="E1"/>
      <selection pane="bottomLeft" activeCell="A8" sqref="A8"/>
      <selection pane="bottomRight" activeCell="J67" sqref="J67"/>
    </sheetView>
  </sheetViews>
  <sheetFormatPr defaultRowHeight="14.5"/>
  <cols>
    <col min="3" max="3" width="24.81640625" customWidth="1"/>
    <col min="5" max="7" width="11.54296875" bestFit="1" customWidth="1"/>
    <col min="8" max="8" width="12.7265625" bestFit="1" customWidth="1"/>
    <col min="9" max="11" width="13.7265625" bestFit="1" customWidth="1"/>
    <col min="12" max="12" width="11.54296875" bestFit="1" customWidth="1"/>
    <col min="13" max="13" width="13.26953125" bestFit="1" customWidth="1"/>
    <col min="14" max="14" width="13.7265625" bestFit="1" customWidth="1"/>
    <col min="15" max="17" width="11.54296875" bestFit="1" customWidth="1"/>
    <col min="18" max="18" width="14.26953125" bestFit="1" customWidth="1"/>
    <col min="19" max="19" width="13.7265625" bestFit="1" customWidth="1"/>
    <col min="20" max="22" width="11.54296875" bestFit="1" customWidth="1"/>
    <col min="23" max="23" width="18.453125" bestFit="1" customWidth="1"/>
    <col min="24" max="24" width="13.7265625" bestFit="1" customWidth="1"/>
    <col min="25" max="28" width="11.54296875" bestFit="1" customWidth="1"/>
    <col min="30" max="33" width="11.54296875" bestFit="1" customWidth="1"/>
    <col min="34" max="34" width="10.453125" bestFit="1" customWidth="1"/>
  </cols>
  <sheetData>
    <row r="3" spans="2:34" ht="16">
      <c r="B3" s="353"/>
      <c r="C3" s="354" t="s">
        <v>3</v>
      </c>
      <c r="D3" s="355"/>
      <c r="E3" s="372"/>
      <c r="F3" s="372"/>
      <c r="G3" s="373"/>
      <c r="H3" s="371" t="s">
        <v>197</v>
      </c>
      <c r="I3" s="356"/>
      <c r="J3" s="372"/>
      <c r="K3" s="372"/>
      <c r="L3" s="373"/>
      <c r="M3" s="371" t="s">
        <v>199</v>
      </c>
      <c r="N3" s="356"/>
      <c r="O3" s="372"/>
      <c r="P3" s="372"/>
      <c r="Q3" s="373"/>
      <c r="R3" s="371" t="s">
        <v>355</v>
      </c>
      <c r="S3" s="356"/>
      <c r="T3" s="372"/>
      <c r="U3" s="372"/>
      <c r="V3" s="373"/>
      <c r="W3" s="371" t="s">
        <v>359</v>
      </c>
      <c r="X3" s="356"/>
      <c r="Y3" s="372"/>
      <c r="Z3" s="372"/>
      <c r="AA3" s="373"/>
      <c r="AB3" s="371" t="s">
        <v>362</v>
      </c>
      <c r="AC3" s="356"/>
      <c r="AD3" s="372"/>
      <c r="AE3" s="372"/>
      <c r="AF3" s="373"/>
      <c r="AG3" s="371" t="s">
        <v>48</v>
      </c>
      <c r="AH3" s="630"/>
    </row>
    <row r="4" spans="2:34" ht="16">
      <c r="B4" s="353"/>
      <c r="C4" s="354" t="s">
        <v>1</v>
      </c>
      <c r="D4" s="355"/>
      <c r="E4" s="372"/>
      <c r="F4" s="372"/>
      <c r="G4" s="373"/>
      <c r="H4" s="428" t="s">
        <v>196</v>
      </c>
      <c r="I4" s="356"/>
      <c r="J4" s="372"/>
      <c r="K4" s="372"/>
      <c r="L4" s="373"/>
      <c r="M4" s="428" t="s">
        <v>198</v>
      </c>
      <c r="N4" s="356"/>
      <c r="O4" s="372"/>
      <c r="P4" s="372"/>
      <c r="Q4" s="373"/>
      <c r="R4" s="428" t="s">
        <v>356</v>
      </c>
      <c r="S4" s="356"/>
      <c r="T4" s="372"/>
      <c r="U4" s="372"/>
      <c r="V4" s="373"/>
      <c r="W4" s="428" t="s">
        <v>360</v>
      </c>
      <c r="X4" s="356"/>
      <c r="Y4" s="372"/>
      <c r="Z4" s="372"/>
      <c r="AA4" s="373"/>
      <c r="AB4" s="428" t="s">
        <v>363</v>
      </c>
      <c r="AC4" s="356"/>
      <c r="AD4" s="372"/>
      <c r="AE4" s="372"/>
      <c r="AF4" s="373"/>
      <c r="AG4" s="428" t="s">
        <v>47</v>
      </c>
      <c r="AH4" s="631"/>
    </row>
    <row r="5" spans="2:34" ht="16">
      <c r="B5" s="353"/>
      <c r="C5" s="355"/>
      <c r="D5" s="355"/>
      <c r="E5" s="376" t="s">
        <v>301</v>
      </c>
      <c r="F5" s="374"/>
      <c r="G5" s="374"/>
      <c r="H5" s="374"/>
      <c r="I5" s="356"/>
      <c r="J5" s="376" t="s">
        <v>301</v>
      </c>
      <c r="K5" s="374"/>
      <c r="L5" s="374"/>
      <c r="M5" s="374"/>
      <c r="N5" s="356"/>
      <c r="O5" s="376" t="s">
        <v>301</v>
      </c>
      <c r="P5" s="374"/>
      <c r="Q5" s="374"/>
      <c r="R5" s="374"/>
      <c r="S5" s="356"/>
      <c r="T5" s="376" t="s">
        <v>301</v>
      </c>
      <c r="U5" s="374"/>
      <c r="V5" s="374"/>
      <c r="W5" s="374"/>
      <c r="X5" s="356"/>
      <c r="Y5" s="376" t="s">
        <v>301</v>
      </c>
      <c r="Z5" s="374"/>
      <c r="AA5" s="374"/>
      <c r="AB5" s="374"/>
      <c r="AC5" s="356"/>
      <c r="AD5" s="376" t="s">
        <v>301</v>
      </c>
      <c r="AE5" s="374"/>
      <c r="AF5" s="374"/>
      <c r="AG5" s="374"/>
      <c r="AH5" s="425"/>
    </row>
    <row r="6" spans="2:34" ht="16">
      <c r="B6" s="353"/>
      <c r="C6" s="355"/>
      <c r="D6" s="355"/>
      <c r="E6" s="377">
        <v>45193</v>
      </c>
      <c r="F6" s="377">
        <v>45559</v>
      </c>
      <c r="G6" s="377">
        <v>45473</v>
      </c>
      <c r="H6" s="377">
        <f>+F6</f>
        <v>45559</v>
      </c>
      <c r="I6" s="356"/>
      <c r="J6" s="377">
        <v>45193</v>
      </c>
      <c r="K6" s="377">
        <v>45559</v>
      </c>
      <c r="L6" s="377">
        <v>45473</v>
      </c>
      <c r="M6" s="377">
        <f>+K6</f>
        <v>45559</v>
      </c>
      <c r="N6" s="356"/>
      <c r="O6" s="377">
        <v>45199</v>
      </c>
      <c r="P6" s="377">
        <v>45565</v>
      </c>
      <c r="Q6" s="377">
        <v>45473</v>
      </c>
      <c r="R6" s="377">
        <f>+P6</f>
        <v>45565</v>
      </c>
      <c r="S6" s="356"/>
      <c r="T6" s="377">
        <v>45137</v>
      </c>
      <c r="U6" s="377">
        <v>45390</v>
      </c>
      <c r="V6" s="377">
        <v>45594</v>
      </c>
      <c r="W6" s="377">
        <f>+U6</f>
        <v>45390</v>
      </c>
      <c r="X6" s="356"/>
      <c r="Y6" s="377" t="s">
        <v>364</v>
      </c>
      <c r="Z6" s="377" t="s">
        <v>364</v>
      </c>
      <c r="AA6" s="377">
        <v>45564</v>
      </c>
      <c r="AB6" s="377">
        <v>45564</v>
      </c>
      <c r="AC6" s="356"/>
      <c r="AD6" s="377" t="s">
        <v>364</v>
      </c>
      <c r="AE6" s="377" t="s">
        <v>364</v>
      </c>
      <c r="AF6" s="377">
        <v>45610</v>
      </c>
      <c r="AG6" s="377">
        <v>45610</v>
      </c>
      <c r="AH6" s="632"/>
    </row>
    <row r="7" spans="2:34" ht="16">
      <c r="B7" s="353"/>
      <c r="C7" s="355"/>
      <c r="D7" s="355"/>
      <c r="E7" s="418" t="s">
        <v>302</v>
      </c>
      <c r="F7" s="418" t="s">
        <v>303</v>
      </c>
      <c r="G7" s="418" t="s">
        <v>304</v>
      </c>
      <c r="H7" s="418" t="s">
        <v>186</v>
      </c>
      <c r="I7" s="356"/>
      <c r="J7" s="383" t="s">
        <v>302</v>
      </c>
      <c r="K7" s="383" t="s">
        <v>303</v>
      </c>
      <c r="L7" s="383" t="s">
        <v>304</v>
      </c>
      <c r="M7" s="383" t="s">
        <v>186</v>
      </c>
      <c r="N7" s="356"/>
      <c r="O7" s="383" t="s">
        <v>302</v>
      </c>
      <c r="P7" s="383" t="s">
        <v>303</v>
      </c>
      <c r="Q7" s="383" t="s">
        <v>304</v>
      </c>
      <c r="R7" s="383" t="s">
        <v>186</v>
      </c>
      <c r="S7" s="356"/>
      <c r="T7" s="383" t="s">
        <v>302</v>
      </c>
      <c r="U7" s="383" t="s">
        <v>303</v>
      </c>
      <c r="V7" s="383" t="s">
        <v>304</v>
      </c>
      <c r="W7" s="383" t="s">
        <v>186</v>
      </c>
      <c r="X7" s="356"/>
      <c r="Y7" s="383" t="s">
        <v>302</v>
      </c>
      <c r="Z7" s="383" t="s">
        <v>303</v>
      </c>
      <c r="AA7" s="383" t="s">
        <v>304</v>
      </c>
      <c r="AB7" s="383" t="s">
        <v>186</v>
      </c>
      <c r="AC7" s="356"/>
      <c r="AD7" s="383" t="s">
        <v>302</v>
      </c>
      <c r="AE7" s="383" t="s">
        <v>303</v>
      </c>
      <c r="AF7" s="383" t="s">
        <v>304</v>
      </c>
      <c r="AG7" s="383" t="s">
        <v>186</v>
      </c>
      <c r="AH7" s="383"/>
    </row>
    <row r="8" spans="2:34" ht="16">
      <c r="B8" s="353"/>
      <c r="C8" s="354" t="s">
        <v>305</v>
      </c>
      <c r="D8" s="355"/>
      <c r="E8" s="386">
        <v>3482.06</v>
      </c>
      <c r="F8" s="386">
        <v>4167.9799999999996</v>
      </c>
      <c r="G8" s="386">
        <v>14905.4</v>
      </c>
      <c r="H8" s="385">
        <f>G8+F8-E8</f>
        <v>15591.319999999998</v>
      </c>
      <c r="I8" s="356"/>
      <c r="J8" s="386">
        <v>20321</v>
      </c>
      <c r="K8" s="386">
        <v>19000</v>
      </c>
      <c r="L8" s="386">
        <v>27559</v>
      </c>
      <c r="M8" s="419">
        <f>L8+K8-J8</f>
        <v>26238</v>
      </c>
      <c r="N8" s="356"/>
      <c r="O8" s="386">
        <v>2396</v>
      </c>
      <c r="P8" s="386">
        <v>2841</v>
      </c>
      <c r="Q8" s="386">
        <v>9812</v>
      </c>
      <c r="R8" s="385">
        <f t="shared" ref="R8:R13" si="0">+Q8+P8-O8</f>
        <v>10257</v>
      </c>
      <c r="S8" s="356"/>
      <c r="T8" s="386">
        <v>26524</v>
      </c>
      <c r="U8" s="386">
        <v>37520</v>
      </c>
      <c r="V8" s="386">
        <f>35819</f>
        <v>35819</v>
      </c>
      <c r="W8" s="385">
        <f t="shared" ref="W8:W13" si="1">+V8+U8-T8</f>
        <v>46815</v>
      </c>
      <c r="X8" s="356"/>
      <c r="Y8" s="386"/>
      <c r="Z8" s="386"/>
      <c r="AA8" s="386">
        <v>38962</v>
      </c>
      <c r="AB8" s="385">
        <f t="shared" ref="AB8" si="2">+AA8+Z8-Y8</f>
        <v>38962</v>
      </c>
      <c r="AC8" s="356"/>
      <c r="AD8" s="386"/>
      <c r="AE8" s="386"/>
      <c r="AF8" s="386">
        <v>27176</v>
      </c>
      <c r="AG8" s="385">
        <f t="shared" ref="AG8" si="3">+AF8+AE8-AD8</f>
        <v>27176</v>
      </c>
      <c r="AH8" s="385"/>
    </row>
    <row r="9" spans="2:34" ht="16">
      <c r="B9" s="353"/>
      <c r="C9" s="357" t="s">
        <v>306</v>
      </c>
      <c r="D9" s="358"/>
      <c r="E9" s="386">
        <v>887</v>
      </c>
      <c r="F9" s="386">
        <v>1116</v>
      </c>
      <c r="G9" s="386">
        <v>3828</v>
      </c>
      <c r="H9" s="387">
        <f>G9+F9-E9</f>
        <v>4057</v>
      </c>
      <c r="I9" s="356"/>
      <c r="J9" s="386">
        <v>5790</v>
      </c>
      <c r="K9" s="386">
        <v>4878</v>
      </c>
      <c r="L9" s="386">
        <v>7839</v>
      </c>
      <c r="M9" s="382">
        <f>L9+K9-J9</f>
        <v>6927</v>
      </c>
      <c r="N9" s="356"/>
      <c r="O9" s="386">
        <v>741</v>
      </c>
      <c r="P9" s="386">
        <v>945</v>
      </c>
      <c r="Q9" s="386">
        <v>2762</v>
      </c>
      <c r="R9" s="387">
        <f>+Q9+P9-O9</f>
        <v>2966</v>
      </c>
      <c r="S9" s="356"/>
      <c r="T9" s="386">
        <v>10558</v>
      </c>
      <c r="U9" s="386">
        <v>10571</v>
      </c>
      <c r="V9" s="386">
        <v>14082</v>
      </c>
      <c r="W9" s="387">
        <f>+V9+U9-T9</f>
        <v>14095</v>
      </c>
      <c r="X9" s="356"/>
      <c r="Y9" s="386"/>
      <c r="Z9" s="386"/>
      <c r="AA9" s="386">
        <v>7232</v>
      </c>
      <c r="AB9" s="387">
        <f>+AA9+Z9-Y9</f>
        <v>7232</v>
      </c>
      <c r="AC9" s="356"/>
      <c r="AD9" s="386"/>
      <c r="AE9" s="386"/>
      <c r="AF9" s="386">
        <v>7177</v>
      </c>
      <c r="AG9" s="387">
        <v>7177</v>
      </c>
      <c r="AH9" s="387"/>
    </row>
    <row r="10" spans="2:34" ht="16">
      <c r="B10" s="353"/>
      <c r="C10" s="355"/>
      <c r="D10" s="355"/>
      <c r="E10" s="417"/>
      <c r="F10" s="417"/>
      <c r="G10" s="417"/>
      <c r="H10" s="417"/>
      <c r="I10" s="356"/>
      <c r="J10" s="388"/>
      <c r="K10" s="388"/>
      <c r="L10" s="388"/>
      <c r="M10" s="388"/>
      <c r="N10" s="356"/>
      <c r="O10" s="388"/>
      <c r="P10" s="388"/>
      <c r="Q10" s="388"/>
      <c r="R10" s="388"/>
      <c r="S10" s="356"/>
      <c r="T10" s="388"/>
      <c r="U10" s="388"/>
      <c r="V10" s="388"/>
      <c r="W10" s="388"/>
      <c r="X10" s="356"/>
      <c r="Y10" s="388"/>
      <c r="Z10" s="388"/>
      <c r="AA10" s="388"/>
      <c r="AB10" s="388"/>
      <c r="AC10" s="356"/>
      <c r="AD10" s="388"/>
      <c r="AE10" s="388"/>
      <c r="AF10" s="386"/>
      <c r="AG10" s="388"/>
      <c r="AH10" s="388"/>
    </row>
    <row r="11" spans="2:34" ht="16">
      <c r="B11" s="353"/>
      <c r="C11" s="354" t="s">
        <v>307</v>
      </c>
      <c r="D11" s="355"/>
      <c r="E11" s="386">
        <v>1033</v>
      </c>
      <c r="F11" s="386">
        <v>1264</v>
      </c>
      <c r="G11" s="386">
        <v>4325</v>
      </c>
      <c r="H11" s="387">
        <f t="shared" ref="H11:H13" si="4">G11+F11-E11</f>
        <v>4556</v>
      </c>
      <c r="I11" s="356"/>
      <c r="J11" s="386">
        <v>6650</v>
      </c>
      <c r="K11" s="386">
        <v>5667</v>
      </c>
      <c r="L11" s="386">
        <v>9042</v>
      </c>
      <c r="M11" s="382">
        <f>L11+K11-J11</f>
        <v>8059</v>
      </c>
      <c r="N11" s="356"/>
      <c r="O11" s="386">
        <v>899</v>
      </c>
      <c r="P11" s="386">
        <v>1119</v>
      </c>
      <c r="Q11" s="386">
        <v>3633</v>
      </c>
      <c r="R11" s="387">
        <f t="shared" si="0"/>
        <v>3853</v>
      </c>
      <c r="S11" s="356"/>
      <c r="T11" s="386">
        <v>12201</v>
      </c>
      <c r="U11" s="386">
        <v>10506</v>
      </c>
      <c r="V11" s="386">
        <v>16454</v>
      </c>
      <c r="W11" s="387">
        <f t="shared" si="1"/>
        <v>14759</v>
      </c>
      <c r="X11" s="356"/>
      <c r="Y11" s="386"/>
      <c r="Z11" s="386"/>
      <c r="AA11" s="386">
        <v>10253</v>
      </c>
      <c r="AB11" s="387">
        <f t="shared" ref="AB11:AB13" si="5">+AA11+Z11-Y11</f>
        <v>10253</v>
      </c>
      <c r="AC11" s="356"/>
      <c r="AD11" s="386"/>
      <c r="AE11" s="386"/>
      <c r="AF11" s="386">
        <v>7867</v>
      </c>
      <c r="AG11" s="387">
        <f t="shared" ref="AG11" si="6">+AF11+AE11-AD11</f>
        <v>7867</v>
      </c>
      <c r="AH11" s="387"/>
    </row>
    <row r="12" spans="2:34" ht="16">
      <c r="B12" s="353"/>
      <c r="C12" s="359" t="s">
        <v>308</v>
      </c>
      <c r="D12" s="358"/>
      <c r="E12" s="386">
        <v>10</v>
      </c>
      <c r="F12" s="386">
        <v>0</v>
      </c>
      <c r="G12" s="386">
        <v>61.5</v>
      </c>
      <c r="H12" s="387">
        <f t="shared" si="4"/>
        <v>51.5</v>
      </c>
      <c r="I12" s="356"/>
      <c r="J12" s="386">
        <v>0</v>
      </c>
      <c r="K12" s="386">
        <v>0</v>
      </c>
      <c r="L12" s="386">
        <v>0</v>
      </c>
      <c r="M12" s="387"/>
      <c r="N12" s="356"/>
      <c r="O12" s="386">
        <v>0</v>
      </c>
      <c r="P12" s="386">
        <v>0</v>
      </c>
      <c r="Q12" s="386">
        <f>3479-3190</f>
        <v>289</v>
      </c>
      <c r="R12" s="387">
        <f t="shared" si="0"/>
        <v>289</v>
      </c>
      <c r="S12" s="356"/>
      <c r="T12" s="386">
        <f>11364-10120</f>
        <v>1244</v>
      </c>
      <c r="U12" s="386">
        <f>7823-6153</f>
        <v>1670</v>
      </c>
      <c r="V12" s="386">
        <f>15334-15097</f>
        <v>237</v>
      </c>
      <c r="W12" s="387">
        <f t="shared" si="1"/>
        <v>663</v>
      </c>
      <c r="X12" s="356"/>
      <c r="Y12" s="386"/>
      <c r="Z12" s="386"/>
      <c r="AA12" s="386">
        <f>10408-10336</f>
        <v>72</v>
      </c>
      <c r="AB12" s="387">
        <f t="shared" si="5"/>
        <v>72</v>
      </c>
      <c r="AC12" s="356"/>
      <c r="AD12" s="386"/>
      <c r="AE12" s="386"/>
      <c r="AF12" s="386">
        <v>0</v>
      </c>
      <c r="AG12" s="387">
        <f t="shared" ref="AG12:AG13" si="7">+AF12+AE12-AD12</f>
        <v>0</v>
      </c>
      <c r="AH12" s="387"/>
    </row>
    <row r="13" spans="2:34" ht="16">
      <c r="B13" s="353"/>
      <c r="C13" s="359" t="s">
        <v>309</v>
      </c>
      <c r="D13" s="358"/>
      <c r="E13" s="386">
        <v>90.5</v>
      </c>
      <c r="F13" s="386">
        <v>94.3</v>
      </c>
      <c r="G13" s="386">
        <v>359.7</v>
      </c>
      <c r="H13" s="410">
        <f t="shared" si="4"/>
        <v>363.5</v>
      </c>
      <c r="I13" s="416"/>
      <c r="J13" s="386">
        <v>527.70000000000005</v>
      </c>
      <c r="K13" s="386">
        <v>677.6</v>
      </c>
      <c r="L13" s="386">
        <v>656.4</v>
      </c>
      <c r="M13" s="420">
        <f>L13+K13-J13</f>
        <v>806.3</v>
      </c>
      <c r="N13" s="356"/>
      <c r="O13" s="386">
        <v>39.1</v>
      </c>
      <c r="P13" s="386">
        <v>39.07</v>
      </c>
      <c r="Q13" s="386">
        <v>162.46</v>
      </c>
      <c r="R13" s="410">
        <f t="shared" si="0"/>
        <v>162.43</v>
      </c>
      <c r="S13" s="356"/>
      <c r="T13" s="386">
        <v>442</v>
      </c>
      <c r="U13" s="386">
        <v>547</v>
      </c>
      <c r="V13" s="386">
        <v>588</v>
      </c>
      <c r="W13" s="410">
        <f t="shared" si="1"/>
        <v>693</v>
      </c>
      <c r="X13" s="356"/>
      <c r="Y13" s="386"/>
      <c r="Z13" s="386"/>
      <c r="AA13" s="386">
        <v>1395</v>
      </c>
      <c r="AB13" s="410">
        <f t="shared" si="5"/>
        <v>1395</v>
      </c>
      <c r="AC13" s="356"/>
      <c r="AD13" s="386"/>
      <c r="AE13" s="386"/>
      <c r="AF13" s="386">
        <v>392</v>
      </c>
      <c r="AG13" s="410">
        <f t="shared" si="7"/>
        <v>392</v>
      </c>
      <c r="AH13" s="387"/>
    </row>
    <row r="14" spans="2:34" ht="16">
      <c r="B14" s="353"/>
      <c r="C14" s="360" t="s">
        <v>310</v>
      </c>
      <c r="D14" s="361"/>
      <c r="E14" s="389"/>
      <c r="F14" s="389"/>
      <c r="G14" s="389"/>
      <c r="H14" s="390">
        <f>SUM(H11:H13)</f>
        <v>4971</v>
      </c>
      <c r="I14" s="416"/>
      <c r="J14" s="389"/>
      <c r="K14" s="389"/>
      <c r="L14" s="389"/>
      <c r="M14" s="421">
        <f>SUM(M11:M13)</f>
        <v>8865.2999999999993</v>
      </c>
      <c r="N14" s="356"/>
      <c r="O14" s="389"/>
      <c r="P14" s="389"/>
      <c r="Q14" s="389"/>
      <c r="R14" s="390">
        <f>SUM(R11:R13)</f>
        <v>4304.43</v>
      </c>
      <c r="S14" s="356"/>
      <c r="T14" s="389"/>
      <c r="U14" s="389"/>
      <c r="V14" s="389"/>
      <c r="W14" s="390">
        <f>SUM(W11:W13)</f>
        <v>16115</v>
      </c>
      <c r="X14" s="356"/>
      <c r="Y14" s="389"/>
      <c r="Z14" s="389"/>
      <c r="AA14" s="389"/>
      <c r="AB14" s="390">
        <f>SUM(AB11:AB13)</f>
        <v>11720</v>
      </c>
      <c r="AC14" s="356"/>
      <c r="AD14" s="389"/>
      <c r="AE14" s="389"/>
      <c r="AF14" s="389"/>
      <c r="AG14" s="390">
        <f>SUM(AG11:AG13)</f>
        <v>8259</v>
      </c>
      <c r="AH14" s="390"/>
    </row>
    <row r="15" spans="2:34" ht="16">
      <c r="B15" s="353"/>
      <c r="C15" s="362"/>
      <c r="D15" s="358"/>
      <c r="E15" s="391"/>
      <c r="F15" s="391"/>
      <c r="G15" s="391"/>
      <c r="H15" s="391"/>
      <c r="I15" s="356"/>
      <c r="J15" s="391"/>
      <c r="K15" s="391"/>
      <c r="L15" s="391"/>
      <c r="M15" s="391"/>
      <c r="N15" s="356"/>
      <c r="O15" s="391"/>
      <c r="P15" s="391"/>
      <c r="Q15" s="391"/>
      <c r="R15" s="391"/>
      <c r="S15" s="356"/>
      <c r="T15" s="391"/>
      <c r="U15" s="391"/>
      <c r="V15" s="391"/>
      <c r="W15" s="391"/>
      <c r="X15" s="356"/>
      <c r="Y15" s="391"/>
      <c r="Z15" s="391"/>
      <c r="AA15" s="391"/>
      <c r="AB15" s="391"/>
      <c r="AC15" s="356"/>
      <c r="AD15" s="391"/>
      <c r="AE15" s="391"/>
      <c r="AF15" s="391"/>
      <c r="AG15" s="391"/>
      <c r="AH15" s="391"/>
    </row>
    <row r="16" spans="2:34" ht="16">
      <c r="B16" s="353"/>
      <c r="C16" s="354" t="s">
        <v>8</v>
      </c>
      <c r="D16" s="355"/>
      <c r="E16" s="392"/>
      <c r="F16" s="392"/>
      <c r="G16" s="392"/>
      <c r="H16" s="393">
        <f>532.5/4360.2</f>
        <v>0.12212742534746113</v>
      </c>
      <c r="I16" s="356"/>
      <c r="J16" s="392"/>
      <c r="K16" s="392"/>
      <c r="L16" s="392"/>
      <c r="M16" s="393">
        <f>1342.4/8268.7</f>
        <v>0.1623471646087051</v>
      </c>
      <c r="N16" s="363"/>
      <c r="O16" s="392"/>
      <c r="P16" s="392"/>
      <c r="Q16" s="392"/>
      <c r="R16" s="393">
        <f>450.6/3417</f>
        <v>0.13187006145741881</v>
      </c>
      <c r="S16" s="356"/>
      <c r="T16" s="392"/>
      <c r="U16" s="392"/>
      <c r="V16" s="392"/>
      <c r="W16" s="393">
        <f>4633/11793</f>
        <v>0.39286017128805223</v>
      </c>
      <c r="X16" s="356"/>
      <c r="Y16" s="392"/>
      <c r="Z16" s="392"/>
      <c r="AA16" s="392"/>
      <c r="AB16" s="393">
        <f>226/10336</f>
        <v>2.186532507739938E-2</v>
      </c>
      <c r="AC16" s="356"/>
      <c r="AD16" s="392"/>
      <c r="AE16" s="392"/>
      <c r="AF16" s="392"/>
      <c r="AG16" s="393">
        <f>975/8152</f>
        <v>0.11960255152109912</v>
      </c>
      <c r="AH16" s="393"/>
    </row>
    <row r="17" spans="2:34" ht="16">
      <c r="B17" s="353"/>
      <c r="C17" s="355"/>
      <c r="D17" s="355"/>
      <c r="E17" s="355"/>
      <c r="F17" s="355"/>
      <c r="G17" s="394"/>
      <c r="H17" s="392"/>
      <c r="I17" s="356"/>
      <c r="J17" s="355"/>
      <c r="K17" s="355"/>
      <c r="L17" s="394"/>
      <c r="M17" s="392"/>
      <c r="N17" s="356"/>
      <c r="O17" s="355"/>
      <c r="P17" s="355"/>
      <c r="Q17" s="394"/>
      <c r="R17" s="392"/>
      <c r="S17" s="356"/>
      <c r="T17" s="355"/>
      <c r="U17" s="355"/>
      <c r="V17" s="394"/>
      <c r="W17" s="392"/>
      <c r="X17" s="356"/>
      <c r="Y17" s="355"/>
      <c r="Z17" s="355"/>
      <c r="AA17" s="394"/>
      <c r="AB17" s="392"/>
      <c r="AC17" s="356"/>
      <c r="AD17" s="355"/>
      <c r="AE17" s="355"/>
      <c r="AF17" s="394"/>
      <c r="AG17" s="392"/>
      <c r="AH17" s="392"/>
    </row>
    <row r="18" spans="2:34" ht="16">
      <c r="B18" s="353"/>
      <c r="C18" s="358"/>
      <c r="D18" s="358"/>
      <c r="E18" s="378" t="s">
        <v>311</v>
      </c>
      <c r="F18" s="395"/>
      <c r="G18" s="395"/>
      <c r="H18" s="395"/>
      <c r="I18" s="356"/>
      <c r="J18" s="378" t="s">
        <v>311</v>
      </c>
      <c r="K18" s="395"/>
      <c r="L18" s="395"/>
      <c r="M18" s="395"/>
      <c r="N18" s="356"/>
      <c r="O18" s="378" t="s">
        <v>311</v>
      </c>
      <c r="P18" s="395"/>
      <c r="Q18" s="395"/>
      <c r="R18" s="395"/>
      <c r="S18" s="356"/>
      <c r="T18" s="378" t="s">
        <v>311</v>
      </c>
      <c r="U18" s="395"/>
      <c r="V18" s="395"/>
      <c r="W18" s="395"/>
      <c r="X18" s="356"/>
      <c r="Y18" s="378" t="s">
        <v>311</v>
      </c>
      <c r="Z18" s="395"/>
      <c r="AA18" s="395"/>
      <c r="AB18" s="395"/>
      <c r="AC18" s="356"/>
      <c r="AD18" s="378" t="s">
        <v>311</v>
      </c>
      <c r="AE18" s="395"/>
      <c r="AF18" s="395"/>
      <c r="AG18" s="395"/>
      <c r="AH18" s="633"/>
    </row>
    <row r="19" spans="2:34" ht="16">
      <c r="B19" s="353"/>
      <c r="C19" s="357" t="s">
        <v>312</v>
      </c>
      <c r="D19" s="362"/>
      <c r="E19" s="523"/>
      <c r="F19" s="522"/>
      <c r="G19" s="522"/>
      <c r="H19" s="384">
        <v>-6067.5</v>
      </c>
      <c r="I19" s="356"/>
      <c r="J19" s="523"/>
      <c r="K19" s="522"/>
      <c r="L19" s="522"/>
      <c r="M19" s="384">
        <v>-7004</v>
      </c>
      <c r="N19" s="356"/>
      <c r="O19" s="523"/>
      <c r="P19" s="522"/>
      <c r="Q19" s="522"/>
      <c r="R19" s="385">
        <v>-1977</v>
      </c>
      <c r="S19" s="356"/>
      <c r="T19" s="523"/>
      <c r="U19" s="522"/>
      <c r="V19" s="522"/>
      <c r="W19" s="385">
        <v>-1173</v>
      </c>
      <c r="X19" s="356"/>
      <c r="Y19" s="523"/>
      <c r="Z19" s="522"/>
      <c r="AA19" s="522"/>
      <c r="AB19" s="384">
        <v>-7849</v>
      </c>
      <c r="AC19" s="356"/>
      <c r="AD19" s="523"/>
      <c r="AE19" s="522"/>
      <c r="AF19" s="522"/>
      <c r="AG19" s="384">
        <v>-7177</v>
      </c>
      <c r="AH19" s="384"/>
    </row>
    <row r="20" spans="2:34" ht="16">
      <c r="B20" s="353"/>
      <c r="C20" s="357" t="s">
        <v>313</v>
      </c>
      <c r="D20" s="362"/>
      <c r="E20" s="523"/>
      <c r="F20" s="522"/>
      <c r="G20" s="522"/>
      <c r="H20" s="526">
        <v>0</v>
      </c>
      <c r="I20" s="356"/>
      <c r="J20" s="523"/>
      <c r="K20" s="522"/>
      <c r="L20" s="522"/>
      <c r="M20" s="526">
        <v>-930.9</v>
      </c>
      <c r="N20" s="356"/>
      <c r="O20" s="523"/>
      <c r="P20" s="522"/>
      <c r="Q20" s="522"/>
      <c r="R20" s="526">
        <v>0</v>
      </c>
      <c r="S20" s="356"/>
      <c r="T20" s="523"/>
      <c r="U20" s="522"/>
      <c r="V20" s="522"/>
      <c r="W20" s="526">
        <v>0</v>
      </c>
      <c r="X20" s="356"/>
      <c r="Y20" s="523"/>
      <c r="Z20" s="522"/>
      <c r="AA20" s="522"/>
      <c r="AB20" s="526">
        <v>-1341</v>
      </c>
      <c r="AC20" s="356"/>
      <c r="AD20" s="523"/>
      <c r="AE20" s="522"/>
      <c r="AF20" s="522"/>
      <c r="AG20" s="526">
        <v>-2281</v>
      </c>
      <c r="AH20" s="526"/>
    </row>
    <row r="21" spans="2:34" ht="16">
      <c r="B21" s="353"/>
      <c r="C21" s="357" t="s">
        <v>314</v>
      </c>
      <c r="D21" s="362"/>
      <c r="E21" s="523"/>
      <c r="F21" s="522"/>
      <c r="G21" s="522"/>
      <c r="H21" s="526">
        <v>-2067.5</v>
      </c>
      <c r="I21" s="356"/>
      <c r="J21" s="523"/>
      <c r="K21" s="522"/>
      <c r="L21" s="522"/>
      <c r="M21" s="526">
        <v>-640.5</v>
      </c>
      <c r="N21" s="356"/>
      <c r="O21" s="523"/>
      <c r="P21" s="522"/>
      <c r="Q21" s="522"/>
      <c r="R21" s="526">
        <v>0</v>
      </c>
      <c r="S21" s="356"/>
      <c r="T21" s="523"/>
      <c r="U21" s="522"/>
      <c r="V21" s="522"/>
      <c r="W21" s="526">
        <v>0</v>
      </c>
      <c r="X21" s="356"/>
      <c r="Y21" s="523"/>
      <c r="Z21" s="522"/>
      <c r="AA21" s="522"/>
      <c r="AB21" s="526">
        <v>0</v>
      </c>
      <c r="AC21" s="356"/>
      <c r="AD21" s="523"/>
      <c r="AE21" s="522"/>
      <c r="AF21" s="522"/>
      <c r="AG21" s="526">
        <v>0</v>
      </c>
      <c r="AH21" s="526"/>
    </row>
    <row r="22" spans="2:34" ht="16">
      <c r="B22" s="353"/>
      <c r="C22" s="357" t="s">
        <v>164</v>
      </c>
      <c r="D22" s="362"/>
      <c r="E22" s="523"/>
      <c r="F22" s="522"/>
      <c r="G22" s="522"/>
      <c r="H22" s="526">
        <v>0</v>
      </c>
      <c r="I22" s="356"/>
      <c r="J22" s="523"/>
      <c r="K22" s="522"/>
      <c r="L22" s="522"/>
      <c r="M22" s="526">
        <v>0</v>
      </c>
      <c r="N22" s="356"/>
      <c r="O22" s="523"/>
      <c r="P22" s="522"/>
      <c r="Q22" s="522"/>
      <c r="R22" s="526">
        <v>0</v>
      </c>
      <c r="S22" s="356"/>
      <c r="T22" s="523"/>
      <c r="U22" s="522"/>
      <c r="V22" s="522"/>
      <c r="W22" s="526">
        <v>0</v>
      </c>
      <c r="X22" s="356"/>
      <c r="Y22" s="523"/>
      <c r="Z22" s="522"/>
      <c r="AA22" s="522"/>
      <c r="AB22" s="526">
        <v>0</v>
      </c>
      <c r="AC22" s="356"/>
      <c r="AD22" s="523"/>
      <c r="AE22" s="522"/>
      <c r="AF22" s="522"/>
      <c r="AG22" s="526">
        <v>0</v>
      </c>
      <c r="AH22" s="526"/>
    </row>
    <row r="23" spans="2:34" ht="16">
      <c r="B23" s="353"/>
      <c r="C23" s="357" t="s">
        <v>315</v>
      </c>
      <c r="D23" s="362"/>
      <c r="E23" s="523"/>
      <c r="F23" s="522"/>
      <c r="G23" s="522"/>
      <c r="H23" s="526">
        <v>4479</v>
      </c>
      <c r="I23" s="356"/>
      <c r="J23" s="523"/>
      <c r="K23" s="522"/>
      <c r="L23" s="522"/>
      <c r="M23" s="526">
        <v>4694.2</v>
      </c>
      <c r="N23" s="356"/>
      <c r="O23" s="523"/>
      <c r="P23" s="522"/>
      <c r="Q23" s="522"/>
      <c r="R23" s="526">
        <v>5881.4</v>
      </c>
      <c r="S23" s="356"/>
      <c r="T23" s="523"/>
      <c r="U23" s="522"/>
      <c r="V23" s="522"/>
      <c r="W23" s="526">
        <f>1056+11357</f>
        <v>12413</v>
      </c>
      <c r="X23" s="356"/>
      <c r="Y23" s="523"/>
      <c r="Z23" s="522"/>
      <c r="AA23" s="522"/>
      <c r="AB23" s="526">
        <v>13270</v>
      </c>
      <c r="AC23" s="356"/>
      <c r="AD23" s="523"/>
      <c r="AE23" s="522"/>
      <c r="AF23" s="522"/>
      <c r="AG23" s="526">
        <v>5461</v>
      </c>
      <c r="AH23" s="526"/>
    </row>
    <row r="24" spans="2:34" ht="16">
      <c r="B24" s="353"/>
      <c r="C24" s="357" t="s">
        <v>166</v>
      </c>
      <c r="D24" s="362"/>
      <c r="E24" s="523"/>
      <c r="F24" s="522"/>
      <c r="G24" s="522"/>
      <c r="H24" s="526">
        <v>0</v>
      </c>
      <c r="I24" s="356"/>
      <c r="J24" s="523"/>
      <c r="K24" s="522"/>
      <c r="L24" s="522"/>
      <c r="M24" s="526">
        <v>0</v>
      </c>
      <c r="N24" s="356"/>
      <c r="O24" s="523"/>
      <c r="P24" s="522"/>
      <c r="Q24" s="522"/>
      <c r="R24" s="526">
        <v>0</v>
      </c>
      <c r="S24" s="356"/>
      <c r="T24" s="523"/>
      <c r="U24" s="522"/>
      <c r="V24" s="522"/>
      <c r="W24" s="526">
        <v>0</v>
      </c>
      <c r="X24" s="356"/>
      <c r="Y24" s="523"/>
      <c r="Z24" s="522"/>
      <c r="AA24" s="522"/>
      <c r="AB24" s="526">
        <v>0</v>
      </c>
      <c r="AC24" s="356"/>
      <c r="AD24" s="523"/>
      <c r="AE24" s="522"/>
      <c r="AF24" s="522"/>
      <c r="AG24" s="526">
        <v>0</v>
      </c>
      <c r="AH24" s="526"/>
    </row>
    <row r="25" spans="2:34" ht="16">
      <c r="B25" s="353"/>
      <c r="C25" s="357" t="s">
        <v>168</v>
      </c>
      <c r="D25" s="362"/>
      <c r="E25" s="523"/>
      <c r="F25" s="522"/>
      <c r="G25" s="522"/>
      <c r="H25" s="526">
        <v>0</v>
      </c>
      <c r="I25" s="527"/>
      <c r="J25" s="523"/>
      <c r="K25" s="522"/>
      <c r="L25" s="522"/>
      <c r="M25" s="526">
        <v>0</v>
      </c>
      <c r="N25" s="356"/>
      <c r="O25" s="523"/>
      <c r="P25" s="522"/>
      <c r="Q25" s="522"/>
      <c r="R25" s="526">
        <v>0</v>
      </c>
      <c r="S25" s="356"/>
      <c r="T25" s="523"/>
      <c r="U25" s="522"/>
      <c r="V25" s="522"/>
      <c r="W25" s="526">
        <v>0</v>
      </c>
      <c r="X25" s="356"/>
      <c r="Y25" s="523"/>
      <c r="Z25" s="522"/>
      <c r="AA25" s="522"/>
      <c r="AB25" s="526">
        <v>0</v>
      </c>
      <c r="AC25" s="356"/>
      <c r="AD25" s="523"/>
      <c r="AE25" s="522"/>
      <c r="AF25" s="522"/>
      <c r="AG25" s="526">
        <v>0</v>
      </c>
      <c r="AH25" s="526"/>
    </row>
    <row r="26" spans="2:34" ht="16">
      <c r="B26" s="353"/>
      <c r="C26" s="357" t="s">
        <v>316</v>
      </c>
      <c r="D26" s="362"/>
      <c r="E26" s="523"/>
      <c r="F26" s="522"/>
      <c r="G26" s="522"/>
      <c r="H26" s="526">
        <v>0</v>
      </c>
      <c r="I26" s="356"/>
      <c r="J26" s="523"/>
      <c r="K26" s="522"/>
      <c r="L26" s="522"/>
      <c r="M26" s="526">
        <v>0</v>
      </c>
      <c r="N26" s="356"/>
      <c r="O26" s="523"/>
      <c r="P26" s="522"/>
      <c r="Q26" s="522"/>
      <c r="R26" s="526">
        <v>0</v>
      </c>
      <c r="S26" s="356"/>
      <c r="T26" s="523"/>
      <c r="U26" s="522"/>
      <c r="V26" s="522"/>
      <c r="W26" s="526">
        <v>0</v>
      </c>
      <c r="X26" s="356"/>
      <c r="Y26" s="523"/>
      <c r="Z26" s="522"/>
      <c r="AA26" s="522"/>
      <c r="AB26" s="526">
        <v>0</v>
      </c>
      <c r="AC26" s="356"/>
      <c r="AD26" s="523"/>
      <c r="AE26" s="522"/>
      <c r="AF26" s="522"/>
      <c r="AG26" s="526">
        <v>0</v>
      </c>
      <c r="AH26" s="526"/>
    </row>
    <row r="27" spans="2:34" ht="16">
      <c r="B27" s="353"/>
      <c r="C27" s="357" t="s">
        <v>317</v>
      </c>
      <c r="D27" s="362"/>
      <c r="E27" s="523"/>
      <c r="F27" s="522"/>
      <c r="G27" s="522"/>
      <c r="H27" s="526">
        <v>0</v>
      </c>
      <c r="I27" s="356"/>
      <c r="J27" s="523"/>
      <c r="K27" s="522"/>
      <c r="L27" s="522"/>
      <c r="M27" s="526">
        <v>0</v>
      </c>
      <c r="N27" s="356"/>
      <c r="O27" s="523"/>
      <c r="P27" s="522"/>
      <c r="Q27" s="522"/>
      <c r="R27" s="526">
        <v>0</v>
      </c>
      <c r="S27" s="356"/>
      <c r="T27" s="523"/>
      <c r="U27" s="522"/>
      <c r="V27" s="522"/>
      <c r="W27" s="526"/>
      <c r="X27" s="356"/>
      <c r="Y27" s="523"/>
      <c r="Z27" s="522"/>
      <c r="AA27" s="522"/>
      <c r="AB27" s="526">
        <v>107</v>
      </c>
      <c r="AC27" s="356"/>
      <c r="AD27" s="523"/>
      <c r="AE27" s="522"/>
      <c r="AF27" s="522"/>
      <c r="AG27" s="526"/>
      <c r="AH27" s="526"/>
    </row>
    <row r="28" spans="2:34" ht="16">
      <c r="B28" s="353"/>
      <c r="C28" s="355"/>
      <c r="D28" s="355"/>
      <c r="E28" s="355"/>
      <c r="F28" s="355"/>
      <c r="G28" s="355"/>
      <c r="H28" s="355"/>
      <c r="I28" s="356"/>
      <c r="J28" s="355"/>
      <c r="K28" s="355"/>
      <c r="L28" s="355"/>
      <c r="M28" s="355"/>
      <c r="N28" s="356"/>
      <c r="O28" s="355"/>
      <c r="P28" s="355"/>
      <c r="Q28" s="355"/>
      <c r="R28" s="355"/>
      <c r="S28" s="356"/>
      <c r="T28" s="355"/>
      <c r="U28" s="355"/>
      <c r="V28" s="355"/>
      <c r="W28" s="355"/>
      <c r="X28" s="356"/>
      <c r="Y28" s="355"/>
      <c r="Z28" s="355"/>
      <c r="AA28" s="355"/>
      <c r="AB28" s="355"/>
      <c r="AC28" s="356"/>
      <c r="AD28" s="355"/>
      <c r="AE28" s="355"/>
      <c r="AF28" s="355"/>
      <c r="AG28" s="355"/>
      <c r="AH28" s="355"/>
    </row>
    <row r="29" spans="2:34" ht="16">
      <c r="B29" s="353"/>
      <c r="C29" s="355"/>
      <c r="D29" s="355"/>
      <c r="E29" s="378" t="s">
        <v>318</v>
      </c>
      <c r="F29" s="379"/>
      <c r="G29" s="379"/>
      <c r="H29" s="380"/>
      <c r="I29" s="356"/>
      <c r="J29" s="378" t="s">
        <v>318</v>
      </c>
      <c r="K29" s="379"/>
      <c r="L29" s="379"/>
      <c r="M29" s="380"/>
      <c r="N29" s="356"/>
      <c r="O29" s="378" t="s">
        <v>318</v>
      </c>
      <c r="P29" s="379"/>
      <c r="Q29" s="379"/>
      <c r="R29" s="380"/>
      <c r="S29" s="356"/>
      <c r="T29" s="378" t="s">
        <v>318</v>
      </c>
      <c r="U29" s="379"/>
      <c r="V29" s="379"/>
      <c r="W29" s="380"/>
      <c r="X29" s="356"/>
      <c r="Y29" s="378" t="s">
        <v>318</v>
      </c>
      <c r="Z29" s="379"/>
      <c r="AA29" s="379"/>
      <c r="AB29" s="380"/>
      <c r="AC29" s="356"/>
      <c r="AD29" s="378" t="s">
        <v>318</v>
      </c>
      <c r="AE29" s="379"/>
      <c r="AF29" s="379"/>
      <c r="AG29" s="380"/>
      <c r="AH29" s="522"/>
    </row>
    <row r="30" spans="2:34" ht="16">
      <c r="B30" s="353"/>
      <c r="C30" s="355"/>
      <c r="D30" s="355"/>
      <c r="E30" s="377">
        <f>Forward_Year_1</f>
        <v>45961</v>
      </c>
      <c r="F30" s="377">
        <f>Forward_Year_2</f>
        <v>46326</v>
      </c>
      <c r="G30" s="377">
        <f>Forward_Year_3</f>
        <v>46691</v>
      </c>
      <c r="H30" s="381"/>
      <c r="I30" s="356"/>
      <c r="J30" s="377">
        <f>Forward_Year_1</f>
        <v>45961</v>
      </c>
      <c r="K30" s="377">
        <f>Forward_Year_2</f>
        <v>46326</v>
      </c>
      <c r="L30" s="377">
        <f>Forward_Year_3</f>
        <v>46691</v>
      </c>
      <c r="M30" s="381"/>
      <c r="N30" s="356"/>
      <c r="O30" s="377">
        <f>Forward_Year_1</f>
        <v>45961</v>
      </c>
      <c r="P30" s="377">
        <f>Forward_Year_2</f>
        <v>46326</v>
      </c>
      <c r="Q30" s="377">
        <f>Forward_Year_3</f>
        <v>46691</v>
      </c>
      <c r="R30" s="381"/>
      <c r="S30" s="356"/>
      <c r="T30" s="377">
        <f>Forward_Year_1</f>
        <v>45961</v>
      </c>
      <c r="U30" s="377">
        <f>Forward_Year_2</f>
        <v>46326</v>
      </c>
      <c r="V30" s="377">
        <f>Forward_Year_3</f>
        <v>46691</v>
      </c>
      <c r="W30" s="381"/>
      <c r="X30" s="356"/>
      <c r="Y30" s="377">
        <f>Forward_Year_1</f>
        <v>45961</v>
      </c>
      <c r="Z30" s="377">
        <f>Forward_Year_2</f>
        <v>46326</v>
      </c>
      <c r="AA30" s="377">
        <f>Forward_Year_3</f>
        <v>46691</v>
      </c>
      <c r="AB30" s="381"/>
      <c r="AC30" s="356"/>
      <c r="AD30" s="377">
        <f>Forward_Year_1</f>
        <v>45961</v>
      </c>
      <c r="AE30" s="377">
        <f>Forward_Year_2</f>
        <v>46326</v>
      </c>
      <c r="AF30" s="377">
        <f>Forward_Year_3</f>
        <v>46691</v>
      </c>
      <c r="AG30" s="381"/>
      <c r="AH30" s="522"/>
    </row>
    <row r="31" spans="2:34" ht="16">
      <c r="B31" s="353"/>
      <c r="C31" s="359" t="s">
        <v>17</v>
      </c>
      <c r="D31" s="358"/>
      <c r="E31" s="525">
        <f>G8*(1+0.095)</f>
        <v>16321.412999999999</v>
      </c>
      <c r="F31" s="525">
        <f>E31*(1+0.095)</f>
        <v>17871.947235</v>
      </c>
      <c r="G31" s="525">
        <f>F31*(1+0.095)</f>
        <v>19569.782222325</v>
      </c>
      <c r="H31" s="522"/>
      <c r="I31" s="356"/>
      <c r="J31" s="525">
        <v>33975</v>
      </c>
      <c r="K31" s="525">
        <v>38475</v>
      </c>
      <c r="L31" s="525">
        <f>K31*(1+0.132)</f>
        <v>43553.700000000004</v>
      </c>
      <c r="M31" s="522"/>
      <c r="N31" s="356"/>
      <c r="O31" s="525">
        <f>Q8*(1+0.139)</f>
        <v>11175.868</v>
      </c>
      <c r="P31" s="525">
        <f>O31*(1+0.021)</f>
        <v>11410.561227999999</v>
      </c>
      <c r="Q31" s="525">
        <f>P31*(1+0.021)</f>
        <v>11650.183013787997</v>
      </c>
      <c r="R31" s="522"/>
      <c r="S31" s="356"/>
      <c r="T31" s="525">
        <f>V8*(1+0.079)</f>
        <v>38648.701000000001</v>
      </c>
      <c r="U31" s="525">
        <f>T31*(1+0.114)</f>
        <v>43054.652914000006</v>
      </c>
      <c r="V31" s="525">
        <f>U31*(1+0.114)</f>
        <v>47962.883346196009</v>
      </c>
      <c r="W31" s="522"/>
      <c r="X31" s="356"/>
      <c r="Y31" s="525">
        <f>AB8*(1+0.079)</f>
        <v>42039.998</v>
      </c>
      <c r="Z31" s="525">
        <f>Y31*(1+0.114)</f>
        <v>46832.557772000007</v>
      </c>
      <c r="AA31" s="525">
        <f>Z31*(1+0.114)</f>
        <v>52171.469358008013</v>
      </c>
      <c r="AB31" s="522"/>
      <c r="AC31" s="356"/>
      <c r="AD31" s="525">
        <f>DCF!L56</f>
        <v>28207.022910228687</v>
      </c>
      <c r="AE31" s="525">
        <f>DCF!M56</f>
        <v>29577.653506353243</v>
      </c>
      <c r="AF31" s="525">
        <f>DCF!N56</f>
        <v>31316.528779159173</v>
      </c>
      <c r="AG31" s="522"/>
      <c r="AH31" s="522"/>
    </row>
    <row r="32" spans="2:34" ht="16">
      <c r="B32" s="353"/>
      <c r="C32" s="359" t="s">
        <v>96</v>
      </c>
      <c r="D32" s="358"/>
      <c r="E32" s="382">
        <f>E31*0.32</f>
        <v>5222.8521599999995</v>
      </c>
      <c r="F32" s="382">
        <f t="shared" ref="F32:G32" si="8">F31*0.32</f>
        <v>5719.0231151999997</v>
      </c>
      <c r="G32" s="382">
        <f t="shared" si="8"/>
        <v>6262.330311144</v>
      </c>
      <c r="H32" s="522"/>
      <c r="I32" s="356"/>
      <c r="J32" s="382">
        <f>J31*0.34</f>
        <v>11551.5</v>
      </c>
      <c r="K32" s="382">
        <f t="shared" ref="K32:L32" si="9">K31*0.34</f>
        <v>13081.500000000002</v>
      </c>
      <c r="L32" s="382">
        <f t="shared" si="9"/>
        <v>14808.258000000003</v>
      </c>
      <c r="M32" s="522"/>
      <c r="N32" s="356"/>
      <c r="O32" s="382">
        <f>O31*0.419</f>
        <v>4682.6886919999997</v>
      </c>
      <c r="P32" s="382">
        <f t="shared" ref="P32:Q32" si="10">P31*0.419</f>
        <v>4781.0251545319989</v>
      </c>
      <c r="Q32" s="382">
        <f t="shared" si="10"/>
        <v>4881.4266827771708</v>
      </c>
      <c r="R32" s="522"/>
      <c r="S32" s="356"/>
      <c r="T32" s="382">
        <f>T31*0.334</f>
        <v>12908.666134000001</v>
      </c>
      <c r="U32" s="382">
        <f t="shared" ref="U32:V32" si="11">U31*0.334</f>
        <v>14380.254073276003</v>
      </c>
      <c r="V32" s="382">
        <f t="shared" si="11"/>
        <v>16019.603037629468</v>
      </c>
      <c r="W32" s="522"/>
      <c r="X32" s="356"/>
      <c r="Y32" s="382">
        <f>Y31*0.301</f>
        <v>12654.039397999999</v>
      </c>
      <c r="Z32" s="382">
        <f t="shared" ref="Z32:AA32" si="12">Z31*0.301</f>
        <v>14096.599889372003</v>
      </c>
      <c r="AA32" s="382">
        <f t="shared" si="12"/>
        <v>15703.612276760412</v>
      </c>
      <c r="AB32" s="522"/>
      <c r="AC32" s="356"/>
      <c r="AD32" s="382">
        <f>DCF!L79</f>
        <v>8747.9925771195904</v>
      </c>
      <c r="AE32" s="382">
        <f>DCF!M79</f>
        <v>9202.1888249477997</v>
      </c>
      <c r="AF32" s="382">
        <f>DCF!N79</f>
        <v>9767.1405018221212</v>
      </c>
      <c r="AG32" s="522"/>
      <c r="AH32" s="522"/>
    </row>
    <row r="33" spans="2:34" ht="16">
      <c r="B33" s="353"/>
      <c r="C33" s="359" t="s">
        <v>319</v>
      </c>
      <c r="D33" s="358"/>
      <c r="E33" s="382">
        <f>G9*(1+0.136)</f>
        <v>4348.6080000000002</v>
      </c>
      <c r="F33" s="382">
        <f>E33*(1+0.136)</f>
        <v>4940.018688000001</v>
      </c>
      <c r="G33" s="382">
        <f>F33*(1+0.136)</f>
        <v>5611.8612295680014</v>
      </c>
      <c r="H33" s="522"/>
      <c r="I33" s="356"/>
      <c r="J33" s="382">
        <f>J31*0.289</f>
        <v>9818.7749999999996</v>
      </c>
      <c r="K33" s="382">
        <f t="shared" ref="K33:L33" si="13">K31*0.289</f>
        <v>11119.275</v>
      </c>
      <c r="L33" s="382">
        <f t="shared" si="13"/>
        <v>12587.0193</v>
      </c>
      <c r="M33" s="522"/>
      <c r="N33" s="356"/>
      <c r="O33" s="382">
        <f>Q11*(1+0.02)</f>
        <v>3705.66</v>
      </c>
      <c r="P33" s="382">
        <f>O33*(1+0.334)</f>
        <v>4943.3504400000002</v>
      </c>
      <c r="Q33" s="382">
        <f>P33*(1+0.334)</f>
        <v>6594.4294869600008</v>
      </c>
      <c r="R33" s="522"/>
      <c r="S33" s="356"/>
      <c r="T33" s="382">
        <f>V9*(1+0.225)</f>
        <v>17250.45</v>
      </c>
      <c r="U33" s="382">
        <f>T33*(1+0.028)</f>
        <v>17733.462600000003</v>
      </c>
      <c r="V33" s="382">
        <f>U33*(1+0.028)</f>
        <v>18229.999552800004</v>
      </c>
      <c r="W33" s="522"/>
      <c r="X33" s="356"/>
      <c r="Y33" s="382">
        <f>AB9*(1+0.225)</f>
        <v>8859.2000000000007</v>
      </c>
      <c r="Z33" s="382">
        <f>Y33*(1+0.028)</f>
        <v>9107.2576000000008</v>
      </c>
      <c r="AA33" s="382">
        <f>Z33*(1+0.028)</f>
        <v>9362.2608128000011</v>
      </c>
      <c r="AB33" s="522"/>
      <c r="AC33" s="356"/>
      <c r="AD33" s="382">
        <f>Model!L101</f>
        <v>7016.7458934992974</v>
      </c>
      <c r="AE33" s="382">
        <f>Model!M101</f>
        <v>7397.2100046436117</v>
      </c>
      <c r="AF33" s="382">
        <f>Model!N101</f>
        <v>7878.0374515538824</v>
      </c>
      <c r="AG33" s="522"/>
      <c r="AH33" s="522"/>
    </row>
    <row r="34" spans="2:34" ht="16">
      <c r="B34" s="364"/>
      <c r="C34" s="356"/>
      <c r="D34" s="356"/>
      <c r="E34" s="356"/>
      <c r="F34" s="356"/>
      <c r="G34" s="356"/>
      <c r="H34" s="356"/>
      <c r="I34" s="356"/>
      <c r="J34" s="422"/>
      <c r="K34" s="422"/>
      <c r="L34" s="356"/>
      <c r="M34" s="356"/>
      <c r="N34" s="356"/>
      <c r="O34" s="356"/>
      <c r="P34" s="356"/>
      <c r="Q34" s="356"/>
      <c r="R34" s="356"/>
      <c r="S34" s="356"/>
      <c r="T34" s="356"/>
      <c r="U34" s="356"/>
      <c r="V34" s="356"/>
      <c r="W34" s="356"/>
      <c r="X34" s="356"/>
      <c r="Y34" s="356"/>
      <c r="Z34" s="356"/>
      <c r="AA34" s="356"/>
      <c r="AB34" s="356"/>
      <c r="AC34" s="356"/>
      <c r="AD34" s="356"/>
      <c r="AE34" s="356"/>
      <c r="AF34" s="356"/>
      <c r="AG34" s="356"/>
      <c r="AH34" s="356"/>
    </row>
    <row r="35" spans="2:34" ht="16">
      <c r="B35" s="364"/>
      <c r="C35" s="356"/>
      <c r="D35" s="356"/>
      <c r="E35" s="378" t="s">
        <v>320</v>
      </c>
      <c r="F35" s="379"/>
      <c r="G35" s="379"/>
      <c r="H35" s="379"/>
      <c r="I35" s="356"/>
      <c r="J35" s="378" t="s">
        <v>320</v>
      </c>
      <c r="K35" s="379"/>
      <c r="L35" s="379"/>
      <c r="M35" s="379"/>
      <c r="N35" s="356"/>
      <c r="O35" s="378" t="s">
        <v>320</v>
      </c>
      <c r="P35" s="379"/>
      <c r="Q35" s="379"/>
      <c r="R35" s="379"/>
      <c r="S35" s="356"/>
      <c r="T35" s="378" t="s">
        <v>320</v>
      </c>
      <c r="U35" s="379"/>
      <c r="V35" s="379"/>
      <c r="W35" s="379"/>
      <c r="X35" s="356"/>
      <c r="Y35" s="378" t="s">
        <v>320</v>
      </c>
      <c r="Z35" s="379"/>
      <c r="AA35" s="379"/>
      <c r="AB35" s="379"/>
      <c r="AC35" s="356"/>
      <c r="AD35" s="378" t="s">
        <v>320</v>
      </c>
      <c r="AE35" s="379"/>
      <c r="AF35" s="379"/>
      <c r="AG35" s="379"/>
      <c r="AH35" s="634"/>
    </row>
    <row r="36" spans="2:34" ht="16">
      <c r="B36" s="364"/>
      <c r="C36" s="365" t="s">
        <v>321</v>
      </c>
      <c r="D36" s="365"/>
      <c r="E36" s="424"/>
      <c r="F36" s="425"/>
      <c r="G36" s="425"/>
      <c r="H36" s="396">
        <v>73.069999999999993</v>
      </c>
      <c r="I36" s="356"/>
      <c r="J36" s="424"/>
      <c r="K36" s="425"/>
      <c r="L36" s="425"/>
      <c r="M36" s="396">
        <v>672.88</v>
      </c>
      <c r="N36" s="356"/>
      <c r="O36" s="424"/>
      <c r="P36" s="425"/>
      <c r="Q36" s="425"/>
      <c r="R36" s="396">
        <v>639.54999999999995</v>
      </c>
      <c r="S36" s="356"/>
      <c r="T36" s="424"/>
      <c r="U36" s="425"/>
      <c r="V36" s="425"/>
      <c r="W36" s="396">
        <v>164.23</v>
      </c>
      <c r="X36" s="356"/>
      <c r="Y36" s="424"/>
      <c r="Z36" s="425"/>
      <c r="AA36" s="425"/>
      <c r="AB36" s="396">
        <v>156.79</v>
      </c>
      <c r="AC36" s="356"/>
      <c r="AD36" s="424"/>
      <c r="AE36" s="425"/>
      <c r="AF36" s="425"/>
      <c r="AG36" s="396">
        <f>SharePrice</f>
        <v>175.55</v>
      </c>
      <c r="AH36" s="396"/>
    </row>
    <row r="37" spans="2:34" ht="16">
      <c r="B37" s="364"/>
      <c r="C37" s="365" t="s">
        <v>322</v>
      </c>
      <c r="D37" s="365"/>
      <c r="E37" s="424"/>
      <c r="F37" s="425"/>
      <c r="G37" s="425"/>
      <c r="H37" s="524">
        <v>1286</v>
      </c>
      <c r="I37" s="356"/>
      <c r="J37" s="424"/>
      <c r="K37" s="425"/>
      <c r="L37" s="425"/>
      <c r="M37" s="524">
        <v>393.2</v>
      </c>
      <c r="N37" s="356"/>
      <c r="O37" s="424"/>
      <c r="P37" s="425"/>
      <c r="Q37" s="425"/>
      <c r="R37" s="397">
        <v>133.80000000000001</v>
      </c>
      <c r="S37" s="356"/>
      <c r="T37" s="424"/>
      <c r="U37" s="425"/>
      <c r="V37" s="425"/>
      <c r="W37" s="397">
        <v>4671.3999999999996</v>
      </c>
      <c r="X37" s="356"/>
      <c r="Y37" s="424"/>
      <c r="Z37" s="425"/>
      <c r="AA37" s="425"/>
      <c r="AB37" s="397">
        <v>1110</v>
      </c>
      <c r="AC37" s="356"/>
      <c r="AD37" s="424"/>
      <c r="AE37" s="425"/>
      <c r="AF37" s="425"/>
      <c r="AG37" s="397" t="s">
        <v>364</v>
      </c>
      <c r="AH37" s="397"/>
    </row>
    <row r="38" spans="2:34" ht="16">
      <c r="B38" s="364"/>
      <c r="C38" s="365" t="s">
        <v>323</v>
      </c>
      <c r="D38" s="365"/>
      <c r="E38" s="356"/>
      <c r="F38" s="356"/>
      <c r="G38" s="356"/>
      <c r="H38" s="356"/>
      <c r="I38" s="356"/>
      <c r="J38" s="356"/>
      <c r="K38" s="356"/>
      <c r="L38" s="356"/>
      <c r="M38" s="356"/>
      <c r="N38" s="356"/>
      <c r="O38" s="356"/>
      <c r="P38" s="356"/>
      <c r="Q38" s="356"/>
      <c r="R38" s="356"/>
      <c r="S38" s="356"/>
      <c r="T38" s="356"/>
      <c r="U38" s="356"/>
      <c r="V38" s="356"/>
      <c r="W38" s="356"/>
      <c r="X38" s="356"/>
      <c r="Y38" s="356"/>
      <c r="Z38" s="356"/>
      <c r="AA38" s="356"/>
      <c r="AB38" s="356"/>
      <c r="AC38" s="356"/>
      <c r="AD38" s="356"/>
      <c r="AE38" s="356"/>
      <c r="AF38" s="356"/>
      <c r="AG38" s="356"/>
      <c r="AH38" s="356"/>
    </row>
    <row r="39" spans="2:34" ht="16">
      <c r="B39" s="364"/>
      <c r="C39" s="356"/>
      <c r="D39" s="356"/>
      <c r="E39" s="356"/>
      <c r="F39" s="399" t="s">
        <v>324</v>
      </c>
      <c r="G39" s="399" t="s">
        <v>325</v>
      </c>
      <c r="H39" s="399" t="s">
        <v>326</v>
      </c>
      <c r="I39" s="356"/>
      <c r="J39" s="356"/>
      <c r="K39" s="399" t="s">
        <v>324</v>
      </c>
      <c r="L39" s="399" t="s">
        <v>325</v>
      </c>
      <c r="M39" s="399" t="s">
        <v>326</v>
      </c>
      <c r="N39" s="356"/>
      <c r="O39" s="356"/>
      <c r="P39" s="426" t="s">
        <v>324</v>
      </c>
      <c r="Q39" s="426" t="s">
        <v>325</v>
      </c>
      <c r="R39" s="426" t="s">
        <v>326</v>
      </c>
      <c r="S39" s="356"/>
      <c r="T39" s="356"/>
      <c r="U39" s="426" t="s">
        <v>324</v>
      </c>
      <c r="V39" s="426" t="s">
        <v>325</v>
      </c>
      <c r="W39" s="426" t="s">
        <v>326</v>
      </c>
      <c r="X39" s="356"/>
      <c r="Y39" s="356"/>
      <c r="Z39" s="426" t="s">
        <v>324</v>
      </c>
      <c r="AA39" s="426" t="s">
        <v>325</v>
      </c>
      <c r="AB39" s="426" t="s">
        <v>326</v>
      </c>
      <c r="AC39" s="356"/>
      <c r="AD39" s="356"/>
      <c r="AE39" s="426" t="s">
        <v>324</v>
      </c>
      <c r="AF39" s="426" t="s">
        <v>325</v>
      </c>
      <c r="AG39" s="426" t="s">
        <v>326</v>
      </c>
      <c r="AH39" s="426"/>
    </row>
    <row r="40" spans="2:34" ht="16">
      <c r="B40" s="364"/>
      <c r="C40" s="356"/>
      <c r="D40" s="356"/>
      <c r="E40" s="356"/>
      <c r="F40" s="400"/>
      <c r="G40" s="401"/>
      <c r="H40" s="366">
        <f t="shared" ref="H40:H48" si="14">IF(G40&lt;H$35,F40-((F40*G40)/H$35),0)</f>
        <v>0</v>
      </c>
      <c r="I40" s="356"/>
      <c r="J40" s="356"/>
      <c r="K40" s="400"/>
      <c r="L40" s="401"/>
      <c r="M40" s="366">
        <f>IF(L40&lt;M$35,K40-((K40*L40)/M$35),0)</f>
        <v>0</v>
      </c>
      <c r="N40" s="356"/>
      <c r="O40" s="356"/>
      <c r="P40" s="400"/>
      <c r="Q40" s="401"/>
      <c r="R40" s="366">
        <f>IF(Q40&lt;R$35,P40-((P40*Q40)/R$35),0)</f>
        <v>0</v>
      </c>
      <c r="S40" s="356"/>
      <c r="T40" s="356"/>
      <c r="U40" s="400"/>
      <c r="V40" s="401"/>
      <c r="W40" s="366">
        <f>IF(V40&lt;W$35,U40-((U40*V40)/W$35),0)</f>
        <v>0</v>
      </c>
      <c r="X40" s="356"/>
      <c r="Y40" s="356"/>
      <c r="Z40" s="400"/>
      <c r="AA40" s="401"/>
      <c r="AB40" s="366">
        <f>IF(AA40&lt;AB$35,Z40-((Z40*AA40)/AB$35),0)</f>
        <v>0</v>
      </c>
      <c r="AC40" s="356"/>
      <c r="AD40" s="356"/>
      <c r="AE40" s="400"/>
      <c r="AF40" s="401"/>
      <c r="AG40" s="366">
        <f>IF(AF40&lt;AG$35,AE40-((AE40*AF40)/AG$35),0)</f>
        <v>0</v>
      </c>
      <c r="AH40" s="366"/>
    </row>
    <row r="41" spans="2:34" ht="16">
      <c r="B41" s="364"/>
      <c r="C41" s="356"/>
      <c r="D41" s="356"/>
      <c r="E41" s="356"/>
      <c r="F41" s="400"/>
      <c r="G41" s="401"/>
      <c r="H41" s="366">
        <f t="shared" si="14"/>
        <v>0</v>
      </c>
      <c r="I41" s="356"/>
      <c r="J41" s="356"/>
      <c r="K41" s="400"/>
      <c r="L41" s="401"/>
      <c r="M41" s="366">
        <f t="shared" ref="M41:M45" si="15">IF(L41&lt;M$35,K41-((K41*L41)/M$35),0)</f>
        <v>0</v>
      </c>
      <c r="N41" s="356"/>
      <c r="O41" s="356"/>
      <c r="P41" s="400"/>
      <c r="Q41" s="401"/>
      <c r="R41" s="366">
        <f t="shared" ref="R41:R45" si="16">IF(Q41&lt;R$35,P41-((P41*Q41)/R$35),0)</f>
        <v>0</v>
      </c>
      <c r="S41" s="356"/>
      <c r="T41" s="356"/>
      <c r="U41" s="400"/>
      <c r="V41" s="401"/>
      <c r="W41" s="366">
        <f t="shared" ref="W41:W45" si="17">IF(V41&lt;W$35,U41-((U41*V41)/W$35),0)</f>
        <v>0</v>
      </c>
      <c r="X41" s="356"/>
      <c r="Y41" s="356"/>
      <c r="Z41" s="400"/>
      <c r="AA41" s="401"/>
      <c r="AB41" s="366">
        <f t="shared" ref="AB41:AB45" si="18">IF(AA41&lt;AB$35,Z41-((Z41*AA41)/AB$35),0)</f>
        <v>0</v>
      </c>
      <c r="AC41" s="356"/>
      <c r="AD41" s="356"/>
      <c r="AE41" s="400"/>
      <c r="AF41" s="401"/>
      <c r="AG41" s="366">
        <f t="shared" ref="AG41:AG45" si="19">IF(AF41&lt;AG$35,AE41-((AE41*AF41)/AG$35),0)</f>
        <v>0</v>
      </c>
      <c r="AH41" s="366"/>
    </row>
    <row r="42" spans="2:34" ht="16">
      <c r="B42" s="364"/>
      <c r="C42" s="356"/>
      <c r="D42" s="356"/>
      <c r="E42" s="356"/>
      <c r="F42" s="400"/>
      <c r="G42" s="401"/>
      <c r="H42" s="366">
        <f t="shared" si="14"/>
        <v>0</v>
      </c>
      <c r="I42" s="356"/>
      <c r="J42" s="356"/>
      <c r="K42" s="400"/>
      <c r="L42" s="401"/>
      <c r="M42" s="366">
        <f t="shared" si="15"/>
        <v>0</v>
      </c>
      <c r="N42" s="356"/>
      <c r="O42" s="356"/>
      <c r="P42" s="400"/>
      <c r="Q42" s="401"/>
      <c r="R42" s="366">
        <f t="shared" si="16"/>
        <v>0</v>
      </c>
      <c r="S42" s="356"/>
      <c r="T42" s="356"/>
      <c r="U42" s="400"/>
      <c r="V42" s="401"/>
      <c r="W42" s="366">
        <f t="shared" si="17"/>
        <v>0</v>
      </c>
      <c r="X42" s="356"/>
      <c r="Y42" s="356"/>
      <c r="Z42" s="400"/>
      <c r="AA42" s="401"/>
      <c r="AB42" s="366">
        <f t="shared" si="18"/>
        <v>0</v>
      </c>
      <c r="AC42" s="356"/>
      <c r="AD42" s="356"/>
      <c r="AE42" s="400"/>
      <c r="AF42" s="401"/>
      <c r="AG42" s="366">
        <f t="shared" si="19"/>
        <v>0</v>
      </c>
      <c r="AH42" s="366"/>
    </row>
    <row r="43" spans="2:34" ht="16">
      <c r="B43" s="364"/>
      <c r="C43" s="356"/>
      <c r="D43" s="356"/>
      <c r="E43" s="356"/>
      <c r="F43" s="400"/>
      <c r="G43" s="401"/>
      <c r="H43" s="366">
        <f t="shared" si="14"/>
        <v>0</v>
      </c>
      <c r="I43" s="356"/>
      <c r="J43" s="356"/>
      <c r="K43" s="400"/>
      <c r="L43" s="401"/>
      <c r="M43" s="366">
        <f t="shared" si="15"/>
        <v>0</v>
      </c>
      <c r="N43" s="356"/>
      <c r="O43" s="356"/>
      <c r="P43" s="400"/>
      <c r="Q43" s="401"/>
      <c r="R43" s="366">
        <f t="shared" si="16"/>
        <v>0</v>
      </c>
      <c r="S43" s="356"/>
      <c r="T43" s="356"/>
      <c r="U43" s="400"/>
      <c r="V43" s="401"/>
      <c r="W43" s="366">
        <f t="shared" si="17"/>
        <v>0</v>
      </c>
      <c r="X43" s="356"/>
      <c r="Y43" s="356"/>
      <c r="Z43" s="400"/>
      <c r="AA43" s="401"/>
      <c r="AB43" s="366">
        <f t="shared" si="18"/>
        <v>0</v>
      </c>
      <c r="AC43" s="356"/>
      <c r="AD43" s="356"/>
      <c r="AE43" s="400"/>
      <c r="AF43" s="401"/>
      <c r="AG43" s="366">
        <f t="shared" si="19"/>
        <v>0</v>
      </c>
      <c r="AH43" s="366"/>
    </row>
    <row r="44" spans="2:34" ht="16">
      <c r="B44" s="364"/>
      <c r="C44" s="356"/>
      <c r="D44" s="356"/>
      <c r="E44" s="356"/>
      <c r="F44" s="400"/>
      <c r="G44" s="401"/>
      <c r="H44" s="366">
        <f t="shared" si="14"/>
        <v>0</v>
      </c>
      <c r="I44" s="356"/>
      <c r="J44" s="356"/>
      <c r="K44" s="400"/>
      <c r="L44" s="401"/>
      <c r="M44" s="366">
        <f t="shared" si="15"/>
        <v>0</v>
      </c>
      <c r="N44" s="356"/>
      <c r="O44" s="356"/>
      <c r="P44" s="400"/>
      <c r="Q44" s="401"/>
      <c r="R44" s="366">
        <f t="shared" si="16"/>
        <v>0</v>
      </c>
      <c r="S44" s="356"/>
      <c r="T44" s="356"/>
      <c r="U44" s="400"/>
      <c r="V44" s="401"/>
      <c r="W44" s="366">
        <f t="shared" si="17"/>
        <v>0</v>
      </c>
      <c r="X44" s="356"/>
      <c r="Y44" s="356"/>
      <c r="Z44" s="400"/>
      <c r="AA44" s="401"/>
      <c r="AB44" s="366">
        <f t="shared" si="18"/>
        <v>0</v>
      </c>
      <c r="AC44" s="356"/>
      <c r="AD44" s="356"/>
      <c r="AE44" s="400"/>
      <c r="AF44" s="401"/>
      <c r="AG44" s="366">
        <f t="shared" si="19"/>
        <v>0</v>
      </c>
      <c r="AH44" s="366"/>
    </row>
    <row r="45" spans="2:34" ht="16">
      <c r="B45" s="364"/>
      <c r="C45" s="356"/>
      <c r="D45" s="356"/>
      <c r="E45" s="356"/>
      <c r="F45" s="400"/>
      <c r="G45" s="401"/>
      <c r="H45" s="366">
        <f t="shared" si="14"/>
        <v>0</v>
      </c>
      <c r="I45" s="356"/>
      <c r="J45" s="356"/>
      <c r="K45" s="400"/>
      <c r="L45" s="401"/>
      <c r="M45" s="366">
        <f t="shared" si="15"/>
        <v>0</v>
      </c>
      <c r="N45" s="356"/>
      <c r="O45" s="356"/>
      <c r="P45" s="400"/>
      <c r="Q45" s="401"/>
      <c r="R45" s="366">
        <f t="shared" si="16"/>
        <v>0</v>
      </c>
      <c r="S45" s="356"/>
      <c r="T45" s="356"/>
      <c r="U45" s="400"/>
      <c r="V45" s="401"/>
      <c r="W45" s="366">
        <f t="shared" si="17"/>
        <v>0</v>
      </c>
      <c r="X45" s="356"/>
      <c r="Y45" s="356"/>
      <c r="Z45" s="400"/>
      <c r="AA45" s="401"/>
      <c r="AB45" s="366">
        <f t="shared" si="18"/>
        <v>0</v>
      </c>
      <c r="AC45" s="356"/>
      <c r="AD45" s="356"/>
      <c r="AE45" s="400"/>
      <c r="AF45" s="401"/>
      <c r="AG45" s="366">
        <f t="shared" si="19"/>
        <v>0</v>
      </c>
      <c r="AH45" s="366"/>
    </row>
    <row r="46" spans="2:34" ht="16">
      <c r="B46" s="364"/>
      <c r="C46" s="356"/>
      <c r="D46" s="356"/>
      <c r="E46" s="356"/>
      <c r="F46" s="400"/>
      <c r="G46" s="401"/>
      <c r="H46" s="366">
        <f t="shared" si="14"/>
        <v>0</v>
      </c>
      <c r="I46" s="356"/>
      <c r="J46" s="356"/>
      <c r="K46" s="400"/>
      <c r="L46" s="401"/>
      <c r="M46" s="366">
        <f>IF(L46&lt;M$35,K46-((K46*L46)/M$35),0)</f>
        <v>0</v>
      </c>
      <c r="N46" s="356"/>
      <c r="O46" s="356"/>
      <c r="P46" s="400"/>
      <c r="Q46" s="401"/>
      <c r="R46" s="366">
        <f>IF(Q46&lt;R$35,P46-((P46*Q46)/R$35),0)</f>
        <v>0</v>
      </c>
      <c r="S46" s="356"/>
      <c r="T46" s="356"/>
      <c r="U46" s="400"/>
      <c r="V46" s="401"/>
      <c r="W46" s="366">
        <f>IF(V46&lt;W$35,U46-((U46*V46)/W$35),0)</f>
        <v>0</v>
      </c>
      <c r="X46" s="356"/>
      <c r="Y46" s="356"/>
      <c r="Z46" s="400"/>
      <c r="AA46" s="401"/>
      <c r="AB46" s="366">
        <f>IF(AA46&lt;AB$35,Z46-((Z46*AA46)/AB$35),0)</f>
        <v>0</v>
      </c>
      <c r="AC46" s="356"/>
      <c r="AD46" s="356"/>
      <c r="AE46" s="400"/>
      <c r="AF46" s="401"/>
      <c r="AG46" s="366">
        <f>IF(AF46&lt;AG$35,AE46-((AE46*AF46)/AG$35),0)</f>
        <v>0</v>
      </c>
      <c r="AH46" s="366"/>
    </row>
    <row r="47" spans="2:34" ht="16">
      <c r="B47" s="364"/>
      <c r="C47" s="356"/>
      <c r="D47" s="356"/>
      <c r="E47" s="356"/>
      <c r="F47" s="400"/>
      <c r="G47" s="401"/>
      <c r="H47" s="366">
        <f t="shared" si="14"/>
        <v>0</v>
      </c>
      <c r="I47" s="356"/>
      <c r="J47" s="356"/>
      <c r="K47" s="400"/>
      <c r="L47" s="401"/>
      <c r="M47" s="366">
        <f t="shared" ref="M47:M48" si="20">IF(L47&lt;M$35,K47-((K47*L47)/M$35),0)</f>
        <v>0</v>
      </c>
      <c r="N47" s="356"/>
      <c r="O47" s="356"/>
      <c r="P47" s="400"/>
      <c r="Q47" s="401"/>
      <c r="R47" s="366">
        <f t="shared" ref="R47:R48" si="21">IF(Q47&lt;R$35,P47-((P47*Q47)/R$35),0)</f>
        <v>0</v>
      </c>
      <c r="S47" s="356"/>
      <c r="T47" s="356"/>
      <c r="U47" s="400"/>
      <c r="V47" s="401"/>
      <c r="W47" s="366">
        <f t="shared" ref="W47:W48" si="22">IF(V47&lt;W$35,U47-((U47*V47)/W$35),0)</f>
        <v>0</v>
      </c>
      <c r="X47" s="356"/>
      <c r="Y47" s="356"/>
      <c r="Z47" s="400"/>
      <c r="AA47" s="401"/>
      <c r="AB47" s="366">
        <f t="shared" ref="AB47:AB48" si="23">IF(AA47&lt;AB$35,Z47-((Z47*AA47)/AB$35),0)</f>
        <v>0</v>
      </c>
      <c r="AC47" s="356"/>
      <c r="AD47" s="356"/>
      <c r="AE47" s="400"/>
      <c r="AF47" s="401"/>
      <c r="AG47" s="366">
        <f t="shared" ref="AG47:AG48" si="24">IF(AF47&lt;AG$35,AE47-((AE47*AF47)/AG$35),0)</f>
        <v>0</v>
      </c>
      <c r="AH47" s="366"/>
    </row>
    <row r="48" spans="2:34" ht="16">
      <c r="B48" s="364"/>
      <c r="C48" s="356"/>
      <c r="D48" s="356"/>
      <c r="E48" s="356"/>
      <c r="F48" s="400"/>
      <c r="G48" s="401"/>
      <c r="H48" s="366">
        <f t="shared" si="14"/>
        <v>0</v>
      </c>
      <c r="I48" s="366"/>
      <c r="J48" s="356"/>
      <c r="K48" s="400"/>
      <c r="L48" s="401"/>
      <c r="M48" s="366">
        <f t="shared" si="20"/>
        <v>0</v>
      </c>
      <c r="N48" s="356"/>
      <c r="O48" s="356"/>
      <c r="P48" s="400"/>
      <c r="Q48" s="401"/>
      <c r="R48" s="366">
        <f t="shared" si="21"/>
        <v>0</v>
      </c>
      <c r="S48" s="356"/>
      <c r="T48" s="356"/>
      <c r="U48" s="400"/>
      <c r="V48" s="401"/>
      <c r="W48" s="366">
        <f t="shared" si="22"/>
        <v>0</v>
      </c>
      <c r="X48" s="356"/>
      <c r="Y48" s="356"/>
      <c r="Z48" s="400"/>
      <c r="AA48" s="401"/>
      <c r="AB48" s="366">
        <f t="shared" si="23"/>
        <v>0</v>
      </c>
      <c r="AC48" s="356"/>
      <c r="AD48" s="356"/>
      <c r="AE48" s="400"/>
      <c r="AF48" s="401"/>
      <c r="AG48" s="366">
        <f t="shared" si="24"/>
        <v>0</v>
      </c>
      <c r="AH48" s="366"/>
    </row>
    <row r="49" spans="2:34" ht="16">
      <c r="B49" s="364"/>
      <c r="C49" s="356"/>
      <c r="D49" s="356"/>
      <c r="E49" s="356"/>
      <c r="F49" s="400"/>
      <c r="G49" s="401"/>
      <c r="H49" s="423"/>
      <c r="I49" s="356"/>
      <c r="J49" s="356"/>
      <c r="K49" s="400"/>
      <c r="L49" s="401"/>
      <c r="M49" s="423"/>
      <c r="N49" s="356"/>
      <c r="O49" s="356"/>
      <c r="P49" s="400"/>
      <c r="Q49" s="401"/>
      <c r="R49" s="423"/>
      <c r="S49" s="356"/>
      <c r="T49" s="356"/>
      <c r="U49" s="400"/>
      <c r="V49" s="401"/>
      <c r="W49" s="423"/>
      <c r="X49" s="356"/>
      <c r="Y49" s="356"/>
      <c r="Z49" s="400"/>
      <c r="AA49" s="401"/>
      <c r="AB49" s="423"/>
      <c r="AC49" s="356"/>
      <c r="AD49" s="356"/>
      <c r="AE49" s="400"/>
      <c r="AF49" s="401"/>
      <c r="AG49" s="423"/>
      <c r="AH49" s="423"/>
    </row>
    <row r="50" spans="2:34" ht="16">
      <c r="B50" s="364"/>
      <c r="C50" s="365" t="s">
        <v>327</v>
      </c>
      <c r="D50" s="356"/>
      <c r="E50" s="402" t="s">
        <v>328</v>
      </c>
      <c r="F50" s="402" t="s">
        <v>329</v>
      </c>
      <c r="G50" s="402" t="s">
        <v>330</v>
      </c>
      <c r="H50" s="402" t="s">
        <v>326</v>
      </c>
      <c r="I50" s="356"/>
      <c r="J50" s="402" t="s">
        <v>328</v>
      </c>
      <c r="K50" s="402" t="s">
        <v>329</v>
      </c>
      <c r="L50" s="402" t="s">
        <v>330</v>
      </c>
      <c r="M50" s="402" t="s">
        <v>326</v>
      </c>
      <c r="N50" s="356"/>
      <c r="O50" s="402" t="s">
        <v>328</v>
      </c>
      <c r="P50" s="402" t="s">
        <v>329</v>
      </c>
      <c r="Q50" s="402" t="s">
        <v>330</v>
      </c>
      <c r="R50" s="402" t="s">
        <v>326</v>
      </c>
      <c r="S50" s="356"/>
      <c r="T50" s="402" t="s">
        <v>328</v>
      </c>
      <c r="U50" s="402" t="s">
        <v>329</v>
      </c>
      <c r="V50" s="402" t="s">
        <v>330</v>
      </c>
      <c r="W50" s="402" t="s">
        <v>326</v>
      </c>
      <c r="X50" s="356"/>
      <c r="Y50" s="402" t="s">
        <v>328</v>
      </c>
      <c r="Z50" s="402" t="s">
        <v>329</v>
      </c>
      <c r="AA50" s="402" t="s">
        <v>330</v>
      </c>
      <c r="AB50" s="402" t="s">
        <v>326</v>
      </c>
      <c r="AC50" s="356"/>
      <c r="AD50" s="402" t="s">
        <v>328</v>
      </c>
      <c r="AE50" s="402" t="s">
        <v>329</v>
      </c>
      <c r="AF50" s="402" t="s">
        <v>330</v>
      </c>
      <c r="AG50" s="402" t="s">
        <v>326</v>
      </c>
      <c r="AH50" s="635"/>
    </row>
    <row r="51" spans="2:34" ht="16">
      <c r="B51" s="364"/>
      <c r="C51" s="356"/>
      <c r="D51" s="356"/>
      <c r="E51" s="403"/>
      <c r="F51" s="404"/>
      <c r="G51" s="396"/>
      <c r="H51" s="366">
        <f>IFERROR(IF(G51&gt;H$35,0,(+F51/G51)*E51/F51), 0)</f>
        <v>0</v>
      </c>
      <c r="I51" s="356"/>
      <c r="J51" s="403"/>
      <c r="K51" s="404"/>
      <c r="L51" s="396"/>
      <c r="M51" s="366">
        <f>IFERROR(IF(L51&gt;M$35,0,(+K51/L51)*J51/K51),0)</f>
        <v>0</v>
      </c>
      <c r="N51" s="356"/>
      <c r="O51" s="403"/>
      <c r="P51" s="404"/>
      <c r="Q51" s="396"/>
      <c r="R51" s="366">
        <f>IFERROR(IF(Q51&gt;R$35,0,(+P51/Q51)*O51/P51),0)</f>
        <v>0</v>
      </c>
      <c r="S51" s="367"/>
      <c r="T51" s="403"/>
      <c r="U51" s="404"/>
      <c r="V51" s="396"/>
      <c r="W51" s="366">
        <f>IFERROR(IF(V51&gt;W$35,0,(+U51/V51)*T51/U51),0)</f>
        <v>0</v>
      </c>
      <c r="X51" s="367"/>
      <c r="Y51" s="403"/>
      <c r="Z51" s="404"/>
      <c r="AA51" s="396"/>
      <c r="AB51" s="366">
        <f>IFERROR(IF(AA51&gt;AB$35,0,+Y51/AA51-(AB$35*(Y51/AA51)-Y51)*0.5/AB$35),0)</f>
        <v>0</v>
      </c>
      <c r="AC51" s="367"/>
      <c r="AD51" s="403"/>
      <c r="AE51" s="404"/>
      <c r="AF51" s="396"/>
      <c r="AG51" s="366">
        <f>IFERROR(IF(AF51&gt;AG$35,0,+AD51/AF51-(AG$35*(AD51/AF51)-AD51)*0.5/AG$35),0)</f>
        <v>0</v>
      </c>
      <c r="AH51" s="366"/>
    </row>
    <row r="52" spans="2:34" ht="16">
      <c r="B52" s="364"/>
      <c r="C52" s="356"/>
      <c r="D52" s="356"/>
      <c r="E52" s="403"/>
      <c r="F52" s="404"/>
      <c r="G52" s="396"/>
      <c r="H52" s="366">
        <f>IFERROR(IF(G52&gt;H$35,0,(+F52/G52)*E52/F52),0)</f>
        <v>0</v>
      </c>
      <c r="I52" s="356"/>
      <c r="J52" s="403"/>
      <c r="K52" s="404"/>
      <c r="L52" s="396"/>
      <c r="M52" s="366">
        <f>IFERROR(IF(L52&gt;M$35,0,(+K52/L52)*J52/K52),0)</f>
        <v>0</v>
      </c>
      <c r="N52" s="356"/>
      <c r="O52" s="403"/>
      <c r="P52" s="404"/>
      <c r="Q52" s="396"/>
      <c r="R52" s="366">
        <f>IFERROR(IF(Q52&gt;R$35,0,(+P52/Q52)*O52/P52),0)</f>
        <v>0</v>
      </c>
      <c r="S52" s="356"/>
      <c r="T52" s="403"/>
      <c r="U52" s="404"/>
      <c r="V52" s="396"/>
      <c r="W52" s="366">
        <f>IFERROR(IF(V52&gt;W$35,0,(+U52/V52)*T52/U52),0)</f>
        <v>0</v>
      </c>
      <c r="X52" s="356"/>
      <c r="Y52" s="403"/>
      <c r="Z52" s="404"/>
      <c r="AA52" s="396"/>
      <c r="AB52" s="366">
        <f>IFERROR(IF(AA52&gt;AB$35,0,(+Z52/AA52)*Y52/Z52),0)</f>
        <v>0</v>
      </c>
      <c r="AC52" s="356"/>
      <c r="AD52" s="403"/>
      <c r="AE52" s="404"/>
      <c r="AF52" s="396"/>
      <c r="AG52" s="366">
        <f>IFERROR(IF(AF52&gt;AG$35,0,(+AE52/AF52)*AD52/AE52),0)</f>
        <v>0</v>
      </c>
      <c r="AH52" s="366"/>
    </row>
    <row r="53" spans="2:34" ht="16">
      <c r="B53" s="364"/>
      <c r="C53" s="356"/>
      <c r="D53" s="356"/>
      <c r="E53" s="356"/>
      <c r="F53" s="400"/>
      <c r="G53" s="401"/>
      <c r="H53" s="423"/>
      <c r="I53" s="356"/>
      <c r="J53" s="356"/>
      <c r="K53" s="400"/>
      <c r="L53" s="401"/>
      <c r="M53" s="423"/>
      <c r="N53" s="356"/>
      <c r="O53" s="356"/>
      <c r="P53" s="400"/>
      <c r="Q53" s="401"/>
      <c r="R53" s="423"/>
      <c r="S53" s="356"/>
      <c r="T53" s="356"/>
      <c r="U53" s="400"/>
      <c r="V53" s="401"/>
      <c r="W53" s="423"/>
      <c r="X53" s="356"/>
      <c r="Y53" s="356"/>
      <c r="Z53" s="400"/>
      <c r="AA53" s="401"/>
      <c r="AB53" s="423"/>
      <c r="AC53" s="356"/>
      <c r="AD53" s="356"/>
      <c r="AE53" s="400"/>
      <c r="AF53" s="401"/>
      <c r="AG53" s="423"/>
      <c r="AH53" s="423"/>
    </row>
    <row r="54" spans="2:34" ht="16">
      <c r="B54" s="364"/>
      <c r="C54" s="356"/>
      <c r="D54" s="356"/>
      <c r="E54" s="356"/>
      <c r="F54" s="400"/>
      <c r="G54" s="426" t="s">
        <v>331</v>
      </c>
      <c r="H54" s="426" t="s">
        <v>326</v>
      </c>
      <c r="I54" s="356"/>
      <c r="J54" s="356"/>
      <c r="K54" s="400"/>
      <c r="L54" s="426" t="s">
        <v>331</v>
      </c>
      <c r="M54" s="426" t="s">
        <v>326</v>
      </c>
      <c r="N54" s="356"/>
      <c r="O54" s="356"/>
      <c r="P54" s="400"/>
      <c r="Q54" s="426" t="s">
        <v>331</v>
      </c>
      <c r="R54" s="426" t="s">
        <v>326</v>
      </c>
      <c r="S54" s="356"/>
      <c r="T54" s="356"/>
      <c r="U54" s="400"/>
      <c r="V54" s="426" t="s">
        <v>331</v>
      </c>
      <c r="W54" s="426" t="s">
        <v>326</v>
      </c>
      <c r="X54" s="356"/>
      <c r="Y54" s="356"/>
      <c r="Z54" s="400"/>
      <c r="AA54" s="426" t="s">
        <v>331</v>
      </c>
      <c r="AB54" s="426" t="s">
        <v>326</v>
      </c>
      <c r="AC54" s="356"/>
      <c r="AD54" s="356"/>
      <c r="AE54" s="400"/>
      <c r="AF54" s="426" t="s">
        <v>331</v>
      </c>
      <c r="AG54" s="426" t="s">
        <v>326</v>
      </c>
      <c r="AH54" s="426"/>
    </row>
    <row r="55" spans="2:34" ht="16">
      <c r="B55" s="364"/>
      <c r="C55" s="365" t="s">
        <v>332</v>
      </c>
      <c r="D55" s="356"/>
      <c r="E55" s="356"/>
      <c r="F55" s="400"/>
      <c r="G55" s="400">
        <f>(0.749+0.174)*10</f>
        <v>9.23</v>
      </c>
      <c r="H55" s="366">
        <f>+G55</f>
        <v>9.23</v>
      </c>
      <c r="I55" s="366"/>
      <c r="J55" s="356"/>
      <c r="K55" s="400"/>
      <c r="L55" s="400">
        <v>2.0299999999999998</v>
      </c>
      <c r="M55" s="366">
        <f>+L55</f>
        <v>2.0299999999999998</v>
      </c>
      <c r="N55" s="356"/>
      <c r="O55" s="356"/>
      <c r="P55" s="400"/>
      <c r="Q55" s="400">
        <v>2.3899999999999864</v>
      </c>
      <c r="R55" s="366">
        <f>+Q55</f>
        <v>2.3899999999999864</v>
      </c>
      <c r="S55" s="356"/>
      <c r="T55" s="356"/>
      <c r="U55" s="400"/>
      <c r="V55" s="400"/>
      <c r="W55" s="366">
        <f>+V55</f>
        <v>0</v>
      </c>
      <c r="X55" s="356"/>
      <c r="Y55" s="356"/>
      <c r="Z55" s="400"/>
      <c r="AA55" s="400">
        <v>80</v>
      </c>
      <c r="AB55" s="366">
        <f>+AA55</f>
        <v>80</v>
      </c>
      <c r="AC55" s="356"/>
      <c r="AD55" s="356"/>
      <c r="AE55" s="400"/>
      <c r="AF55" s="400" t="s">
        <v>364</v>
      </c>
      <c r="AG55" s="366"/>
      <c r="AH55" s="366"/>
    </row>
    <row r="56" spans="2:34" ht="16">
      <c r="B56" s="364"/>
      <c r="C56" s="365"/>
      <c r="D56" s="356"/>
      <c r="E56" s="356"/>
      <c r="F56" s="400"/>
      <c r="G56" s="400"/>
      <c r="H56" s="400"/>
      <c r="I56" s="356"/>
      <c r="J56" s="356"/>
      <c r="K56" s="400"/>
      <c r="L56" s="400"/>
      <c r="M56" s="400"/>
      <c r="N56" s="356"/>
      <c r="O56" s="356"/>
      <c r="P56" s="400"/>
      <c r="Q56" s="400"/>
      <c r="R56" s="400"/>
      <c r="S56" s="356"/>
      <c r="T56" s="356"/>
      <c r="U56" s="400"/>
      <c r="V56" s="400"/>
      <c r="W56" s="400"/>
      <c r="X56" s="356"/>
      <c r="Y56" s="356"/>
      <c r="Z56" s="400"/>
      <c r="AA56" s="400"/>
      <c r="AB56" s="400"/>
      <c r="AC56" s="356"/>
      <c r="AD56" s="356"/>
      <c r="AE56" s="400"/>
      <c r="AF56" s="400"/>
      <c r="AG56" s="400"/>
      <c r="AH56" s="400"/>
    </row>
    <row r="57" spans="2:34" ht="16">
      <c r="B57" s="364"/>
      <c r="C57" s="365" t="s">
        <v>333</v>
      </c>
      <c r="D57" s="365"/>
      <c r="E57" s="356"/>
      <c r="F57" s="356"/>
      <c r="G57" s="356"/>
      <c r="H57" s="532">
        <f>+H55+SUM(H40:H48)+SUM(H51:H52)+H37</f>
        <v>1295.23</v>
      </c>
      <c r="I57" s="356"/>
      <c r="J57" s="356"/>
      <c r="K57" s="356"/>
      <c r="L57" s="356"/>
      <c r="M57" s="532">
        <f>+M55+SUM(M40:M48)+SUM(M51:M52)+M37</f>
        <v>395.22999999999996</v>
      </c>
      <c r="N57" s="356"/>
      <c r="O57" s="356"/>
      <c r="P57" s="356"/>
      <c r="Q57" s="356"/>
      <c r="R57" s="532">
        <f>+R55+SUM(R40:R48)+SUM(R51:R52)+R37</f>
        <v>136.19</v>
      </c>
      <c r="S57" s="356"/>
      <c r="T57" s="356"/>
      <c r="U57" s="356"/>
      <c r="V57" s="356"/>
      <c r="W57" s="532">
        <f>+W55+SUM(W40:W48)+SUM(W51:W52)+W37</f>
        <v>4671.3999999999996</v>
      </c>
      <c r="X57" s="356"/>
      <c r="Y57" s="356"/>
      <c r="Z57" s="356"/>
      <c r="AA57" s="356"/>
      <c r="AB57" s="532">
        <f>+AB55+SUM(AB40:AB48)+SUM(AB51:AB52)+AB37</f>
        <v>1190</v>
      </c>
      <c r="AC57" s="356"/>
      <c r="AD57" s="356"/>
      <c r="AE57" s="356"/>
      <c r="AF57" s="356"/>
      <c r="AG57" s="532">
        <f>DilutedShares</f>
        <v>824.4</v>
      </c>
      <c r="AH57" s="532"/>
    </row>
    <row r="58" spans="2:34" ht="16">
      <c r="B58" s="364"/>
      <c r="C58" s="356"/>
      <c r="D58" s="356"/>
      <c r="E58" s="356"/>
      <c r="F58" s="356"/>
      <c r="G58" s="356"/>
      <c r="H58" s="356"/>
      <c r="I58" s="356"/>
      <c r="J58" s="356"/>
      <c r="K58" s="356"/>
      <c r="L58" s="356"/>
      <c r="M58" s="356"/>
      <c r="N58" s="356"/>
      <c r="O58" s="356"/>
      <c r="P58" s="356"/>
      <c r="Q58" s="356"/>
      <c r="R58" s="423"/>
      <c r="S58" s="356"/>
      <c r="T58" s="356"/>
      <c r="U58" s="356"/>
      <c r="V58" s="356"/>
      <c r="W58" s="356"/>
      <c r="X58" s="356"/>
      <c r="Y58" s="356"/>
      <c r="Z58" s="356"/>
      <c r="AA58" s="356"/>
      <c r="AB58" s="356"/>
      <c r="AC58" s="356"/>
      <c r="AD58" s="356"/>
      <c r="AE58" s="356"/>
      <c r="AF58" s="356"/>
      <c r="AG58" s="356"/>
      <c r="AH58" s="356"/>
    </row>
    <row r="59" spans="2:34" ht="16">
      <c r="B59" s="364"/>
      <c r="C59" s="356"/>
      <c r="D59" s="356"/>
      <c r="E59" s="378" t="s">
        <v>334</v>
      </c>
      <c r="F59" s="379"/>
      <c r="G59" s="379"/>
      <c r="H59" s="379"/>
      <c r="I59" s="356"/>
      <c r="J59" s="378" t="s">
        <v>334</v>
      </c>
      <c r="K59" s="379"/>
      <c r="L59" s="379"/>
      <c r="M59" s="379"/>
      <c r="N59" s="356"/>
      <c r="O59" s="378" t="s">
        <v>334</v>
      </c>
      <c r="P59" s="379"/>
      <c r="Q59" s="379"/>
      <c r="R59" s="379"/>
      <c r="S59" s="356"/>
      <c r="T59" s="378" t="s">
        <v>334</v>
      </c>
      <c r="U59" s="379"/>
      <c r="V59" s="379"/>
      <c r="W59" s="379"/>
      <c r="X59" s="356"/>
      <c r="Y59" s="378" t="s">
        <v>334</v>
      </c>
      <c r="Z59" s="379"/>
      <c r="AA59" s="379"/>
      <c r="AB59" s="379"/>
      <c r="AC59" s="356"/>
      <c r="AD59" s="378" t="s">
        <v>334</v>
      </c>
      <c r="AE59" s="379"/>
      <c r="AF59" s="379"/>
      <c r="AG59" s="379"/>
      <c r="AH59" s="634"/>
    </row>
    <row r="60" spans="2:34" ht="16">
      <c r="B60" s="364"/>
      <c r="C60" s="356"/>
      <c r="D60" s="356"/>
      <c r="E60" s="424"/>
      <c r="F60" s="425"/>
      <c r="G60" s="425"/>
      <c r="H60" s="528"/>
      <c r="I60" s="356"/>
      <c r="J60" s="424"/>
      <c r="K60" s="425"/>
      <c r="L60" s="425"/>
      <c r="M60" s="425"/>
      <c r="N60" s="356"/>
      <c r="O60" s="424"/>
      <c r="P60" s="425"/>
      <c r="Q60" s="425"/>
      <c r="R60" s="425"/>
      <c r="S60" s="356"/>
      <c r="T60" s="424"/>
      <c r="U60" s="425"/>
      <c r="V60" s="425"/>
      <c r="W60" s="425"/>
      <c r="X60" s="356"/>
      <c r="Y60" s="424"/>
      <c r="Z60" s="425"/>
      <c r="AA60" s="425"/>
      <c r="AB60" s="425"/>
      <c r="AC60" s="356"/>
      <c r="AD60" s="424"/>
      <c r="AE60" s="425"/>
      <c r="AF60" s="425"/>
      <c r="AG60" s="425"/>
      <c r="AH60" s="425"/>
    </row>
    <row r="61" spans="2:34" ht="16">
      <c r="B61" s="364"/>
      <c r="C61" s="356" t="s">
        <v>335</v>
      </c>
      <c r="D61" s="356"/>
      <c r="E61" s="424"/>
      <c r="F61" s="425"/>
      <c r="G61" s="425"/>
      <c r="H61" s="529">
        <f>+H57*H36</f>
        <v>94642.456099999996</v>
      </c>
      <c r="I61" s="356"/>
      <c r="J61" s="424"/>
      <c r="K61" s="425"/>
      <c r="L61" s="425"/>
      <c r="M61" s="529">
        <f>+M57*M36</f>
        <v>265942.36239999998</v>
      </c>
      <c r="N61" s="356"/>
      <c r="O61" s="424"/>
      <c r="P61" s="425"/>
      <c r="Q61" s="425"/>
      <c r="R61" s="529">
        <f>+R57*R36</f>
        <v>87100.314499999993</v>
      </c>
      <c r="S61" s="356"/>
      <c r="T61" s="424"/>
      <c r="U61" s="425"/>
      <c r="V61" s="425"/>
      <c r="W61" s="529">
        <f>+W57*W36</f>
        <v>767184.02199999988</v>
      </c>
      <c r="X61" s="356"/>
      <c r="Y61" s="424"/>
      <c r="Z61" s="425"/>
      <c r="AA61" s="425"/>
      <c r="AB61" s="529">
        <f>+AB57*AB36</f>
        <v>186580.09999999998</v>
      </c>
      <c r="AC61" s="356"/>
      <c r="AD61" s="424"/>
      <c r="AE61" s="425"/>
      <c r="AF61" s="425"/>
      <c r="AG61" s="529">
        <f>+AG57*AG36</f>
        <v>144723.42000000001</v>
      </c>
      <c r="AH61" s="529"/>
    </row>
    <row r="62" spans="2:34" ht="16">
      <c r="B62" s="364"/>
      <c r="C62" s="356" t="s">
        <v>336</v>
      </c>
      <c r="D62" s="356"/>
      <c r="E62" s="356"/>
      <c r="F62" s="356"/>
      <c r="G62" s="356"/>
      <c r="H62" s="530">
        <f>+H61+SUM(H19:H27)</f>
        <v>90986.456099999996</v>
      </c>
      <c r="I62" s="356"/>
      <c r="J62" s="356"/>
      <c r="K62" s="356"/>
      <c r="L62" s="356"/>
      <c r="M62" s="530">
        <f>+M61+SUM(M19:M27)</f>
        <v>262061.16239999997</v>
      </c>
      <c r="N62" s="356"/>
      <c r="O62" s="356"/>
      <c r="P62" s="356"/>
      <c r="Q62" s="356"/>
      <c r="R62" s="530">
        <f>+R61+SUM(R19:R27)</f>
        <v>91004.714499999987</v>
      </c>
      <c r="S62" s="356"/>
      <c r="T62" s="356"/>
      <c r="U62" s="356"/>
      <c r="V62" s="356"/>
      <c r="W62" s="530">
        <f>+W61+SUM(W19:W27)</f>
        <v>778424.02199999988</v>
      </c>
      <c r="X62" s="356"/>
      <c r="Y62" s="356"/>
      <c r="Z62" s="356"/>
      <c r="AA62" s="356"/>
      <c r="AB62" s="530">
        <f>+AB61+SUM(AB19:AB27)</f>
        <v>190767.09999999998</v>
      </c>
      <c r="AC62" s="356"/>
      <c r="AD62" s="356"/>
      <c r="AE62" s="356"/>
      <c r="AF62" s="356"/>
      <c r="AG62" s="530">
        <f>+AG61+SUM(AG19:AG27)</f>
        <v>140726.42000000001</v>
      </c>
      <c r="AH62" s="530"/>
    </row>
    <row r="63" spans="2:34" ht="16">
      <c r="B63" s="364"/>
      <c r="C63" s="356" t="s">
        <v>337</v>
      </c>
      <c r="D63" s="356"/>
      <c r="E63" s="356"/>
      <c r="F63" s="356"/>
      <c r="G63" s="356"/>
      <c r="H63" s="531">
        <v>1.49</v>
      </c>
      <c r="I63" s="356"/>
      <c r="J63" s="356"/>
      <c r="K63" s="356"/>
      <c r="L63" s="356"/>
      <c r="M63" s="531">
        <v>1.1000000000000001</v>
      </c>
      <c r="N63" s="356"/>
      <c r="O63" s="356"/>
      <c r="P63" s="356"/>
      <c r="Q63" s="356"/>
      <c r="R63" s="531">
        <v>1.29</v>
      </c>
      <c r="S63" s="356"/>
      <c r="T63" s="356"/>
      <c r="U63" s="356"/>
      <c r="V63" s="356"/>
      <c r="W63" s="531">
        <v>1.19</v>
      </c>
      <c r="X63" s="356"/>
      <c r="Y63" s="356"/>
      <c r="Z63" s="356"/>
      <c r="AA63" s="356"/>
      <c r="AB63" s="531">
        <v>1.29</v>
      </c>
      <c r="AC63" s="356"/>
      <c r="AD63" s="356"/>
      <c r="AE63" s="356"/>
      <c r="AF63" s="356"/>
      <c r="AG63" s="531">
        <v>1.29</v>
      </c>
      <c r="AH63" s="531"/>
    </row>
    <row r="64" spans="2:34" ht="16">
      <c r="B64" s="364"/>
      <c r="C64" s="356"/>
      <c r="D64" s="356"/>
      <c r="E64" s="356"/>
      <c r="F64" s="356"/>
      <c r="G64" s="356"/>
      <c r="H64" s="356"/>
      <c r="I64" s="356"/>
      <c r="J64" s="356"/>
      <c r="K64" s="356"/>
      <c r="L64" s="356"/>
      <c r="M64" s="356"/>
      <c r="N64" s="356"/>
      <c r="O64" s="356"/>
      <c r="P64" s="356"/>
      <c r="Q64" s="356"/>
      <c r="R64" s="356"/>
      <c r="S64" s="356"/>
      <c r="T64" s="356"/>
      <c r="U64" s="356"/>
      <c r="V64" s="356"/>
      <c r="W64" s="356"/>
      <c r="X64" s="356"/>
      <c r="Y64" s="356"/>
      <c r="Z64" s="356"/>
      <c r="AA64" s="356"/>
      <c r="AB64" s="356"/>
      <c r="AC64" s="356"/>
      <c r="AD64" s="356"/>
      <c r="AE64" s="356"/>
      <c r="AF64" s="356"/>
      <c r="AG64" s="356"/>
      <c r="AH64" s="356"/>
    </row>
    <row r="65" spans="2:34" ht="16">
      <c r="B65" s="364"/>
      <c r="C65" s="356"/>
      <c r="D65" s="356"/>
      <c r="E65" s="378" t="s">
        <v>338</v>
      </c>
      <c r="F65" s="379"/>
      <c r="G65" s="379"/>
      <c r="H65" s="379"/>
      <c r="I65" s="356"/>
      <c r="J65" s="378" t="s">
        <v>338</v>
      </c>
      <c r="K65" s="379"/>
      <c r="L65" s="379"/>
      <c r="M65" s="379"/>
      <c r="N65" s="356"/>
      <c r="O65" s="378" t="s">
        <v>338</v>
      </c>
      <c r="P65" s="379"/>
      <c r="Q65" s="379"/>
      <c r="R65" s="379"/>
      <c r="S65" s="356"/>
      <c r="T65" s="378" t="s">
        <v>338</v>
      </c>
      <c r="U65" s="379"/>
      <c r="V65" s="379"/>
      <c r="W65" s="379"/>
      <c r="X65" s="356"/>
      <c r="Y65" s="378" t="s">
        <v>338</v>
      </c>
      <c r="Z65" s="379"/>
      <c r="AA65" s="379"/>
      <c r="AB65" s="379"/>
      <c r="AC65" s="356"/>
      <c r="AD65" s="378" t="s">
        <v>338</v>
      </c>
      <c r="AE65" s="379"/>
      <c r="AF65" s="379"/>
      <c r="AG65" s="379"/>
      <c r="AH65" s="634"/>
    </row>
    <row r="66" spans="2:34" ht="16">
      <c r="B66" s="364"/>
      <c r="C66" s="356"/>
      <c r="D66" s="356"/>
      <c r="E66" s="375" t="str">
        <f>H7</f>
        <v>LTM</v>
      </c>
      <c r="F66" s="377">
        <f>E30</f>
        <v>45961</v>
      </c>
      <c r="G66" s="377">
        <f>F30</f>
        <v>46326</v>
      </c>
      <c r="H66" s="377">
        <f>G30</f>
        <v>46691</v>
      </c>
      <c r="I66" s="356"/>
      <c r="J66" s="375" t="str">
        <f>M7</f>
        <v>LTM</v>
      </c>
      <c r="K66" s="375">
        <f>J30</f>
        <v>45961</v>
      </c>
      <c r="L66" s="375">
        <f>K30</f>
        <v>46326</v>
      </c>
      <c r="M66" s="375">
        <f>L30</f>
        <v>46691</v>
      </c>
      <c r="N66" s="356"/>
      <c r="O66" s="375" t="str">
        <f>R7</f>
        <v>LTM</v>
      </c>
      <c r="P66" s="375">
        <f>O30</f>
        <v>45961</v>
      </c>
      <c r="Q66" s="375">
        <f>P30</f>
        <v>46326</v>
      </c>
      <c r="R66" s="375">
        <f>Q30</f>
        <v>46691</v>
      </c>
      <c r="S66" s="356"/>
      <c r="T66" s="375" t="str">
        <f>W7</f>
        <v>LTM</v>
      </c>
      <c r="U66" s="375">
        <f>T30</f>
        <v>45961</v>
      </c>
      <c r="V66" s="375">
        <f>U30</f>
        <v>46326</v>
      </c>
      <c r="W66" s="375">
        <f>V30</f>
        <v>46691</v>
      </c>
      <c r="X66" s="356"/>
      <c r="Y66" s="375" t="str">
        <f>AB7</f>
        <v>LTM</v>
      </c>
      <c r="Z66" s="375">
        <f>Y30</f>
        <v>45961</v>
      </c>
      <c r="AA66" s="375">
        <f>Z30</f>
        <v>46326</v>
      </c>
      <c r="AB66" s="375">
        <f>AA30</f>
        <v>46691</v>
      </c>
      <c r="AC66" s="356"/>
      <c r="AD66" s="375" t="str">
        <f>AG7</f>
        <v>LTM</v>
      </c>
      <c r="AE66" s="375">
        <f>AD30</f>
        <v>45961</v>
      </c>
      <c r="AF66" s="375">
        <f>AE30</f>
        <v>46326</v>
      </c>
      <c r="AG66" s="375">
        <f>AF30</f>
        <v>46691</v>
      </c>
      <c r="AH66" s="636"/>
    </row>
    <row r="67" spans="2:34" ht="16">
      <c r="B67" s="364"/>
      <c r="C67" s="356" t="s">
        <v>339</v>
      </c>
      <c r="D67" s="356"/>
      <c r="E67" s="405">
        <f>IFERROR(IF(OR(+H$62/H8&lt;0,+H$62/H8&gt;=100),"NM",+H$62/H8), "N/A")</f>
        <v>5.8357121847284263</v>
      </c>
      <c r="F67" s="405">
        <f>IFERROR(IF(OR(+H62/E31&lt;0,+H62/E31&gt;=100),"NM",+H62/E31), "N/A")</f>
        <v>5.5746678366634068</v>
      </c>
      <c r="G67" s="405">
        <f t="shared" ref="G67:H67" si="25">IFERROR(IF(OR(+$H$62/F31&lt;0,+$H$62/F31&gt;=100),"NM",+$H$62/F31), "N/A")</f>
        <v>5.0910208554003713</v>
      </c>
      <c r="H67" s="405">
        <f t="shared" si="25"/>
        <v>4.6493341145208866</v>
      </c>
      <c r="I67" s="356"/>
      <c r="J67" s="405">
        <f>IFERROR(IF(OR(+M$62/M8&lt;0,+M$62/M8&gt;=100),"NM",+M$62/M8),"N/A")</f>
        <v>9.9878482506288577</v>
      </c>
      <c r="K67" s="405">
        <f>IFERROR(IF(OR(+$M$62/J31&lt;0,+$M$62/J31&gt;=100),"NM",+$M$62/J31), "N/A")</f>
        <v>7.7133528300220746</v>
      </c>
      <c r="L67" s="405">
        <f t="shared" ref="L67:M67" si="26">IFERROR(IF(OR(+$M$62/K31&lt;0,+$M$62/K31&gt;=100),"NM",+$M$62/K31), "N/A")</f>
        <v>6.8112063001949315</v>
      </c>
      <c r="M67" s="405">
        <f t="shared" si="26"/>
        <v>6.0169666962852739</v>
      </c>
      <c r="N67" s="356"/>
      <c r="O67" s="405">
        <f>IFERROR(IF(OR(+R$62/R8&lt;0,+R$62/R8&gt;=100),"NM",+R$62/R8),"N/A")</f>
        <v>8.8724494979038688</v>
      </c>
      <c r="P67" s="405">
        <f>IFERROR(IF(OR(+$R$62/O31&lt;0,+$R$62/O31&gt;=100),"NM",+$R$62/O31), "N/A")</f>
        <v>8.1429661212891897</v>
      </c>
      <c r="Q67" s="405">
        <f>IFERROR(IF(OR(+R62/P31&lt;0,+R62/P31&gt;=100),"NM",+R62/P31), "N/A")</f>
        <v>7.9754810198718822</v>
      </c>
      <c r="R67" s="405">
        <f>IFERROR(IF(OR(+R62/Q31&lt;0,+R62/Q31&gt;=100),"NM",+R62/Q31), "N/A")</f>
        <v>7.8114407638314232</v>
      </c>
      <c r="S67" s="356"/>
      <c r="T67" s="405">
        <f>IFERROR(IF(OR(+W$62/W8&lt;0,+W$62/W8&gt;=100),"NM",+W$62/W8),"N/A")</f>
        <v>16.627662544056388</v>
      </c>
      <c r="U67" s="405">
        <f>IFERROR(IF(OR(+$W$62/T31&lt;0,+$W$62/T31&gt;=100),"NM",+$W$62/T31), "N/A")</f>
        <v>20.141013846752568</v>
      </c>
      <c r="V67" s="405">
        <f t="shared" ref="V67:W68" si="27">IFERROR(IF(OR(+$W$62/U31&lt;0,+$W$62/U31&gt;=100),"NM",+$W$62/U31), "N/A")</f>
        <v>18.079904709831748</v>
      </c>
      <c r="W67" s="405">
        <f t="shared" si="27"/>
        <v>16.229716974714314</v>
      </c>
      <c r="X67" s="356"/>
      <c r="Y67" s="405">
        <f>IFERROR(IF(OR(+AB$62/AB8&lt;0,+AB$62/AB8&gt;=100),"NM",+AB$62/AB8),"N/A")</f>
        <v>4.8962347928751084</v>
      </c>
      <c r="Z67" s="405">
        <f>IFERROR(IF(OR(+$AB$62/Y31&lt;0,+$AB$62/Y31&gt;=100),"NM",+$AB$62/Y31), "N/A")</f>
        <v>4.5377523566961155</v>
      </c>
      <c r="AA67" s="405">
        <f t="shared" ref="AA67:AB67" si="28">IFERROR(IF(OR(+$AB$62/Z31&lt;0,+$AB$62/Z31&gt;=100),"NM",+$AB$62/Z31), "N/A")</f>
        <v>4.0733863166033348</v>
      </c>
      <c r="AB67" s="405">
        <f t="shared" si="28"/>
        <v>3.65654067917714</v>
      </c>
      <c r="AC67" s="356"/>
      <c r="AD67" s="405">
        <f>IFERROR(IF(OR(+AG$62/AG8&lt;0,+AG$62/AG8&gt;=100),"NM",+AG$62/AG8),"N/A")</f>
        <v>5.1783345599057995</v>
      </c>
      <c r="AE67" s="405">
        <f t="shared" ref="AE67:AF67" si="29">IFERROR(IF(OR(+$AG$62/AD31&lt;0,+$AG$62/AD31&gt;=100),"NM",+$AG$62/AD31), "N/A")</f>
        <v>4.9890561101706528</v>
      </c>
      <c r="AF67" s="405">
        <f t="shared" si="29"/>
        <v>4.7578628902989939</v>
      </c>
      <c r="AG67" s="405">
        <f>IFERROR(IF(OR(+$AG$62/AF31&lt;0,+$AG$62/AF31&gt;=100),"NM",+$AG$62/AF31), "N/A")</f>
        <v>4.4936787532356393</v>
      </c>
      <c r="AH67" s="405"/>
    </row>
    <row r="68" spans="2:34" ht="16">
      <c r="B68" s="364"/>
      <c r="C68" s="356" t="s">
        <v>340</v>
      </c>
      <c r="D68" s="356"/>
      <c r="E68" s="405">
        <f>IFERROR(IF(OR(+H$62/H14&lt;0,+H$62/H14&gt;=100),"NM",+H$62/H14), "N/A")</f>
        <v>18.303451237175619</v>
      </c>
      <c r="F68" s="405">
        <f>IFERROR(IF(OR(+$H$62/E32&lt;0,+$H$62/E32&gt;=100),"NM",+$H$62/E32), "N/A")</f>
        <v>17.420836989573147</v>
      </c>
      <c r="G68" s="405">
        <f t="shared" ref="G68:H68" si="30">IFERROR(IF(OR(+$H$62/F32&lt;0,+$H$62/F32&gt;=100),"NM",+$H$62/F32), "N/A")</f>
        <v>15.909440173126161</v>
      </c>
      <c r="H68" s="405">
        <f t="shared" si="30"/>
        <v>14.529169107877772</v>
      </c>
      <c r="I68" s="356"/>
      <c r="J68" s="405">
        <f>IFERROR(IF(OR(+M$62/M14&lt;0,+M$62/M14&gt;=100),"NM",+M$62/M14),"N/A")</f>
        <v>29.56032648641332</v>
      </c>
      <c r="K68" s="405">
        <f>IFERROR(IF(OR(+$M$62/J32&lt;0,+$M$62/J32&gt;=100),"NM",+$M$62/J32),"N/A")</f>
        <v>22.686331853006102</v>
      </c>
      <c r="L68" s="405">
        <f t="shared" ref="L68:M68" si="31">IFERROR(IF(OR(+$M$62/K32&lt;0,+$M$62/K32&gt;=100),"NM",+$M$62/K32),"N/A")</f>
        <v>20.032959706455678</v>
      </c>
      <c r="M68" s="405">
        <f t="shared" si="31"/>
        <v>17.696960871427276</v>
      </c>
      <c r="N68" s="356"/>
      <c r="O68" s="405">
        <f>IFERROR(IF(OR(+$R$62/R14&lt;0,+$R$62/R14&gt;=100),"NM",+$R$62/R14),"N/A")</f>
        <v>21.142105807272969</v>
      </c>
      <c r="P68" s="405">
        <f>IFERROR(IF(OR(+$R$62/O32&lt;0,+$R$62/O32&gt;=100),"NM",+$R$62/O32),"N/A")</f>
        <v>19.434286685654396</v>
      </c>
      <c r="Q68" s="405">
        <f t="shared" ref="Q68:R68" si="32">IFERROR(IF(OR(+$R$62/P32&lt;0,+$R$62/P32&gt;=100),"NM",+$R$62/P32),"N/A")</f>
        <v>19.034560906615475</v>
      </c>
      <c r="R68" s="405">
        <f t="shared" si="32"/>
        <v>18.643056715588123</v>
      </c>
      <c r="S68" s="356"/>
      <c r="T68" s="405">
        <f>IFERROR(IF(OR(+W$62/W14&lt;0,+W$62/W14&gt;=100),"NM",+W$62/W14),"N/A")</f>
        <v>48.304314117282026</v>
      </c>
      <c r="U68" s="405">
        <f>IFERROR(IF(OR(+$W$62/T32&lt;0,+$W$62/T32&gt;=100),"NM",+$W$62/T32), "N/A")</f>
        <v>60.302436666923853</v>
      </c>
      <c r="V68" s="405">
        <f t="shared" si="27"/>
        <v>54.131451227041161</v>
      </c>
      <c r="W68" s="405">
        <f t="shared" si="27"/>
        <v>48.591966990162618</v>
      </c>
      <c r="X68" s="356"/>
      <c r="Y68" s="405">
        <f>IFERROR(IF(OR(+AB$62/AB14&lt;0,+AB$62/AB14&gt;=100),"NM",+AB$62/AB14),"N/A")</f>
        <v>16.277056313993171</v>
      </c>
      <c r="Z68" s="405">
        <f>IFERROR(IF(OR(+$AB$62/Y32&lt;0,+$AB$62/Y32&gt;=100),"NM",+$AB$62/Y32),"N/A")</f>
        <v>15.075589224904039</v>
      </c>
      <c r="AA68" s="405">
        <f t="shared" ref="AA68:AB68" si="33">IFERROR(IF(OR(+$AB$62/Z32&lt;0,+$AB$62/Z32&gt;=100),"NM",+$AB$62/Z32),"N/A")</f>
        <v>13.532844905658918</v>
      </c>
      <c r="AB68" s="405">
        <f t="shared" si="33"/>
        <v>12.147975678329368</v>
      </c>
      <c r="AC68" s="356"/>
      <c r="AD68" s="405">
        <f>IFERROR(IF(OR(+AG$62/AG14&lt;0,+AG$62/AG14&gt;=100),"NM",+AG$62/AG14),"N/A")</f>
        <v>17.039159704564717</v>
      </c>
      <c r="AE68" s="405">
        <f>IFERROR(IF(OR(+$AG$62/AD32&lt;0,+$AG$62/AD32&gt;=100),"NM",+$AG$62/AD32),"N/A")</f>
        <v>16.08671003769145</v>
      </c>
      <c r="AF68" s="405">
        <f t="shared" ref="AF68:AG68" si="34">IFERROR(IF(OR(+$AG$62/AE32&lt;0,+$AG$62/AE32&gt;=100),"NM",+$AG$62/AE32),"N/A")</f>
        <v>15.292711622965236</v>
      </c>
      <c r="AG68" s="405">
        <f t="shared" si="34"/>
        <v>14.408149444942111</v>
      </c>
      <c r="AH68" s="405"/>
    </row>
    <row r="69" spans="2:34" ht="16">
      <c r="B69" s="364"/>
      <c r="C69" s="356" t="s">
        <v>341</v>
      </c>
      <c r="D69" s="356"/>
      <c r="E69" s="405">
        <f>IFERROR(IF(OR(+H$61/H9&lt;0,+H$61/H9&gt;=100),"NM",+H$61/H9), "N/A")</f>
        <v>23.328187355188561</v>
      </c>
      <c r="F69" s="405">
        <f>IFERROR(IF(OR($H$61/E$33&lt;0,+$H$61/E$33&gt;=100),"NM",+$H$61/E$33), "N/A")</f>
        <v>21.763850892055572</v>
      </c>
      <c r="G69" s="405">
        <f>IFERROR(IF(OR(H61/F$33&lt;0,+H61/F$33&gt;=100),"NM",+H61/F$33), "N/A")</f>
        <v>19.158319447232014</v>
      </c>
      <c r="H69" s="405">
        <f>IFERROR(IF(OR(H61/G$33&lt;0,+H61/G$33&gt;=100),"NM",+H61/G$33), "N/A")</f>
        <v>16.864717823267618</v>
      </c>
      <c r="I69" s="356"/>
      <c r="J69" s="405">
        <f>IFERROR(IF(OR(+M$61/M9&lt;0,+M$61/M9&gt;=100),"NM",+M$61/M9), "N/A")</f>
        <v>38.392141244405948</v>
      </c>
      <c r="K69" s="405">
        <f>IFERROR(IF(OR($M$61/J$33&lt;0,+$M$61/J$33&gt;=100),"NM",+$M$61/J$33), "N/A")</f>
        <v>27.085085705701577</v>
      </c>
      <c r="L69" s="405">
        <f>IFERROR(IF(OR(M61/K$33&lt;0,+M61/K$33&gt;=100),"NM",+M61/K$33), "N/A")</f>
        <v>23.917239424332969</v>
      </c>
      <c r="M69" s="405">
        <f t="shared" ref="M69" si="35">IFERROR(IF(OR(M61/L$33&lt;0,+M61/L$33&gt;=100),"NM",+M61/L$33), "N/A")</f>
        <v>21.128303378386015</v>
      </c>
      <c r="N69" s="356"/>
      <c r="O69" s="405">
        <f>IFERROR(IF(OR(+R$61/R9&lt;0,+R$61/R9&gt;=100),"NM",+R$61/R9), "N/A")</f>
        <v>29.366255731625081</v>
      </c>
      <c r="P69" s="405">
        <f>IFERROR(IF(OR($R$61/O$33&lt;0,+$R$61/O$33&gt;=100),"NM",+$R$61/O$33), "N/A")</f>
        <v>23.504669748438875</v>
      </c>
      <c r="Q69" s="405">
        <f>IFERROR(IF(OR(R61/P$33&lt;0,+R61/P$33&gt;=100),"NM",+R61/P$33), "N/A")</f>
        <v>17.619692465096605</v>
      </c>
      <c r="R69" s="405">
        <f t="shared" ref="R69" si="36">IFERROR(IF(OR(R61/Q$33&lt;0,+R61/Q$33&gt;=100),"NM",+R61/Q$33), "N/A")</f>
        <v>13.208165266189358</v>
      </c>
      <c r="S69" s="356"/>
      <c r="T69" s="405">
        <f>IFERROR(IF(OR(+W$61/W9&lt;0,+W$61/W9&gt;=100),"NM",+W$61/W9),"N/A")</f>
        <v>54.429515572898183</v>
      </c>
      <c r="U69" s="405">
        <f>IFERROR(IF(OR(+W$61/T33&lt;0,+W$61/T33&gt;=100),"NM",+W$61/T33),"N/A")</f>
        <v>44.473275885556603</v>
      </c>
      <c r="V69" s="405">
        <f>IFERROR(IF(OR(+W$61/U33&lt;0,+W$61/U33&gt;=100),"NM",+W$61/U33),"N/A")</f>
        <v>43.261941522914974</v>
      </c>
      <c r="W69" s="405">
        <f>IFERROR(IF(OR(+W$61/V33&lt;0,+W$61/V33&gt;=100),"NM",+W$61/V33),"N/A")</f>
        <v>42.083600703224683</v>
      </c>
      <c r="X69" s="356"/>
      <c r="Y69" s="405">
        <f>IFERROR(IF(OR(+AB$61/AB9&lt;0,+AB$61/AB9&gt;=100),"NM",+AB$61/AB9),"N/A")</f>
        <v>25.799239491150438</v>
      </c>
      <c r="Z69" s="405">
        <f>IFERROR(IF(OR(+$AB$61/Y33&lt;0,+$AB$61/Y33&gt;=100),"NM",+$AB$61/Y33),"N/A")</f>
        <v>21.060603666245253</v>
      </c>
      <c r="AA69" s="405">
        <f t="shared" ref="AA69:AB69" si="37">IFERROR(IF(OR(+$AB$61/Z33&lt;0,+$AB$61/Z33&gt;=100),"NM",+$AB$61/Z33),"N/A")</f>
        <v>20.48696854693118</v>
      </c>
      <c r="AB69" s="405">
        <f t="shared" si="37"/>
        <v>19.928957730477801</v>
      </c>
      <c r="AC69" s="356"/>
      <c r="AD69" s="405">
        <f>IFERROR(IF(OR(+AG$61/AG9&lt;0,+AG$61/AG9&gt;=100),"NM",+AG$61/AG9),"N/A")</f>
        <v>20.164890622822909</v>
      </c>
      <c r="AE69" s="405">
        <f>IFERROR(IF(OR(+$AG$61/AD33&lt;0,+$AG$61/AD33&gt;=100),"NM",+$AG$61/AD33),"N/A")</f>
        <v>20.625432671586385</v>
      </c>
      <c r="AF69" s="405">
        <f t="shared" ref="AF69:AG69" si="38">IFERROR(IF(OR(+$AG$61/AE33&lt;0,+$AG$61/AE33&gt;=100),"NM",+$AG$61/AE33),"N/A")</f>
        <v>19.564595287838202</v>
      </c>
      <c r="AG69" s="405">
        <f t="shared" si="38"/>
        <v>18.370491494865188</v>
      </c>
      <c r="AH69" s="405"/>
    </row>
    <row r="70" spans="2:34" ht="16">
      <c r="B70" s="364"/>
      <c r="C70" s="356"/>
      <c r="D70" s="356"/>
      <c r="E70" s="356"/>
      <c r="F70" s="356"/>
      <c r="G70" s="356"/>
      <c r="H70" s="356"/>
      <c r="I70" s="356"/>
      <c r="J70" s="356"/>
      <c r="K70" s="356"/>
      <c r="L70" s="356"/>
      <c r="M70" s="356"/>
      <c r="N70" s="356"/>
      <c r="O70" s="356"/>
      <c r="P70" s="356"/>
      <c r="Q70" s="356"/>
      <c r="R70" s="356"/>
      <c r="S70" s="356"/>
      <c r="T70" s="356"/>
      <c r="U70" s="356"/>
      <c r="V70" s="356"/>
      <c r="W70" s="356"/>
      <c r="X70" s="356"/>
      <c r="Y70" s="356"/>
      <c r="Z70" s="356"/>
      <c r="AA70" s="356"/>
      <c r="AB70" s="356"/>
      <c r="AC70" s="356"/>
      <c r="AD70" s="356"/>
      <c r="AE70" s="356"/>
      <c r="AF70" s="356"/>
      <c r="AG70" s="356"/>
      <c r="AH70" s="356"/>
    </row>
    <row r="71" spans="2:34" ht="16">
      <c r="B71" s="364"/>
      <c r="C71" s="356"/>
      <c r="D71" s="356"/>
      <c r="E71" s="378" t="s">
        <v>342</v>
      </c>
      <c r="F71" s="379"/>
      <c r="G71" s="379"/>
      <c r="H71" s="379"/>
      <c r="I71" s="356"/>
      <c r="J71" s="378" t="s">
        <v>342</v>
      </c>
      <c r="K71" s="379"/>
      <c r="L71" s="379"/>
      <c r="M71" s="379"/>
      <c r="N71" s="356"/>
      <c r="O71" s="378" t="s">
        <v>342</v>
      </c>
      <c r="P71" s="379"/>
      <c r="Q71" s="379"/>
      <c r="R71" s="379"/>
      <c r="S71" s="356"/>
      <c r="T71" s="378" t="s">
        <v>342</v>
      </c>
      <c r="U71" s="379"/>
      <c r="V71" s="379"/>
      <c r="W71" s="379"/>
      <c r="X71" s="356"/>
      <c r="Y71" s="378" t="s">
        <v>342</v>
      </c>
      <c r="Z71" s="379"/>
      <c r="AA71" s="379"/>
      <c r="AB71" s="379"/>
      <c r="AC71" s="356"/>
      <c r="AD71" s="378" t="s">
        <v>342</v>
      </c>
      <c r="AE71" s="379"/>
      <c r="AF71" s="379"/>
      <c r="AG71" s="379"/>
      <c r="AH71" s="634"/>
    </row>
    <row r="72" spans="2:34" ht="16">
      <c r="B72" s="364"/>
      <c r="C72" s="356"/>
      <c r="D72" s="356"/>
      <c r="E72" s="398"/>
      <c r="F72" s="398"/>
      <c r="G72" s="398"/>
      <c r="H72" s="398"/>
      <c r="I72" s="356"/>
      <c r="J72" s="398"/>
      <c r="K72" s="398"/>
      <c r="L72" s="398"/>
      <c r="M72" s="398"/>
      <c r="N72" s="356"/>
      <c r="O72" s="398"/>
      <c r="P72" s="398"/>
      <c r="Q72" s="398"/>
      <c r="R72" s="398"/>
      <c r="S72" s="356"/>
      <c r="T72" s="398"/>
      <c r="U72" s="398"/>
      <c r="V72" s="398"/>
      <c r="W72" s="398"/>
      <c r="X72" s="356"/>
      <c r="Y72" s="398"/>
      <c r="Z72" s="398"/>
      <c r="AA72" s="398"/>
      <c r="AB72" s="398"/>
      <c r="AC72" s="356"/>
      <c r="AD72" s="398"/>
      <c r="AE72" s="398"/>
      <c r="AF72" s="398"/>
      <c r="AG72" s="398"/>
      <c r="AH72" s="356"/>
    </row>
    <row r="73" spans="2:34" ht="16">
      <c r="B73" s="364"/>
      <c r="C73" s="356" t="str">
        <f>TEXT(Forward_Year_1,"yyyy-mm-dd")&amp;" "&amp;C31</f>
        <v>2025-10-31 Revenue:</v>
      </c>
      <c r="D73" s="356"/>
      <c r="E73" s="398"/>
      <c r="F73" s="398"/>
      <c r="G73" s="398"/>
      <c r="H73" s="406">
        <f>+E31</f>
        <v>16321.412999999999</v>
      </c>
      <c r="I73" s="356"/>
      <c r="J73" s="398"/>
      <c r="K73" s="398"/>
      <c r="L73" s="398"/>
      <c r="M73" s="406">
        <f>+J31</f>
        <v>33975</v>
      </c>
      <c r="N73" s="356"/>
      <c r="O73" s="398"/>
      <c r="P73" s="398"/>
      <c r="Q73" s="398"/>
      <c r="R73" s="406">
        <f>+O31</f>
        <v>11175.868</v>
      </c>
      <c r="S73" s="356"/>
      <c r="T73" s="398"/>
      <c r="U73" s="398"/>
      <c r="V73" s="398"/>
      <c r="W73" s="406">
        <f>+T31</f>
        <v>38648.701000000001</v>
      </c>
      <c r="X73" s="356"/>
      <c r="Y73" s="398"/>
      <c r="Z73" s="398"/>
      <c r="AA73" s="398"/>
      <c r="AB73" s="406">
        <f>+Y31</f>
        <v>42039.998</v>
      </c>
      <c r="AC73" s="356"/>
      <c r="AD73" s="398"/>
      <c r="AE73" s="398"/>
      <c r="AF73" s="398"/>
      <c r="AG73" s="406">
        <f>+AD31</f>
        <v>28207.022910228687</v>
      </c>
      <c r="AH73" s="406"/>
    </row>
    <row r="74" spans="2:34" ht="16">
      <c r="B74" s="364"/>
      <c r="C74" s="356" t="str">
        <f>TEXT(Forward_Year_1,"yyyy-mm-dd")&amp;" "&amp;C32</f>
        <v>2025-10-31 EBITDA:</v>
      </c>
      <c r="D74" s="356"/>
      <c r="E74" s="398"/>
      <c r="F74" s="398"/>
      <c r="G74" s="398"/>
      <c r="H74" s="407">
        <f>+E32</f>
        <v>5222.8521599999995</v>
      </c>
      <c r="I74" s="356"/>
      <c r="J74" s="398"/>
      <c r="K74" s="398"/>
      <c r="L74" s="398"/>
      <c r="M74" s="407">
        <f>+J32</f>
        <v>11551.5</v>
      </c>
      <c r="N74" s="356"/>
      <c r="O74" s="398"/>
      <c r="P74" s="398"/>
      <c r="Q74" s="398"/>
      <c r="R74" s="407">
        <f>+O32</f>
        <v>4682.6886919999997</v>
      </c>
      <c r="S74" s="356"/>
      <c r="T74" s="398"/>
      <c r="U74" s="398"/>
      <c r="V74" s="398"/>
      <c r="W74" s="407">
        <f>+T32</f>
        <v>12908.666134000001</v>
      </c>
      <c r="X74" s="356"/>
      <c r="Y74" s="398"/>
      <c r="Z74" s="398"/>
      <c r="AA74" s="398"/>
      <c r="AB74" s="407">
        <f>+Y32</f>
        <v>12654.039397999999</v>
      </c>
      <c r="AC74" s="356"/>
      <c r="AD74" s="398"/>
      <c r="AE74" s="398"/>
      <c r="AF74" s="398"/>
      <c r="AG74" s="407">
        <f>+AD32</f>
        <v>8747.9925771195904</v>
      </c>
      <c r="AH74" s="407"/>
    </row>
    <row r="75" spans="2:34" ht="16">
      <c r="B75" s="364"/>
      <c r="C75" s="356" t="str">
        <f>TEXT(Forward_Year_1,"yyyy-mm-dd")&amp;" "&amp;C33</f>
        <v>2025-10-31 Reported Net Income:</v>
      </c>
      <c r="D75" s="356"/>
      <c r="E75" s="398"/>
      <c r="F75" s="398"/>
      <c r="G75" s="398"/>
      <c r="H75" s="407">
        <f>+E33</f>
        <v>4348.6080000000002</v>
      </c>
      <c r="I75" s="356"/>
      <c r="J75" s="398"/>
      <c r="K75" s="398"/>
      <c r="L75" s="398"/>
      <c r="M75" s="407">
        <f>+J33</f>
        <v>9818.7749999999996</v>
      </c>
      <c r="N75" s="356"/>
      <c r="O75" s="398"/>
      <c r="P75" s="398"/>
      <c r="Q75" s="398"/>
      <c r="R75" s="407">
        <f>+O33</f>
        <v>3705.66</v>
      </c>
      <c r="S75" s="356"/>
      <c r="T75" s="398"/>
      <c r="U75" s="398"/>
      <c r="V75" s="398"/>
      <c r="W75" s="407">
        <f>+T33</f>
        <v>17250.45</v>
      </c>
      <c r="X75" s="356"/>
      <c r="Y75" s="398"/>
      <c r="Z75" s="398"/>
      <c r="AA75" s="398"/>
      <c r="AB75" s="407">
        <f>+Y33</f>
        <v>8859.2000000000007</v>
      </c>
      <c r="AC75" s="356"/>
      <c r="AD75" s="398"/>
      <c r="AE75" s="398"/>
      <c r="AF75" s="398"/>
      <c r="AG75" s="407">
        <f>+AD33</f>
        <v>7016.7458934992974</v>
      </c>
      <c r="AH75" s="407"/>
    </row>
    <row r="76" spans="2:34" ht="16">
      <c r="B76" s="364"/>
      <c r="C76" s="356"/>
      <c r="D76" s="356"/>
      <c r="E76" s="398"/>
      <c r="F76" s="398"/>
      <c r="G76" s="398"/>
      <c r="H76" s="398"/>
      <c r="I76" s="356"/>
      <c r="J76" s="398"/>
      <c r="K76" s="398"/>
      <c r="L76" s="398"/>
      <c r="M76" s="398"/>
      <c r="N76" s="356"/>
      <c r="O76" s="398"/>
      <c r="P76" s="398"/>
      <c r="Q76" s="398"/>
      <c r="R76" s="398"/>
      <c r="S76" s="356"/>
      <c r="T76" s="398"/>
      <c r="U76" s="398"/>
      <c r="V76" s="398"/>
      <c r="W76" s="398"/>
      <c r="X76" s="356"/>
      <c r="Y76" s="398"/>
      <c r="Z76" s="398"/>
      <c r="AA76" s="398"/>
      <c r="AB76" s="398"/>
      <c r="AC76" s="356"/>
      <c r="AD76" s="398"/>
      <c r="AE76" s="398"/>
      <c r="AF76" s="398"/>
      <c r="AG76" s="398"/>
      <c r="AH76" s="356"/>
    </row>
    <row r="77" spans="2:34" ht="16">
      <c r="B77" s="364"/>
      <c r="C77" s="356" t="str">
        <f>TEXT(Forward_Year_2,"yyyy-mm-dd")&amp;" "&amp;C31</f>
        <v>2026-10-31 Revenue:</v>
      </c>
      <c r="D77" s="356"/>
      <c r="E77" s="398"/>
      <c r="F77" s="398"/>
      <c r="G77" s="398"/>
      <c r="H77" s="408">
        <f>+F31</f>
        <v>17871.947235</v>
      </c>
      <c r="I77" s="356"/>
      <c r="J77" s="398"/>
      <c r="K77" s="398"/>
      <c r="L77" s="398"/>
      <c r="M77" s="408">
        <f>+K31</f>
        <v>38475</v>
      </c>
      <c r="N77" s="356"/>
      <c r="O77" s="398"/>
      <c r="P77" s="398"/>
      <c r="Q77" s="398"/>
      <c r="R77" s="408">
        <f>+P31</f>
        <v>11410.561227999999</v>
      </c>
      <c r="S77" s="356"/>
      <c r="T77" s="398"/>
      <c r="U77" s="398"/>
      <c r="V77" s="398"/>
      <c r="W77" s="408">
        <f>+U31</f>
        <v>43054.652914000006</v>
      </c>
      <c r="X77" s="356"/>
      <c r="Y77" s="398"/>
      <c r="Z77" s="398"/>
      <c r="AA77" s="398"/>
      <c r="AB77" s="408">
        <f>+Z31</f>
        <v>46832.557772000007</v>
      </c>
      <c r="AC77" s="356"/>
      <c r="AD77" s="398"/>
      <c r="AE77" s="398"/>
      <c r="AF77" s="398"/>
      <c r="AG77" s="408">
        <f>+AE31</f>
        <v>29577.653506353243</v>
      </c>
      <c r="AH77" s="408"/>
    </row>
    <row r="78" spans="2:34" ht="16">
      <c r="B78" s="364"/>
      <c r="C78" s="356" t="str">
        <f>TEXT(Forward_Year_2,"yyyy-mm-dd")&amp;" "&amp;C32</f>
        <v>2026-10-31 EBITDA:</v>
      </c>
      <c r="D78" s="356"/>
      <c r="E78" s="398"/>
      <c r="F78" s="398"/>
      <c r="G78" s="398"/>
      <c r="H78" s="407">
        <f>+F32</f>
        <v>5719.0231151999997</v>
      </c>
      <c r="I78" s="356"/>
      <c r="J78" s="398"/>
      <c r="K78" s="398"/>
      <c r="L78" s="398"/>
      <c r="M78" s="407">
        <f>+K32</f>
        <v>13081.500000000002</v>
      </c>
      <c r="N78" s="356"/>
      <c r="O78" s="398"/>
      <c r="P78" s="398"/>
      <c r="Q78" s="398"/>
      <c r="R78" s="407">
        <f>+P32</f>
        <v>4781.0251545319989</v>
      </c>
      <c r="S78" s="356"/>
      <c r="T78" s="398"/>
      <c r="U78" s="398"/>
      <c r="V78" s="398"/>
      <c r="W78" s="407">
        <f>+U32</f>
        <v>14380.254073276003</v>
      </c>
      <c r="X78" s="356"/>
      <c r="Y78" s="398"/>
      <c r="Z78" s="398"/>
      <c r="AA78" s="398"/>
      <c r="AB78" s="407">
        <f>+Z32</f>
        <v>14096.599889372003</v>
      </c>
      <c r="AC78" s="356"/>
      <c r="AD78" s="398"/>
      <c r="AE78" s="398"/>
      <c r="AF78" s="398"/>
      <c r="AG78" s="407">
        <f>+AE32</f>
        <v>9202.1888249477997</v>
      </c>
      <c r="AH78" s="407"/>
    </row>
    <row r="79" spans="2:34" ht="16">
      <c r="B79" s="364"/>
      <c r="C79" s="356" t="str">
        <f>TEXT(Forward_Year_2,"yyyy-mm-dd")&amp;" "&amp;C33</f>
        <v>2026-10-31 Reported Net Income:</v>
      </c>
      <c r="D79" s="356"/>
      <c r="E79" s="398"/>
      <c r="F79" s="398"/>
      <c r="G79" s="398"/>
      <c r="H79" s="407">
        <f>+F33</f>
        <v>4940.018688000001</v>
      </c>
      <c r="I79" s="356"/>
      <c r="J79" s="398"/>
      <c r="K79" s="398"/>
      <c r="L79" s="398"/>
      <c r="M79" s="407">
        <f>+K33</f>
        <v>11119.275</v>
      </c>
      <c r="N79" s="356"/>
      <c r="O79" s="398"/>
      <c r="P79" s="398"/>
      <c r="Q79" s="398"/>
      <c r="R79" s="407">
        <f>+P33</f>
        <v>4943.3504400000002</v>
      </c>
      <c r="S79" s="356"/>
      <c r="T79" s="398"/>
      <c r="U79" s="398"/>
      <c r="V79" s="398"/>
      <c r="W79" s="407">
        <f>+U33</f>
        <v>17733.462600000003</v>
      </c>
      <c r="X79" s="356"/>
      <c r="Y79" s="398"/>
      <c r="Z79" s="398"/>
      <c r="AA79" s="398"/>
      <c r="AB79" s="407">
        <f>+Z33</f>
        <v>9107.2576000000008</v>
      </c>
      <c r="AC79" s="356"/>
      <c r="AD79" s="398"/>
      <c r="AE79" s="398"/>
      <c r="AF79" s="398"/>
      <c r="AG79" s="407">
        <f>+AE33</f>
        <v>7397.2100046436117</v>
      </c>
      <c r="AH79" s="407"/>
    </row>
    <row r="80" spans="2:34" ht="16">
      <c r="B80" s="364"/>
      <c r="C80" s="356"/>
      <c r="D80" s="356"/>
      <c r="E80" s="398"/>
      <c r="F80" s="398"/>
      <c r="G80" s="398"/>
      <c r="H80" s="398"/>
      <c r="I80" s="356"/>
      <c r="J80" s="398"/>
      <c r="K80" s="398"/>
      <c r="L80" s="398"/>
      <c r="M80" s="398"/>
      <c r="N80" s="356"/>
      <c r="O80" s="398"/>
      <c r="P80" s="398"/>
      <c r="Q80" s="398"/>
      <c r="R80" s="398"/>
      <c r="S80" s="356"/>
      <c r="T80" s="398"/>
      <c r="U80" s="398"/>
      <c r="V80" s="398"/>
      <c r="W80" s="398"/>
      <c r="X80" s="356"/>
      <c r="Y80" s="398"/>
      <c r="Z80" s="398"/>
      <c r="AA80" s="398"/>
      <c r="AB80" s="398"/>
      <c r="AC80" s="356"/>
      <c r="AD80" s="398"/>
      <c r="AE80" s="398"/>
      <c r="AF80" s="398"/>
      <c r="AG80" s="398"/>
      <c r="AH80" s="356"/>
    </row>
    <row r="81" spans="2:34" ht="16">
      <c r="B81" s="364"/>
      <c r="C81" s="356" t="str">
        <f>TEXT(Forward_Year_3,"yyyy-mm-dd")&amp;" "&amp;C31</f>
        <v>2027-10-31 Revenue:</v>
      </c>
      <c r="D81" s="356"/>
      <c r="E81" s="398"/>
      <c r="F81" s="398"/>
      <c r="G81" s="398"/>
      <c r="H81" s="407">
        <f>+G31</f>
        <v>19569.782222325</v>
      </c>
      <c r="I81" s="356"/>
      <c r="J81" s="398"/>
      <c r="K81" s="398"/>
      <c r="L81" s="398"/>
      <c r="M81" s="407">
        <f>+L31</f>
        <v>43553.700000000004</v>
      </c>
      <c r="N81" s="356"/>
      <c r="O81" s="398"/>
      <c r="P81" s="398"/>
      <c r="Q81" s="398"/>
      <c r="R81" s="407">
        <f>+Q31</f>
        <v>11650.183013787997</v>
      </c>
      <c r="S81" s="356"/>
      <c r="T81" s="398"/>
      <c r="U81" s="398"/>
      <c r="V81" s="398"/>
      <c r="W81" s="407">
        <f>+V31</f>
        <v>47962.883346196009</v>
      </c>
      <c r="X81" s="356"/>
      <c r="Y81" s="398"/>
      <c r="Z81" s="398"/>
      <c r="AA81" s="398"/>
      <c r="AB81" s="407">
        <f>+AA31</f>
        <v>52171.469358008013</v>
      </c>
      <c r="AC81" s="356"/>
      <c r="AD81" s="398"/>
      <c r="AE81" s="398"/>
      <c r="AF81" s="398"/>
      <c r="AG81" s="407">
        <f>+AF31</f>
        <v>31316.528779159173</v>
      </c>
      <c r="AH81" s="407"/>
    </row>
    <row r="82" spans="2:34" ht="16">
      <c r="B82" s="364"/>
      <c r="C82" s="356" t="str">
        <f>TEXT(Forward_Year_3,"yyyy-mm-dd")&amp;" "&amp;C32</f>
        <v>2027-10-31 EBITDA:</v>
      </c>
      <c r="D82" s="356"/>
      <c r="E82" s="398"/>
      <c r="F82" s="398"/>
      <c r="G82" s="398"/>
      <c r="H82" s="407">
        <f>+G32</f>
        <v>6262.330311144</v>
      </c>
      <c r="I82" s="356"/>
      <c r="J82" s="398"/>
      <c r="K82" s="398"/>
      <c r="L82" s="398"/>
      <c r="M82" s="407">
        <f>+L32</f>
        <v>14808.258000000003</v>
      </c>
      <c r="N82" s="356"/>
      <c r="O82" s="398"/>
      <c r="P82" s="398"/>
      <c r="Q82" s="398"/>
      <c r="R82" s="407">
        <f>+Q32</f>
        <v>4881.4266827771708</v>
      </c>
      <c r="S82" s="356"/>
      <c r="T82" s="398"/>
      <c r="U82" s="398"/>
      <c r="V82" s="398"/>
      <c r="W82" s="407">
        <f>+V32</f>
        <v>16019.603037629468</v>
      </c>
      <c r="X82" s="356"/>
      <c r="Y82" s="398"/>
      <c r="Z82" s="398"/>
      <c r="AA82" s="398"/>
      <c r="AB82" s="407">
        <f>+AA32</f>
        <v>15703.612276760412</v>
      </c>
      <c r="AC82" s="356"/>
      <c r="AD82" s="398"/>
      <c r="AE82" s="398"/>
      <c r="AF82" s="398"/>
      <c r="AG82" s="407">
        <f>+AF32</f>
        <v>9767.1405018221212</v>
      </c>
      <c r="AH82" s="407"/>
    </row>
    <row r="83" spans="2:34" ht="16">
      <c r="B83" s="364"/>
      <c r="C83" s="356" t="str">
        <f>TEXT(Forward_Year_3,"yyyy-mm-dd")&amp;" "&amp;C33</f>
        <v>2027-10-31 Reported Net Income:</v>
      </c>
      <c r="D83" s="356"/>
      <c r="E83" s="398"/>
      <c r="F83" s="398"/>
      <c r="G83" s="398"/>
      <c r="H83" s="407">
        <f>+G33</f>
        <v>5611.8612295680014</v>
      </c>
      <c r="I83" s="356"/>
      <c r="J83" s="398"/>
      <c r="K83" s="398"/>
      <c r="L83" s="398"/>
      <c r="M83" s="407">
        <f>+L33</f>
        <v>12587.0193</v>
      </c>
      <c r="N83" s="356"/>
      <c r="O83" s="398"/>
      <c r="P83" s="398"/>
      <c r="Q83" s="398"/>
      <c r="R83" s="407">
        <f>+Q33</f>
        <v>6594.4294869600008</v>
      </c>
      <c r="S83" s="356"/>
      <c r="T83" s="398"/>
      <c r="U83" s="398"/>
      <c r="V83" s="398"/>
      <c r="W83" s="407">
        <f>+V33</f>
        <v>18229.999552800004</v>
      </c>
      <c r="X83" s="356"/>
      <c r="Y83" s="398"/>
      <c r="Z83" s="398"/>
      <c r="AA83" s="398"/>
      <c r="AB83" s="407">
        <f>+AA33</f>
        <v>9362.2608128000011</v>
      </c>
      <c r="AC83" s="356"/>
      <c r="AD83" s="398"/>
      <c r="AE83" s="398"/>
      <c r="AF83" s="398"/>
      <c r="AG83" s="407">
        <f>+AF33</f>
        <v>7878.0374515538824</v>
      </c>
      <c r="AH83" s="407"/>
    </row>
    <row r="84" spans="2:34" ht="16">
      <c r="B84" s="364"/>
      <c r="C84" s="356"/>
      <c r="D84" s="356"/>
      <c r="E84" s="398"/>
      <c r="F84" s="398"/>
      <c r="G84" s="398"/>
      <c r="H84" s="398"/>
      <c r="I84" s="356"/>
      <c r="J84" s="398"/>
      <c r="K84" s="398"/>
      <c r="L84" s="398"/>
      <c r="M84" s="398"/>
      <c r="N84" s="356"/>
      <c r="O84" s="398"/>
      <c r="P84" s="398"/>
      <c r="Q84" s="398"/>
      <c r="R84" s="398"/>
      <c r="S84" s="356"/>
      <c r="T84" s="398"/>
      <c r="U84" s="398"/>
      <c r="V84" s="398"/>
      <c r="W84" s="398"/>
      <c r="X84" s="356"/>
      <c r="Y84" s="398"/>
      <c r="Z84" s="398"/>
      <c r="AA84" s="398"/>
      <c r="AB84" s="398"/>
      <c r="AC84" s="356"/>
      <c r="AD84" s="398"/>
      <c r="AE84" s="398"/>
      <c r="AF84" s="398"/>
      <c r="AG84" s="398"/>
      <c r="AH84" s="356"/>
    </row>
    <row r="85" spans="2:34" ht="16">
      <c r="B85" s="364"/>
      <c r="C85" s="356" t="s">
        <v>343</v>
      </c>
      <c r="D85" s="356"/>
      <c r="E85" s="398"/>
      <c r="F85" s="398"/>
      <c r="G85" s="398"/>
      <c r="H85" s="409">
        <f>IFERROR(+H77/H73-1,"N/A")</f>
        <v>9.4999999999999973E-2</v>
      </c>
      <c r="I85" s="356"/>
      <c r="J85" s="398"/>
      <c r="K85" s="398"/>
      <c r="L85" s="398"/>
      <c r="M85" s="409">
        <f>IFERROR(+M77/M73-1,"N/A")</f>
        <v>0.13245033112582782</v>
      </c>
      <c r="N85" s="356"/>
      <c r="O85" s="398"/>
      <c r="P85" s="398"/>
      <c r="Q85" s="398"/>
      <c r="R85" s="409">
        <f>IFERROR(+R77/R73-1,"N/A")</f>
        <v>2.0999999999999908E-2</v>
      </c>
      <c r="S85" s="356"/>
      <c r="T85" s="398"/>
      <c r="U85" s="398"/>
      <c r="V85" s="398"/>
      <c r="W85" s="409">
        <f>IFERROR(+W77/W73-1,"N/A")</f>
        <v>0.1140000000000001</v>
      </c>
      <c r="X85" s="356"/>
      <c r="Y85" s="398"/>
      <c r="Z85" s="398"/>
      <c r="AA85" s="398"/>
      <c r="AB85" s="409">
        <f>IFERROR(+AB77/AB73-1,"N/A")</f>
        <v>0.1140000000000001</v>
      </c>
      <c r="AC85" s="356"/>
      <c r="AD85" s="398"/>
      <c r="AE85" s="398"/>
      <c r="AF85" s="398"/>
      <c r="AG85" s="409">
        <f>IFERROR(+AG77/AG73-1,"N/A")</f>
        <v>4.8591820572015276E-2</v>
      </c>
      <c r="AH85" s="409"/>
    </row>
    <row r="86" spans="2:34" ht="16">
      <c r="B86" s="364"/>
      <c r="C86" s="356" t="s">
        <v>344</v>
      </c>
      <c r="D86" s="356"/>
      <c r="E86" s="398"/>
      <c r="F86" s="398"/>
      <c r="G86" s="398"/>
      <c r="H86" s="409">
        <f>IFERROR(+H78/H74-1,"N/A")</f>
        <v>9.4999999999999973E-2</v>
      </c>
      <c r="I86" s="356"/>
      <c r="J86" s="398"/>
      <c r="K86" s="398"/>
      <c r="L86" s="398"/>
      <c r="M86" s="409">
        <f>IFERROR(+M78/M74-1,"N/A")</f>
        <v>0.13245033112582805</v>
      </c>
      <c r="N86" s="356"/>
      <c r="O86" s="398"/>
      <c r="P86" s="398"/>
      <c r="Q86" s="398"/>
      <c r="R86" s="409">
        <f>IFERROR(+R78/R74-1,"N/A")</f>
        <v>2.0999999999999908E-2</v>
      </c>
      <c r="S86" s="356"/>
      <c r="T86" s="398"/>
      <c r="U86" s="398"/>
      <c r="V86" s="398"/>
      <c r="W86" s="409">
        <f>IFERROR(+W78/W74-1,"N/A")</f>
        <v>0.1140000000000001</v>
      </c>
      <c r="X86" s="356"/>
      <c r="Y86" s="398"/>
      <c r="Z86" s="398"/>
      <c r="AA86" s="398"/>
      <c r="AB86" s="409">
        <f>IFERROR(+AB78/AB74-1,"N/A")</f>
        <v>0.11400000000000032</v>
      </c>
      <c r="AC86" s="356"/>
      <c r="AD86" s="398"/>
      <c r="AE86" s="398"/>
      <c r="AF86" s="398"/>
      <c r="AG86" s="409">
        <f>IFERROR(+AG78/AG74-1,"N/A")</f>
        <v>5.1920054095171642E-2</v>
      </c>
      <c r="AH86" s="409"/>
    </row>
    <row r="87" spans="2:34" ht="16">
      <c r="B87" s="364"/>
      <c r="C87" s="356"/>
      <c r="D87" s="356"/>
      <c r="E87" s="398"/>
      <c r="F87" s="398"/>
      <c r="G87" s="398"/>
      <c r="H87" s="398"/>
      <c r="I87" s="356"/>
      <c r="J87" s="398"/>
      <c r="K87" s="398"/>
      <c r="L87" s="398"/>
      <c r="M87" s="398"/>
      <c r="N87" s="356"/>
      <c r="O87" s="398"/>
      <c r="P87" s="398"/>
      <c r="Q87" s="398"/>
      <c r="R87" s="398"/>
      <c r="S87" s="356"/>
      <c r="T87" s="398"/>
      <c r="U87" s="398"/>
      <c r="V87" s="398"/>
      <c r="W87" s="398"/>
      <c r="X87" s="356"/>
      <c r="Y87" s="398"/>
      <c r="Z87" s="398"/>
      <c r="AA87" s="398"/>
      <c r="AB87" s="398"/>
      <c r="AC87" s="356"/>
      <c r="AD87" s="398"/>
      <c r="AE87" s="398"/>
      <c r="AF87" s="398"/>
      <c r="AG87" s="398"/>
      <c r="AH87" s="356"/>
    </row>
    <row r="88" spans="2:34" ht="16">
      <c r="B88" s="364"/>
      <c r="C88" s="356" t="s">
        <v>345</v>
      </c>
      <c r="D88" s="356"/>
      <c r="E88" s="398"/>
      <c r="F88" s="398"/>
      <c r="G88" s="398"/>
      <c r="H88" s="409">
        <f>IFERROR(+H14/H8,"N/A")</f>
        <v>0.31883124712981331</v>
      </c>
      <c r="I88" s="356"/>
      <c r="J88" s="398"/>
      <c r="K88" s="398"/>
      <c r="L88" s="398"/>
      <c r="M88" s="409">
        <f>IFERROR(+M14/M8,"N/A")</f>
        <v>0.33788017379373425</v>
      </c>
      <c r="N88" s="356"/>
      <c r="O88" s="398"/>
      <c r="P88" s="398"/>
      <c r="Q88" s="398"/>
      <c r="R88" s="409">
        <f>IFERROR(+R14/R8,"N/A")</f>
        <v>0.41965779467680614</v>
      </c>
      <c r="S88" s="356"/>
      <c r="T88" s="398"/>
      <c r="U88" s="398"/>
      <c r="V88" s="398"/>
      <c r="W88" s="409">
        <f>IFERROR(+W14/W8,"N/A")</f>
        <v>0.34422727758197158</v>
      </c>
      <c r="X88" s="356"/>
      <c r="Y88" s="398"/>
      <c r="Z88" s="398"/>
      <c r="AA88" s="398"/>
      <c r="AB88" s="409">
        <f>IFERROR(+AB14/AB8,"N/A")</f>
        <v>0.30080591345413482</v>
      </c>
      <c r="AC88" s="356"/>
      <c r="AD88" s="398"/>
      <c r="AE88" s="398"/>
      <c r="AF88" s="398"/>
      <c r="AG88" s="409">
        <f>IFERROR(+AG14/AG8,"N/A")</f>
        <v>0.30390785987636149</v>
      </c>
      <c r="AH88" s="409"/>
    </row>
    <row r="89" spans="2:34" ht="16">
      <c r="B89" s="364"/>
      <c r="C89" s="356" t="str">
        <f>TEXT(Forward_Year_1,"yyyy-mm-dd")&amp;" EBITDA Margin:"</f>
        <v>2025-10-31 EBITDA Margin:</v>
      </c>
      <c r="D89" s="356"/>
      <c r="E89" s="398"/>
      <c r="F89" s="398"/>
      <c r="G89" s="398"/>
      <c r="H89" s="409">
        <f>IFERROR(+H74/H73,"N/A")</f>
        <v>0.32</v>
      </c>
      <c r="I89" s="356"/>
      <c r="J89" s="398"/>
      <c r="K89" s="398"/>
      <c r="L89" s="398"/>
      <c r="M89" s="409">
        <f>IFERROR(+M74/M73,"N/A")</f>
        <v>0.34</v>
      </c>
      <c r="N89" s="356"/>
      <c r="O89" s="398"/>
      <c r="P89" s="398"/>
      <c r="Q89" s="398"/>
      <c r="R89" s="409">
        <f>IFERROR(+R74/R73,"N/A")</f>
        <v>0.41899999999999998</v>
      </c>
      <c r="S89" s="356"/>
      <c r="T89" s="398"/>
      <c r="U89" s="398"/>
      <c r="V89" s="398"/>
      <c r="W89" s="409">
        <f>IFERROR(+W74/W73,"N/A")</f>
        <v>0.33400000000000002</v>
      </c>
      <c r="X89" s="356"/>
      <c r="Y89" s="398"/>
      <c r="Z89" s="398"/>
      <c r="AA89" s="398"/>
      <c r="AB89" s="409">
        <f>IFERROR(+AB74/AB73,"N/A")</f>
        <v>0.30099999999999999</v>
      </c>
      <c r="AC89" s="356"/>
      <c r="AD89" s="398"/>
      <c r="AE89" s="398"/>
      <c r="AF89" s="398"/>
      <c r="AG89" s="409">
        <f>IFERROR(+AG74/AG73,"N/A")</f>
        <v>0.31013526684332626</v>
      </c>
      <c r="AH89" s="409"/>
    </row>
    <row r="90" spans="2:34" ht="16">
      <c r="B90" s="364"/>
      <c r="C90" s="356" t="str">
        <f>TEXT(Forward_Year_2,"yyyy-mm-dd")&amp;" EBITDA Margin:"</f>
        <v>2026-10-31 EBITDA Margin:</v>
      </c>
      <c r="D90" s="356"/>
      <c r="E90" s="398"/>
      <c r="F90" s="398"/>
      <c r="G90" s="398"/>
      <c r="H90" s="409">
        <f>IFERROR(+H78/H77,"N/A")</f>
        <v>0.32</v>
      </c>
      <c r="I90" s="356"/>
      <c r="J90" s="398"/>
      <c r="K90" s="398"/>
      <c r="L90" s="398"/>
      <c r="M90" s="409">
        <f>IFERROR(+M78/M77,"N/A")</f>
        <v>0.34</v>
      </c>
      <c r="N90" s="356"/>
      <c r="O90" s="398"/>
      <c r="P90" s="398"/>
      <c r="Q90" s="398"/>
      <c r="R90" s="409">
        <f>IFERROR(+R78/R77,"N/A")</f>
        <v>0.41899999999999993</v>
      </c>
      <c r="S90" s="356"/>
      <c r="T90" s="398"/>
      <c r="U90" s="398"/>
      <c r="V90" s="398"/>
      <c r="W90" s="409">
        <f>IFERROR(+W78/W77,"N/A")</f>
        <v>0.33400000000000002</v>
      </c>
      <c r="X90" s="356"/>
      <c r="Y90" s="398"/>
      <c r="Z90" s="398"/>
      <c r="AA90" s="398"/>
      <c r="AB90" s="409">
        <f>IFERROR(+AB78/AB77,"N/A")</f>
        <v>0.30099999999999999</v>
      </c>
      <c r="AC90" s="356"/>
      <c r="AD90" s="398"/>
      <c r="AE90" s="398"/>
      <c r="AF90" s="398"/>
      <c r="AG90" s="409">
        <f>IFERROR(+AG78/AG77,"N/A")</f>
        <v>0.31111963709261725</v>
      </c>
      <c r="AH90" s="409"/>
    </row>
    <row r="91" spans="2:34" ht="16">
      <c r="B91" s="364"/>
      <c r="C91" s="356"/>
      <c r="D91" s="356"/>
      <c r="E91" s="398"/>
      <c r="F91" s="398"/>
      <c r="G91" s="398"/>
      <c r="H91" s="398"/>
      <c r="I91" s="356"/>
      <c r="J91" s="398"/>
      <c r="K91" s="398"/>
      <c r="L91" s="398"/>
      <c r="M91" s="398"/>
      <c r="N91" s="356"/>
      <c r="O91" s="398"/>
      <c r="P91" s="398"/>
      <c r="Q91" s="398"/>
      <c r="R91" s="398"/>
      <c r="S91" s="356"/>
      <c r="T91" s="398"/>
      <c r="U91" s="398"/>
      <c r="V91" s="398"/>
      <c r="W91" s="398"/>
      <c r="X91" s="356"/>
      <c r="Y91" s="398"/>
      <c r="Z91" s="398"/>
      <c r="AA91" s="398"/>
      <c r="AB91" s="398"/>
      <c r="AC91" s="356"/>
      <c r="AD91" s="398"/>
      <c r="AE91" s="398"/>
      <c r="AF91" s="398"/>
      <c r="AG91" s="398"/>
      <c r="AH91" s="356"/>
    </row>
    <row r="92" spans="2:34" ht="16">
      <c r="B92" s="364"/>
      <c r="C92" s="356" t="str">
        <f>TEXT(E66,"mm/dd/yyyy")&amp;" "&amp;C67</f>
        <v>LTM EV / Revenue:</v>
      </c>
      <c r="D92" s="356"/>
      <c r="E92" s="398"/>
      <c r="F92" s="398"/>
      <c r="G92" s="398"/>
      <c r="H92" s="405">
        <f>+E67</f>
        <v>5.8357121847284263</v>
      </c>
      <c r="I92" s="356"/>
      <c r="J92" s="398"/>
      <c r="K92" s="398"/>
      <c r="L92" s="398"/>
      <c r="M92" s="405">
        <f>+J67</f>
        <v>9.9878482506288577</v>
      </c>
      <c r="N92" s="356"/>
      <c r="O92" s="398"/>
      <c r="P92" s="398"/>
      <c r="Q92" s="398"/>
      <c r="R92" s="405">
        <f>+O67</f>
        <v>8.8724494979038688</v>
      </c>
      <c r="S92" s="356"/>
      <c r="T92" s="398"/>
      <c r="U92" s="398"/>
      <c r="V92" s="398"/>
      <c r="W92" s="405">
        <f>+T67</f>
        <v>16.627662544056388</v>
      </c>
      <c r="X92" s="356"/>
      <c r="Y92" s="398"/>
      <c r="Z92" s="398"/>
      <c r="AA92" s="398"/>
      <c r="AB92" s="405">
        <f>+Y67</f>
        <v>4.8962347928751084</v>
      </c>
      <c r="AC92" s="356"/>
      <c r="AD92" s="398"/>
      <c r="AE92" s="398"/>
      <c r="AF92" s="398"/>
      <c r="AG92" s="405">
        <f>+AD67</f>
        <v>5.1783345599057995</v>
      </c>
      <c r="AH92" s="405"/>
    </row>
    <row r="93" spans="2:34" ht="16">
      <c r="B93" s="364"/>
      <c r="C93" s="356" t="str">
        <f>TEXT(E66,"mm/dd/yyyy")&amp;" "&amp;C68</f>
        <v>LTM EV / EBITDA:</v>
      </c>
      <c r="D93" s="356"/>
      <c r="E93" s="398"/>
      <c r="F93" s="398"/>
      <c r="G93" s="398"/>
      <c r="H93" s="405">
        <f>+E68</f>
        <v>18.303451237175619</v>
      </c>
      <c r="I93" s="356"/>
      <c r="J93" s="398"/>
      <c r="K93" s="398"/>
      <c r="L93" s="398"/>
      <c r="M93" s="405">
        <f>+J68</f>
        <v>29.56032648641332</v>
      </c>
      <c r="N93" s="356"/>
      <c r="O93" s="398"/>
      <c r="P93" s="398"/>
      <c r="Q93" s="398"/>
      <c r="R93" s="405">
        <f>+O68</f>
        <v>21.142105807272969</v>
      </c>
      <c r="S93" s="356"/>
      <c r="T93" s="398"/>
      <c r="U93" s="398"/>
      <c r="V93" s="398"/>
      <c r="W93" s="405">
        <f>+T68</f>
        <v>48.304314117282026</v>
      </c>
      <c r="X93" s="356"/>
      <c r="Y93" s="398"/>
      <c r="Z93" s="398"/>
      <c r="AA93" s="398"/>
      <c r="AB93" s="405">
        <f>+Y68</f>
        <v>16.277056313993171</v>
      </c>
      <c r="AC93" s="356"/>
      <c r="AD93" s="398"/>
      <c r="AE93" s="398"/>
      <c r="AF93" s="398"/>
      <c r="AG93" s="405">
        <f>+AD68</f>
        <v>17.039159704564717</v>
      </c>
      <c r="AH93" s="405"/>
    </row>
    <row r="94" spans="2:34" ht="16">
      <c r="B94" s="364"/>
      <c r="C94" s="356" t="str">
        <f>TEXT(E66,"mm/dd/yyyy")&amp;" "&amp;C69</f>
        <v>LTM P / E:</v>
      </c>
      <c r="D94" s="356"/>
      <c r="E94" s="398"/>
      <c r="F94" s="398"/>
      <c r="G94" s="398"/>
      <c r="H94" s="405">
        <f>+E69</f>
        <v>23.328187355188561</v>
      </c>
      <c r="I94" s="356"/>
      <c r="J94" s="398"/>
      <c r="K94" s="398"/>
      <c r="L94" s="398"/>
      <c r="M94" s="405">
        <f>+J69</f>
        <v>38.392141244405948</v>
      </c>
      <c r="N94" s="356"/>
      <c r="O94" s="398"/>
      <c r="P94" s="398"/>
      <c r="Q94" s="398"/>
      <c r="R94" s="405">
        <f>+O69</f>
        <v>29.366255731625081</v>
      </c>
      <c r="S94" s="356"/>
      <c r="T94" s="398"/>
      <c r="U94" s="398"/>
      <c r="V94" s="398"/>
      <c r="W94" s="405">
        <f>+T69</f>
        <v>54.429515572898183</v>
      </c>
      <c r="X94" s="356"/>
      <c r="Y94" s="398"/>
      <c r="Z94" s="398"/>
      <c r="AA94" s="398"/>
      <c r="AB94" s="405">
        <f>+Y69</f>
        <v>25.799239491150438</v>
      </c>
      <c r="AC94" s="356"/>
      <c r="AD94" s="398"/>
      <c r="AE94" s="398"/>
      <c r="AF94" s="398"/>
      <c r="AG94" s="405">
        <f>+AD69</f>
        <v>20.164890622822909</v>
      </c>
      <c r="AH94" s="405"/>
    </row>
    <row r="95" spans="2:34" ht="16">
      <c r="B95" s="364"/>
      <c r="C95" s="356"/>
      <c r="D95" s="356"/>
      <c r="E95" s="398"/>
      <c r="F95" s="398"/>
      <c r="G95" s="398"/>
      <c r="H95" s="398"/>
      <c r="I95" s="356"/>
      <c r="J95" s="398"/>
      <c r="K95" s="398"/>
      <c r="L95" s="398"/>
      <c r="M95" s="398"/>
      <c r="N95" s="356"/>
      <c r="O95" s="398"/>
      <c r="P95" s="398"/>
      <c r="Q95" s="398"/>
      <c r="R95" s="398"/>
      <c r="S95" s="356"/>
      <c r="T95" s="398"/>
      <c r="U95" s="398"/>
      <c r="V95" s="398"/>
      <c r="W95" s="398"/>
      <c r="X95" s="356"/>
      <c r="Y95" s="398"/>
      <c r="Z95" s="398"/>
      <c r="AA95" s="398"/>
      <c r="AB95" s="398"/>
      <c r="AC95" s="356"/>
      <c r="AD95" s="398"/>
      <c r="AE95" s="398"/>
      <c r="AF95" s="398"/>
      <c r="AG95" s="398"/>
      <c r="AH95" s="356"/>
    </row>
    <row r="96" spans="2:34" ht="16">
      <c r="B96" s="364"/>
      <c r="C96" s="356" t="str">
        <f>TEXT(Forward_Year_1,"yyyy-mm-dd")&amp;" "&amp;C67</f>
        <v>2025-10-31 EV / Revenue:</v>
      </c>
      <c r="D96" s="356"/>
      <c r="E96" s="398"/>
      <c r="F96" s="398"/>
      <c r="G96" s="398"/>
      <c r="H96" s="405">
        <f>+F67</f>
        <v>5.5746678366634068</v>
      </c>
      <c r="I96" s="356"/>
      <c r="J96" s="398"/>
      <c r="K96" s="398"/>
      <c r="L96" s="398"/>
      <c r="M96" s="405">
        <f>+K67</f>
        <v>7.7133528300220746</v>
      </c>
      <c r="N96" s="356"/>
      <c r="O96" s="398"/>
      <c r="P96" s="398"/>
      <c r="Q96" s="398"/>
      <c r="R96" s="405">
        <f>+P67</f>
        <v>8.1429661212891897</v>
      </c>
      <c r="S96" s="356"/>
      <c r="T96" s="398"/>
      <c r="U96" s="398"/>
      <c r="V96" s="398"/>
      <c r="W96" s="405">
        <f>+U67</f>
        <v>20.141013846752568</v>
      </c>
      <c r="X96" s="356"/>
      <c r="Y96" s="398"/>
      <c r="Z96" s="398"/>
      <c r="AA96" s="398"/>
      <c r="AB96" s="405">
        <f>+Z67</f>
        <v>4.5377523566961155</v>
      </c>
      <c r="AC96" s="356"/>
      <c r="AD96" s="398"/>
      <c r="AE96" s="398"/>
      <c r="AF96" s="398"/>
      <c r="AG96" s="405">
        <f>+AE67</f>
        <v>4.9890561101706528</v>
      </c>
      <c r="AH96" s="405"/>
    </row>
    <row r="97" spans="2:34" ht="16">
      <c r="B97" s="364"/>
      <c r="C97" s="356" t="str">
        <f>TEXT(Forward_Year_1,"yyyy-mm-dd")&amp;" "&amp;C68</f>
        <v>2025-10-31 EV / EBITDA:</v>
      </c>
      <c r="D97" s="356"/>
      <c r="E97" s="398"/>
      <c r="F97" s="398"/>
      <c r="G97" s="398"/>
      <c r="H97" s="405">
        <f>+F68</f>
        <v>17.420836989573147</v>
      </c>
      <c r="I97" s="356"/>
      <c r="J97" s="398"/>
      <c r="K97" s="398"/>
      <c r="L97" s="398"/>
      <c r="M97" s="405">
        <f>+K68</f>
        <v>22.686331853006102</v>
      </c>
      <c r="N97" s="356"/>
      <c r="O97" s="398"/>
      <c r="P97" s="398"/>
      <c r="Q97" s="398"/>
      <c r="R97" s="405">
        <f>+P68</f>
        <v>19.434286685654396</v>
      </c>
      <c r="S97" s="356"/>
      <c r="T97" s="398"/>
      <c r="U97" s="398"/>
      <c r="V97" s="398"/>
      <c r="W97" s="405">
        <f>+U68</f>
        <v>60.302436666923853</v>
      </c>
      <c r="X97" s="356"/>
      <c r="Y97" s="398"/>
      <c r="Z97" s="398"/>
      <c r="AA97" s="398"/>
      <c r="AB97" s="405">
        <f>+Z68</f>
        <v>15.075589224904039</v>
      </c>
      <c r="AC97" s="356"/>
      <c r="AD97" s="398"/>
      <c r="AE97" s="398"/>
      <c r="AF97" s="398"/>
      <c r="AG97" s="405">
        <f>+AE68</f>
        <v>16.08671003769145</v>
      </c>
      <c r="AH97" s="405"/>
    </row>
    <row r="98" spans="2:34" ht="16">
      <c r="B98" s="364"/>
      <c r="C98" s="356" t="str">
        <f>TEXT(Forward_Year_1,"yyyy-mm-dd")&amp;" "&amp;C69</f>
        <v>2025-10-31 P / E:</v>
      </c>
      <c r="D98" s="356"/>
      <c r="E98" s="398"/>
      <c r="F98" s="398"/>
      <c r="G98" s="398"/>
      <c r="H98" s="405">
        <f>+F69</f>
        <v>21.763850892055572</v>
      </c>
      <c r="I98" s="356"/>
      <c r="J98" s="398"/>
      <c r="K98" s="398"/>
      <c r="L98" s="398"/>
      <c r="M98" s="405">
        <f>+K69</f>
        <v>27.085085705701577</v>
      </c>
      <c r="N98" s="356"/>
      <c r="O98" s="398"/>
      <c r="P98" s="398"/>
      <c r="Q98" s="398"/>
      <c r="R98" s="405">
        <f>+P69</f>
        <v>23.504669748438875</v>
      </c>
      <c r="S98" s="356"/>
      <c r="T98" s="398"/>
      <c r="U98" s="398"/>
      <c r="V98" s="398"/>
      <c r="W98" s="405">
        <f>+U69</f>
        <v>44.473275885556603</v>
      </c>
      <c r="X98" s="356"/>
      <c r="Y98" s="398"/>
      <c r="Z98" s="398"/>
      <c r="AA98" s="398"/>
      <c r="AB98" s="405">
        <f>+Z69</f>
        <v>21.060603666245253</v>
      </c>
      <c r="AC98" s="356"/>
      <c r="AD98" s="398"/>
      <c r="AE98" s="398"/>
      <c r="AF98" s="398"/>
      <c r="AG98" s="405">
        <f>+AE69</f>
        <v>20.625432671586385</v>
      </c>
      <c r="AH98" s="405"/>
    </row>
    <row r="99" spans="2:34" ht="16">
      <c r="B99" s="364"/>
      <c r="C99" s="356"/>
      <c r="D99" s="356"/>
      <c r="E99" s="398"/>
      <c r="F99" s="398"/>
      <c r="G99" s="398"/>
      <c r="H99" s="398"/>
      <c r="I99" s="356"/>
      <c r="J99" s="398"/>
      <c r="K99" s="398"/>
      <c r="L99" s="398"/>
      <c r="M99" s="398"/>
      <c r="N99" s="356"/>
      <c r="O99" s="398"/>
      <c r="P99" s="398"/>
      <c r="Q99" s="398"/>
      <c r="R99" s="398"/>
      <c r="S99" s="356"/>
      <c r="T99" s="398"/>
      <c r="U99" s="398"/>
      <c r="V99" s="398"/>
      <c r="W99" s="398"/>
      <c r="X99" s="356"/>
      <c r="Y99" s="398"/>
      <c r="Z99" s="398"/>
      <c r="AA99" s="398"/>
      <c r="AB99" s="398"/>
      <c r="AC99" s="356"/>
      <c r="AD99" s="398"/>
      <c r="AE99" s="398"/>
      <c r="AF99" s="398"/>
      <c r="AG99" s="398"/>
      <c r="AH99" s="356"/>
    </row>
    <row r="100" spans="2:34" ht="16">
      <c r="B100" s="364"/>
      <c r="C100" s="356" t="str">
        <f>TEXT(Forward_Year_2,"yyyy-mm-dd")&amp;" "&amp;C67</f>
        <v>2026-10-31 EV / Revenue:</v>
      </c>
      <c r="D100" s="356"/>
      <c r="E100" s="398"/>
      <c r="F100" s="398"/>
      <c r="G100" s="398"/>
      <c r="H100" s="405">
        <f>+G67</f>
        <v>5.0910208554003713</v>
      </c>
      <c r="I100" s="356"/>
      <c r="J100" s="398"/>
      <c r="K100" s="398"/>
      <c r="L100" s="398"/>
      <c r="M100" s="405">
        <f>+L67</f>
        <v>6.8112063001949315</v>
      </c>
      <c r="N100" s="356"/>
      <c r="O100" s="398"/>
      <c r="P100" s="398"/>
      <c r="Q100" s="398"/>
      <c r="R100" s="405">
        <f>+Q67</f>
        <v>7.9754810198718822</v>
      </c>
      <c r="S100" s="356"/>
      <c r="T100" s="398"/>
      <c r="U100" s="398"/>
      <c r="V100" s="398"/>
      <c r="W100" s="405">
        <f>+V67</f>
        <v>18.079904709831748</v>
      </c>
      <c r="X100" s="356"/>
      <c r="Y100" s="398"/>
      <c r="Z100" s="398"/>
      <c r="AA100" s="398"/>
      <c r="AB100" s="405">
        <f>+AA67</f>
        <v>4.0733863166033348</v>
      </c>
      <c r="AC100" s="356"/>
      <c r="AD100" s="398"/>
      <c r="AE100" s="398"/>
      <c r="AF100" s="398"/>
      <c r="AG100" s="405">
        <f>+AF67</f>
        <v>4.7578628902989939</v>
      </c>
      <c r="AH100" s="405"/>
    </row>
    <row r="101" spans="2:34" ht="16">
      <c r="B101" s="364"/>
      <c r="C101" s="356" t="str">
        <f>TEXT(Forward_Year_2,"yyyy-mm-dd")&amp;" "&amp;C68</f>
        <v>2026-10-31 EV / EBITDA:</v>
      </c>
      <c r="D101" s="356"/>
      <c r="E101" s="398"/>
      <c r="F101" s="398"/>
      <c r="G101" s="398"/>
      <c r="H101" s="405">
        <f>+G68</f>
        <v>15.909440173126161</v>
      </c>
      <c r="I101" s="356"/>
      <c r="J101" s="398"/>
      <c r="K101" s="398"/>
      <c r="L101" s="398"/>
      <c r="M101" s="405">
        <f>+L68</f>
        <v>20.032959706455678</v>
      </c>
      <c r="N101" s="356"/>
      <c r="O101" s="398"/>
      <c r="P101" s="398"/>
      <c r="Q101" s="398"/>
      <c r="R101" s="405">
        <f>+Q68</f>
        <v>19.034560906615475</v>
      </c>
      <c r="S101" s="356"/>
      <c r="T101" s="398"/>
      <c r="U101" s="398"/>
      <c r="V101" s="398"/>
      <c r="W101" s="405">
        <f>+V68</f>
        <v>54.131451227041161</v>
      </c>
      <c r="X101" s="356"/>
      <c r="Y101" s="398"/>
      <c r="Z101" s="398"/>
      <c r="AA101" s="398"/>
      <c r="AB101" s="405">
        <f>+AA68</f>
        <v>13.532844905658918</v>
      </c>
      <c r="AC101" s="356"/>
      <c r="AD101" s="398"/>
      <c r="AE101" s="398"/>
      <c r="AF101" s="398"/>
      <c r="AG101" s="405">
        <f>+AF68</f>
        <v>15.292711622965236</v>
      </c>
      <c r="AH101" s="405"/>
    </row>
    <row r="102" spans="2:34" ht="16">
      <c r="B102" s="364"/>
      <c r="C102" s="356" t="str">
        <f>TEXT(Forward_Year_2,"yyyy-mm-dd")&amp;" "&amp;C69</f>
        <v>2026-10-31 P / E:</v>
      </c>
      <c r="D102" s="356"/>
      <c r="E102" s="398"/>
      <c r="F102" s="398"/>
      <c r="G102" s="398"/>
      <c r="H102" s="405">
        <f>+G69</f>
        <v>19.158319447232014</v>
      </c>
      <c r="I102" s="356"/>
      <c r="J102" s="398"/>
      <c r="K102" s="398"/>
      <c r="L102" s="398"/>
      <c r="M102" s="405">
        <f>+L69</f>
        <v>23.917239424332969</v>
      </c>
      <c r="N102" s="356"/>
      <c r="O102" s="398"/>
      <c r="P102" s="398"/>
      <c r="Q102" s="398"/>
      <c r="R102" s="405">
        <f>+Q69</f>
        <v>17.619692465096605</v>
      </c>
      <c r="S102" s="356"/>
      <c r="T102" s="398"/>
      <c r="U102" s="398"/>
      <c r="V102" s="398"/>
      <c r="W102" s="405">
        <f>+V69</f>
        <v>43.261941522914974</v>
      </c>
      <c r="X102" s="356"/>
      <c r="Y102" s="398"/>
      <c r="Z102" s="398"/>
      <c r="AA102" s="398"/>
      <c r="AB102" s="405">
        <f>+AA69</f>
        <v>20.48696854693118</v>
      </c>
      <c r="AC102" s="356"/>
      <c r="AD102" s="398"/>
      <c r="AE102" s="398"/>
      <c r="AF102" s="398"/>
      <c r="AG102" s="405">
        <f>+AF69</f>
        <v>19.564595287838202</v>
      </c>
      <c r="AH102" s="405"/>
    </row>
    <row r="103" spans="2:34" ht="16">
      <c r="B103" s="364"/>
      <c r="C103" s="356"/>
      <c r="D103" s="356"/>
      <c r="E103" s="356"/>
      <c r="F103" s="356"/>
      <c r="G103" s="356"/>
      <c r="H103" s="356"/>
      <c r="I103" s="356"/>
      <c r="J103" s="356"/>
      <c r="K103" s="356"/>
      <c r="L103" s="356"/>
      <c r="M103" s="356"/>
      <c r="N103" s="356"/>
      <c r="O103" s="356"/>
      <c r="P103" s="356"/>
      <c r="Q103" s="356"/>
      <c r="R103" s="356"/>
      <c r="S103" s="356"/>
      <c r="T103" s="356"/>
      <c r="U103" s="356"/>
      <c r="V103" s="356"/>
      <c r="W103" s="356"/>
      <c r="X103" s="356"/>
      <c r="Y103" s="356"/>
      <c r="Z103" s="356"/>
      <c r="AA103" s="356"/>
      <c r="AB103" s="356"/>
      <c r="AC103" s="356"/>
      <c r="AD103" s="356"/>
      <c r="AE103" s="356"/>
      <c r="AF103" s="356"/>
      <c r="AG103" s="356"/>
      <c r="AH103" s="356"/>
    </row>
    <row r="104" spans="2:34" ht="16">
      <c r="B104" s="364"/>
      <c r="C104" s="368" t="s">
        <v>346</v>
      </c>
      <c r="D104" s="356"/>
      <c r="E104" s="369" t="s">
        <v>347</v>
      </c>
      <c r="F104" s="356"/>
      <c r="G104" s="356"/>
      <c r="H104" s="370"/>
      <c r="I104" s="356"/>
      <c r="J104" s="369" t="s">
        <v>358</v>
      </c>
      <c r="K104" s="356"/>
      <c r="L104" s="356"/>
      <c r="M104" s="370"/>
      <c r="N104" s="356"/>
      <c r="O104" s="369" t="s">
        <v>357</v>
      </c>
      <c r="P104" s="356"/>
      <c r="Q104" s="356"/>
      <c r="R104" s="370"/>
      <c r="S104" s="356"/>
      <c r="T104" s="369" t="s">
        <v>361</v>
      </c>
      <c r="U104" s="356"/>
      <c r="V104" s="356"/>
      <c r="W104" s="370"/>
      <c r="X104" s="356"/>
      <c r="Y104" s="369" t="s">
        <v>365</v>
      </c>
      <c r="Z104" s="356"/>
      <c r="AA104" s="356"/>
      <c r="AB104" s="370"/>
      <c r="AC104" s="356"/>
      <c r="AD104" s="369" t="s">
        <v>501</v>
      </c>
      <c r="AE104" s="356"/>
      <c r="AF104" s="356"/>
      <c r="AG104" s="370"/>
      <c r="AH104" s="427"/>
    </row>
  </sheetData>
  <hyperlinks>
    <hyperlink ref="G8" r:id="rId1" tooltip="Revenue_x000a_ FY: 2024_x000a_ Period End Date: Jun-30-2024_x000a_ Filing Date: Aug-29-2024_x000a_ Period Type: Annual_x000a_ Value: 14,905.4, Currency: USD, Millions" display="javascript:void(0);" xr:uid="{A7A448AD-105A-40B4-8095-58C4E40A7C1F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F4A51-28F9-447B-8CA0-B63A7D3D0F53}">
  <dimension ref="B2:P27"/>
  <sheetViews>
    <sheetView showGridLines="0" zoomScale="70" workbookViewId="0">
      <selection activeCell="C27" sqref="C27"/>
    </sheetView>
  </sheetViews>
  <sheetFormatPr defaultRowHeight="14.5"/>
  <cols>
    <col min="2" max="2" width="33.7265625" customWidth="1"/>
    <col min="3" max="3" width="44" customWidth="1"/>
    <col min="4" max="4" width="12.26953125" bestFit="1" customWidth="1"/>
    <col min="5" max="5" width="15.453125" bestFit="1" customWidth="1"/>
    <col min="6" max="7" width="14.26953125" bestFit="1" customWidth="1"/>
    <col min="8" max="8" width="9.7265625" bestFit="1" customWidth="1"/>
    <col min="9" max="9" width="7.7265625" bestFit="1" customWidth="1"/>
    <col min="10" max="13" width="10" bestFit="1" customWidth="1"/>
    <col min="14" max="15" width="8.81640625" bestFit="1" customWidth="1"/>
    <col min="16" max="16" width="8.54296875" bestFit="1" customWidth="1"/>
  </cols>
  <sheetData>
    <row r="2" spans="2:16" ht="18.5">
      <c r="B2" s="464" t="s">
        <v>401</v>
      </c>
      <c r="C2" s="465"/>
      <c r="D2" s="465"/>
      <c r="E2" s="466"/>
      <c r="F2" s="466"/>
      <c r="G2" s="466"/>
      <c r="H2" s="466"/>
      <c r="I2" s="466"/>
      <c r="J2" s="466"/>
      <c r="K2" s="466"/>
      <c r="L2" s="466"/>
      <c r="M2" s="466"/>
      <c r="N2" s="466"/>
      <c r="O2" s="466"/>
      <c r="P2" s="466"/>
    </row>
    <row r="3" spans="2:16" ht="18.5">
      <c r="B3" s="464" t="s">
        <v>407</v>
      </c>
      <c r="C3" s="465"/>
      <c r="D3" s="465"/>
      <c r="E3" s="466"/>
      <c r="F3" s="466"/>
      <c r="G3" s="466"/>
      <c r="H3" s="466"/>
      <c r="I3" s="466"/>
      <c r="J3" s="466"/>
      <c r="K3" s="466"/>
      <c r="L3" s="466"/>
      <c r="M3" s="466"/>
      <c r="N3" s="466"/>
      <c r="O3" s="466"/>
      <c r="P3" s="466"/>
    </row>
    <row r="4" spans="2:16" ht="16">
      <c r="B4" s="429" t="str">
        <f>+[1]WMT_Model!$B$3</f>
        <v>($ in Millions Except Per Share and Per Unit Data)</v>
      </c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  <c r="P4" s="466"/>
    </row>
    <row r="5" spans="2:16" ht="16">
      <c r="B5" s="466"/>
      <c r="C5" s="466"/>
      <c r="D5" s="466"/>
      <c r="E5" s="466"/>
      <c r="F5" s="521"/>
      <c r="G5" s="466"/>
      <c r="H5" s="466"/>
      <c r="I5" s="466"/>
      <c r="J5" s="466"/>
      <c r="K5" s="466"/>
      <c r="L5" s="466"/>
      <c r="M5" s="466"/>
      <c r="N5" s="466"/>
      <c r="O5" s="466"/>
      <c r="P5" s="466"/>
    </row>
    <row r="6" spans="2:16" ht="16">
      <c r="B6" s="495" t="str">
        <f>CompanyName&amp;" - Comparable M&amp;A Transactions"</f>
        <v>Applied Materials - Comparable M&amp;A Transactions</v>
      </c>
      <c r="C6" s="495"/>
      <c r="D6" s="495"/>
      <c r="E6" s="496"/>
      <c r="F6" s="497" t="s">
        <v>387</v>
      </c>
      <c r="G6" s="498"/>
      <c r="H6" s="497" t="s">
        <v>388</v>
      </c>
      <c r="I6" s="497"/>
      <c r="J6" s="499"/>
      <c r="K6" s="497" t="s">
        <v>389</v>
      </c>
      <c r="L6" s="497"/>
      <c r="M6" s="497"/>
      <c r="N6" s="497" t="s">
        <v>390</v>
      </c>
      <c r="O6" s="497"/>
      <c r="P6" s="497"/>
    </row>
    <row r="7" spans="2:16" ht="16">
      <c r="B7" s="495"/>
      <c r="C7" s="495"/>
      <c r="D7" s="495"/>
      <c r="E7" s="496" t="s">
        <v>391</v>
      </c>
      <c r="F7" s="497"/>
      <c r="G7" s="498"/>
      <c r="H7" s="496" t="s">
        <v>392</v>
      </c>
      <c r="I7" s="496" t="s">
        <v>392</v>
      </c>
      <c r="J7" s="496"/>
      <c r="K7" s="497"/>
      <c r="L7" s="497"/>
      <c r="M7" s="497"/>
      <c r="N7" s="496"/>
      <c r="O7" s="496"/>
      <c r="P7" s="496"/>
    </row>
    <row r="8" spans="2:16" ht="16">
      <c r="B8" s="500"/>
      <c r="C8" s="500"/>
      <c r="D8" s="496"/>
      <c r="E8" s="496" t="s">
        <v>176</v>
      </c>
      <c r="F8" s="496" t="s">
        <v>186</v>
      </c>
      <c r="G8" s="496" t="s">
        <v>186</v>
      </c>
      <c r="H8" s="496" t="s">
        <v>186</v>
      </c>
      <c r="I8" s="496" t="s">
        <v>186</v>
      </c>
      <c r="J8" s="496" t="s">
        <v>393</v>
      </c>
      <c r="K8" s="496" t="s">
        <v>394</v>
      </c>
      <c r="L8" s="496" t="s">
        <v>395</v>
      </c>
      <c r="M8" s="496" t="s">
        <v>396</v>
      </c>
      <c r="N8" s="496" t="s">
        <v>394</v>
      </c>
      <c r="O8" s="496" t="s">
        <v>395</v>
      </c>
      <c r="P8" s="496" t="s">
        <v>396</v>
      </c>
    </row>
    <row r="9" spans="2:16" ht="16">
      <c r="B9" s="501" t="s">
        <v>397</v>
      </c>
      <c r="C9" s="501" t="s">
        <v>398</v>
      </c>
      <c r="D9" s="501" t="s">
        <v>399</v>
      </c>
      <c r="E9" s="501" t="s">
        <v>142</v>
      </c>
      <c r="F9" s="501" t="s">
        <v>177</v>
      </c>
      <c r="G9" s="501" t="s">
        <v>178</v>
      </c>
      <c r="H9" s="501" t="s">
        <v>177</v>
      </c>
      <c r="I9" s="501" t="s">
        <v>178</v>
      </c>
      <c r="J9" s="501" t="s">
        <v>181</v>
      </c>
      <c r="K9" s="501" t="s">
        <v>400</v>
      </c>
      <c r="L9" s="501" t="s">
        <v>400</v>
      </c>
      <c r="M9" s="501" t="s">
        <v>400</v>
      </c>
      <c r="N9" s="501" t="s">
        <v>400</v>
      </c>
      <c r="O9" s="501" t="s">
        <v>400</v>
      </c>
      <c r="P9" s="501" t="s">
        <v>400</v>
      </c>
    </row>
    <row r="10" spans="2:16" ht="16">
      <c r="B10" s="519"/>
      <c r="C10" s="520"/>
      <c r="D10" s="509"/>
      <c r="E10" s="471"/>
      <c r="F10" s="467"/>
      <c r="G10" s="467"/>
      <c r="H10" s="468"/>
      <c r="I10" s="468"/>
      <c r="J10" s="469"/>
      <c r="K10" s="469"/>
      <c r="L10" s="469"/>
      <c r="M10" s="469"/>
      <c r="N10" s="470"/>
      <c r="O10" s="470"/>
      <c r="P10" s="470"/>
    </row>
    <row r="11" spans="2:16" ht="16">
      <c r="B11" s="502" t="s">
        <v>356</v>
      </c>
      <c r="C11" s="518" t="s">
        <v>402</v>
      </c>
      <c r="D11" s="509">
        <v>43516</v>
      </c>
      <c r="E11" s="533">
        <f>3226605/1000</f>
        <v>3226.605</v>
      </c>
      <c r="F11" s="467">
        <v>1043.5</v>
      </c>
      <c r="G11" s="467">
        <v>192.5</v>
      </c>
      <c r="H11" s="468">
        <f t="shared" ref="H11:I11" si="0">IFERROR(IF(OR(+$E11/F11&lt;0,+$E11/F11&gt;=100),"NM",+$E11/F11),"N/A")</f>
        <v>3.0920987062769525</v>
      </c>
      <c r="I11" s="468">
        <f t="shared" si="0"/>
        <v>16.761584415584416</v>
      </c>
      <c r="J11" s="469">
        <v>69.02</v>
      </c>
      <c r="K11" s="469">
        <v>65.77</v>
      </c>
      <c r="L11" s="469">
        <v>61.85</v>
      </c>
      <c r="M11" s="469">
        <v>58.42</v>
      </c>
      <c r="N11" s="470">
        <f t="shared" ref="N11:P11" si="1">IFERROR($J11/K11-1,"N/A")</f>
        <v>4.9414626729511912E-2</v>
      </c>
      <c r="O11" s="470">
        <f t="shared" si="1"/>
        <v>0.11592562651576377</v>
      </c>
      <c r="P11" s="470">
        <f t="shared" si="1"/>
        <v>0.18144471071550838</v>
      </c>
    </row>
    <row r="12" spans="2:16" ht="16">
      <c r="B12" s="429" t="s">
        <v>404</v>
      </c>
      <c r="C12" s="518" t="s">
        <v>403</v>
      </c>
      <c r="D12" s="509">
        <v>44434</v>
      </c>
      <c r="E12" s="533">
        <v>21000</v>
      </c>
      <c r="F12" s="533">
        <v>2632.5</v>
      </c>
      <c r="G12" s="533">
        <v>1057</v>
      </c>
      <c r="H12" s="468">
        <f t="shared" ref="H12" si="2">IFERROR(IF(OR(+$E12/F12&lt;0,+$E12/F12&gt;=100),"NM",+$E12/F12),"N/A")</f>
        <v>7.9772079772079776</v>
      </c>
      <c r="I12" s="468">
        <f t="shared" ref="I12" si="3">IFERROR(IF(OR(+$E12/G12&lt;0,+$E12/G12&gt;=100),"NM",+$E12/G12),"N/A")</f>
        <v>19.867549668874172</v>
      </c>
      <c r="J12" s="469">
        <v>73.63</v>
      </c>
      <c r="K12" s="469">
        <v>103.14</v>
      </c>
      <c r="L12" s="469">
        <v>98.45</v>
      </c>
      <c r="M12" s="469">
        <v>98.29</v>
      </c>
      <c r="N12" s="470">
        <f t="shared" ref="N12" si="4">IFERROR($J12/K12-1,"N/A")</f>
        <v>-0.28611595889082808</v>
      </c>
      <c r="O12" s="470">
        <f t="shared" ref="O12" si="5">IFERROR($J12/L12-1,"N/A")</f>
        <v>-0.25210766886744551</v>
      </c>
      <c r="P12" s="470">
        <f t="shared" ref="P12" si="6">IFERROR($J12/M12-1,"N/A")</f>
        <v>-0.25089022281005202</v>
      </c>
    </row>
    <row r="13" spans="2:16" ht="16">
      <c r="B13" s="502" t="s">
        <v>406</v>
      </c>
      <c r="C13" s="518" t="s">
        <v>405</v>
      </c>
      <c r="D13" s="509">
        <v>44606</v>
      </c>
      <c r="E13" s="533">
        <v>48800</v>
      </c>
      <c r="F13" s="533">
        <v>3676.4</v>
      </c>
      <c r="G13" s="533">
        <v>1092.5</v>
      </c>
      <c r="H13" s="468">
        <f t="shared" ref="H13" si="7">IFERROR(IF(OR(+$E13/F13&lt;0,+$E13/F13&gt;=100),"NM",+$E13/F13),"N/A")</f>
        <v>13.273854858013273</v>
      </c>
      <c r="I13" s="468">
        <f t="shared" ref="I13" si="8">IFERROR(IF(OR(+$E13/G13&lt;0,+$E13/G13&gt;=100),"NM",+$E13/G13),"N/A")</f>
        <v>44.668192219679632</v>
      </c>
      <c r="J13" s="469">
        <v>143</v>
      </c>
      <c r="K13" s="469">
        <v>194.92</v>
      </c>
      <c r="L13" s="469">
        <v>210.13</v>
      </c>
      <c r="M13" s="469">
        <v>197.87</v>
      </c>
      <c r="N13" s="470">
        <f t="shared" ref="N13" si="9">IFERROR($J13/K13-1,"N/A")</f>
        <v>-0.26636568848758457</v>
      </c>
      <c r="O13" s="470">
        <f t="shared" ref="O13" si="10">IFERROR($J13/L13-1,"N/A")</f>
        <v>-0.31946890020463525</v>
      </c>
      <c r="P13" s="470">
        <f t="shared" ref="P13" si="11">IFERROR($J13/M13-1,"N/A")</f>
        <v>-0.27730327993126802</v>
      </c>
    </row>
    <row r="14" spans="2:16" ht="16">
      <c r="B14" s="502" t="s">
        <v>409</v>
      </c>
      <c r="C14" s="518" t="s">
        <v>408</v>
      </c>
      <c r="D14" s="509">
        <v>45153</v>
      </c>
      <c r="E14" s="533">
        <v>5200</v>
      </c>
      <c r="F14" s="533">
        <v>1677.6</v>
      </c>
      <c r="G14" s="533">
        <v>594.70000000000005</v>
      </c>
      <c r="H14" s="468">
        <f t="shared" ref="H14:H15" si="12">IFERROR(IF(OR(+$E14/F14&lt;0,+$E14/F14&gt;=100),"NM",+$E14/F14),"N/A")</f>
        <v>3.0996661897949451</v>
      </c>
      <c r="I14" s="468">
        <f t="shared" ref="I14:I15" si="13">IFERROR(IF(OR(+$E14/G14&lt;0,+$E14/G14&gt;=100),"NM",+$E14/G14),"N/A")</f>
        <v>8.7439044896586502</v>
      </c>
      <c r="J14" s="469">
        <v>53</v>
      </c>
      <c r="K14" s="469">
        <v>34.24</v>
      </c>
      <c r="L14" s="469">
        <v>37.020000000000003</v>
      </c>
      <c r="M14" s="469">
        <v>37.47</v>
      </c>
      <c r="N14" s="470">
        <f t="shared" ref="N14:N15" si="14">IFERROR($J14/K14-1,"N/A")</f>
        <v>0.5478971962616821</v>
      </c>
      <c r="O14" s="470">
        <f t="shared" ref="O14:O15" si="15">IFERROR($J14/L14-1,"N/A")</f>
        <v>0.43165856293895177</v>
      </c>
      <c r="P14" s="470">
        <f t="shared" ref="P14:P15" si="16">IFERROR($J14/M14-1,"N/A")</f>
        <v>0.41446490525753932</v>
      </c>
    </row>
    <row r="15" spans="2:16" ht="16">
      <c r="B15" s="502" t="s">
        <v>411</v>
      </c>
      <c r="C15" s="518" t="s">
        <v>410</v>
      </c>
      <c r="D15" s="509">
        <v>44439</v>
      </c>
      <c r="E15" s="533">
        <v>4800</v>
      </c>
      <c r="F15" s="533">
        <v>1333.6610000000001</v>
      </c>
      <c r="G15" s="471">
        <f>116.9+84</f>
        <v>200.9</v>
      </c>
      <c r="H15" s="468">
        <f t="shared" si="12"/>
        <v>3.5991155173616081</v>
      </c>
      <c r="I15" s="468">
        <f t="shared" si="13"/>
        <v>23.892483822797409</v>
      </c>
      <c r="J15" s="469">
        <v>67.5</v>
      </c>
      <c r="K15" s="472">
        <v>67.42</v>
      </c>
      <c r="L15" s="472">
        <v>67.36</v>
      </c>
      <c r="M15" s="472">
        <v>64.84</v>
      </c>
      <c r="N15" s="470">
        <f t="shared" si="14"/>
        <v>1.1865915158706386E-3</v>
      </c>
      <c r="O15" s="470">
        <f t="shared" si="15"/>
        <v>2.0783847980998527E-3</v>
      </c>
      <c r="P15" s="470">
        <f t="shared" si="16"/>
        <v>4.1024059222702025E-2</v>
      </c>
    </row>
    <row r="16" spans="2:16" ht="16">
      <c r="B16" s="502"/>
      <c r="C16" s="502"/>
      <c r="D16" s="509"/>
      <c r="E16" s="471"/>
      <c r="F16" s="471"/>
      <c r="G16" s="471"/>
      <c r="H16" s="468"/>
      <c r="I16" s="468"/>
      <c r="J16" s="472"/>
      <c r="K16" s="472"/>
      <c r="L16" s="472"/>
      <c r="M16" s="472"/>
      <c r="N16" s="470"/>
      <c r="O16" s="470"/>
      <c r="P16" s="470"/>
    </row>
    <row r="17" spans="2:16" ht="16">
      <c r="B17" s="473"/>
      <c r="C17" s="473"/>
      <c r="D17" s="474"/>
      <c r="E17" s="475"/>
      <c r="F17" s="475"/>
      <c r="G17" s="475"/>
      <c r="H17" s="476"/>
      <c r="I17" s="476"/>
      <c r="J17" s="476"/>
      <c r="K17" s="476"/>
      <c r="L17" s="476"/>
      <c r="M17" s="476"/>
      <c r="N17" s="476"/>
      <c r="O17" s="476"/>
      <c r="P17" s="476"/>
    </row>
    <row r="18" spans="2:16" ht="16">
      <c r="B18" s="503" t="s">
        <v>188</v>
      </c>
      <c r="C18" s="506"/>
      <c r="D18" s="477"/>
      <c r="E18" s="478">
        <f>MAX(E11:E16)</f>
        <v>48800</v>
      </c>
      <c r="F18" s="478">
        <f t="shared" ref="F18:P18" si="17">MAX(F11:F16)</f>
        <v>3676.4</v>
      </c>
      <c r="G18" s="478">
        <f t="shared" si="17"/>
        <v>1092.5</v>
      </c>
      <c r="H18" s="479">
        <f t="shared" si="17"/>
        <v>13.273854858013273</v>
      </c>
      <c r="I18" s="479">
        <f t="shared" si="17"/>
        <v>44.668192219679632</v>
      </c>
      <c r="J18" s="480"/>
      <c r="K18" s="480"/>
      <c r="L18" s="480"/>
      <c r="M18" s="480"/>
      <c r="N18" s="481">
        <f t="shared" si="17"/>
        <v>0.5478971962616821</v>
      </c>
      <c r="O18" s="481">
        <f t="shared" si="17"/>
        <v>0.43165856293895177</v>
      </c>
      <c r="P18" s="482">
        <f t="shared" si="17"/>
        <v>0.41446490525753932</v>
      </c>
    </row>
    <row r="19" spans="2:16" ht="16">
      <c r="B19" s="504" t="s">
        <v>189</v>
      </c>
      <c r="C19" s="507"/>
      <c r="D19" s="483"/>
      <c r="E19" s="484">
        <f>QUARTILE(E11:E16,3)</f>
        <v>21000</v>
      </c>
      <c r="F19" s="484">
        <f t="shared" ref="F19:P19" si="18">QUARTILE(F11:F16,3)</f>
        <v>2632.5</v>
      </c>
      <c r="G19" s="484">
        <f t="shared" si="18"/>
        <v>1057</v>
      </c>
      <c r="H19" s="485">
        <f t="shared" si="18"/>
        <v>7.9772079772079776</v>
      </c>
      <c r="I19" s="485">
        <f t="shared" si="18"/>
        <v>23.892483822797409</v>
      </c>
      <c r="J19" s="486"/>
      <c r="K19" s="486"/>
      <c r="L19" s="486"/>
      <c r="M19" s="486"/>
      <c r="N19" s="487">
        <f t="shared" si="18"/>
        <v>4.9414626729511912E-2</v>
      </c>
      <c r="O19" s="487">
        <f t="shared" si="18"/>
        <v>0.11592562651576377</v>
      </c>
      <c r="P19" s="488">
        <f t="shared" si="18"/>
        <v>0.18144471071550838</v>
      </c>
    </row>
    <row r="20" spans="2:16" ht="16">
      <c r="B20" s="511" t="s">
        <v>190</v>
      </c>
      <c r="C20" s="512"/>
      <c r="D20" s="513"/>
      <c r="E20" s="514">
        <f>MEDIAN(E11:E16)</f>
        <v>5200</v>
      </c>
      <c r="F20" s="514">
        <f t="shared" ref="F20:P20" si="19">MEDIAN(F11:F16)</f>
        <v>1677.6</v>
      </c>
      <c r="G20" s="514">
        <f t="shared" si="19"/>
        <v>594.70000000000005</v>
      </c>
      <c r="H20" s="515">
        <f t="shared" si="19"/>
        <v>3.5991155173616081</v>
      </c>
      <c r="I20" s="515">
        <f t="shared" si="19"/>
        <v>19.867549668874172</v>
      </c>
      <c r="J20" s="515"/>
      <c r="K20" s="515"/>
      <c r="L20" s="515"/>
      <c r="M20" s="515"/>
      <c r="N20" s="516">
        <f t="shared" si="19"/>
        <v>1.1865915158706386E-3</v>
      </c>
      <c r="O20" s="516">
        <f t="shared" si="19"/>
        <v>2.0783847980998527E-3</v>
      </c>
      <c r="P20" s="517">
        <f t="shared" si="19"/>
        <v>4.1024059222702025E-2</v>
      </c>
    </row>
    <row r="21" spans="2:16" ht="16">
      <c r="B21" s="504" t="s">
        <v>191</v>
      </c>
      <c r="C21" s="507"/>
      <c r="D21" s="483"/>
      <c r="E21" s="484">
        <f>QUARTILE(E11:E16,1)</f>
        <v>4800</v>
      </c>
      <c r="F21" s="484">
        <f t="shared" ref="F21:P21" si="20">QUARTILE(F11:F16,1)</f>
        <v>1333.6610000000001</v>
      </c>
      <c r="G21" s="484">
        <f t="shared" si="20"/>
        <v>200.9</v>
      </c>
      <c r="H21" s="485">
        <f t="shared" si="20"/>
        <v>3.0996661897949451</v>
      </c>
      <c r="I21" s="485">
        <f t="shared" si="20"/>
        <v>16.761584415584416</v>
      </c>
      <c r="J21" s="486"/>
      <c r="K21" s="486"/>
      <c r="L21" s="486"/>
      <c r="M21" s="486"/>
      <c r="N21" s="487">
        <f t="shared" si="20"/>
        <v>-0.26636568848758457</v>
      </c>
      <c r="O21" s="487">
        <f t="shared" si="20"/>
        <v>-0.25210766886744551</v>
      </c>
      <c r="P21" s="488">
        <f t="shared" si="20"/>
        <v>-0.25089022281005202</v>
      </c>
    </row>
    <row r="22" spans="2:16" ht="16">
      <c r="B22" s="505" t="s">
        <v>192</v>
      </c>
      <c r="C22" s="508"/>
      <c r="D22" s="489"/>
      <c r="E22" s="490">
        <f>MIN(E11:E16)</f>
        <v>3226.605</v>
      </c>
      <c r="F22" s="490">
        <f t="shared" ref="F22:P22" si="21">MIN(F11:F16)</f>
        <v>1043.5</v>
      </c>
      <c r="G22" s="490">
        <f t="shared" si="21"/>
        <v>192.5</v>
      </c>
      <c r="H22" s="491">
        <f t="shared" si="21"/>
        <v>3.0920987062769525</v>
      </c>
      <c r="I22" s="491">
        <f t="shared" si="21"/>
        <v>8.7439044896586502</v>
      </c>
      <c r="J22" s="492"/>
      <c r="K22" s="492"/>
      <c r="L22" s="492"/>
      <c r="M22" s="492"/>
      <c r="N22" s="493">
        <f t="shared" si="21"/>
        <v>-0.28611595889082808</v>
      </c>
      <c r="O22" s="493">
        <f t="shared" si="21"/>
        <v>-0.31946890020463525</v>
      </c>
      <c r="P22" s="494">
        <f t="shared" si="21"/>
        <v>-0.27730327993126802</v>
      </c>
    </row>
    <row r="25" spans="2:16">
      <c r="E25" s="510"/>
    </row>
    <row r="26" spans="2:16">
      <c r="E26" s="510"/>
    </row>
    <row r="27" spans="2:16">
      <c r="E27" s="322"/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F4CF4-FA06-40E7-AC11-04AE4716E720}">
  <dimension ref="B2:U58"/>
  <sheetViews>
    <sheetView showGridLines="0" topLeftCell="A30" zoomScale="67" workbookViewId="0">
      <selection activeCell="G42" sqref="A1:XFD1048576"/>
    </sheetView>
  </sheetViews>
  <sheetFormatPr defaultRowHeight="14.5"/>
  <cols>
    <col min="3" max="3" width="38.26953125" bestFit="1" customWidth="1"/>
    <col min="4" max="4" width="24.81640625" bestFit="1" customWidth="1"/>
    <col min="5" max="5" width="7.7265625" bestFit="1" customWidth="1"/>
    <col min="6" max="6" width="7.7265625" customWidth="1"/>
    <col min="7" max="10" width="12.1796875" bestFit="1" customWidth="1"/>
    <col min="11" max="16" width="12" bestFit="1" customWidth="1"/>
    <col min="17" max="17" width="12" customWidth="1"/>
    <col min="19" max="19" width="10.26953125" bestFit="1" customWidth="1"/>
  </cols>
  <sheetData>
    <row r="2" spans="2:21" ht="16"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  <c r="Q2" s="549"/>
      <c r="R2" s="549"/>
      <c r="S2" s="549"/>
      <c r="T2" s="549"/>
    </row>
    <row r="3" spans="2:21" ht="18.5">
      <c r="B3" s="549"/>
      <c r="C3" s="575" t="str">
        <f>CompanyName&amp;" - Summary of Operating Model and Valuation - "&amp;Scenario&amp;" Case"</f>
        <v>Applied Materials - Summary of Operating Model and Valuation - Base Case</v>
      </c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  <c r="P3" s="549"/>
      <c r="Q3" s="549"/>
      <c r="R3" s="549"/>
      <c r="S3" s="549"/>
      <c r="T3" s="549"/>
    </row>
    <row r="4" spans="2:21" ht="16">
      <c r="B4" s="549"/>
      <c r="C4" s="429" t="str">
        <f>+[1]WMT_Model!$B$3</f>
        <v>($ in Millions Except Per Share and Per Unit Data)</v>
      </c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549"/>
      <c r="R4" s="549"/>
      <c r="S4" s="549"/>
      <c r="T4" s="549"/>
    </row>
    <row r="5" spans="2:21" ht="16">
      <c r="B5" s="549"/>
      <c r="C5" s="549"/>
      <c r="D5" s="549"/>
      <c r="E5" s="549"/>
      <c r="F5" s="549"/>
      <c r="G5" s="549"/>
      <c r="H5" s="549"/>
      <c r="I5" s="549"/>
      <c r="J5" s="549"/>
      <c r="K5" s="549"/>
      <c r="L5" s="549"/>
      <c r="M5" s="549"/>
      <c r="N5" s="549"/>
      <c r="O5" s="549"/>
      <c r="P5" s="549"/>
      <c r="Q5" s="549"/>
      <c r="R5" s="549"/>
      <c r="S5" s="549"/>
      <c r="T5" s="549"/>
    </row>
    <row r="6" spans="2:21" ht="16">
      <c r="B6" s="549"/>
      <c r="C6" s="538"/>
      <c r="D6" s="538"/>
      <c r="E6" s="539"/>
      <c r="F6" s="539"/>
      <c r="G6" s="594" t="str">
        <f>[1]WMT_Model!$E$90</f>
        <v>Historical:</v>
      </c>
      <c r="H6" s="594"/>
      <c r="I6" s="594"/>
      <c r="J6" s="594"/>
      <c r="K6" s="594" t="str">
        <f>[1]WMT_Model!$I$90</f>
        <v>Projected:</v>
      </c>
      <c r="L6" s="599"/>
      <c r="M6" s="594"/>
      <c r="N6" s="594"/>
      <c r="O6" s="594"/>
      <c r="P6" s="597"/>
      <c r="Q6" s="597"/>
      <c r="R6" s="576"/>
      <c r="S6" s="597" t="s">
        <v>0</v>
      </c>
      <c r="T6" s="549"/>
    </row>
    <row r="7" spans="2:21" ht="16">
      <c r="B7" s="549"/>
      <c r="C7" s="600" t="s">
        <v>441</v>
      </c>
      <c r="D7" s="600"/>
      <c r="E7" s="601" t="str">
        <f>[1]WMT_Model!$D$91</f>
        <v>Units:</v>
      </c>
      <c r="F7" s="601"/>
      <c r="G7" s="444">
        <f>Model!F17</f>
        <v>43496</v>
      </c>
      <c r="H7" s="444">
        <f>Model!G17</f>
        <v>43861</v>
      </c>
      <c r="I7" s="444">
        <f>Model!H17</f>
        <v>44227</v>
      </c>
      <c r="J7" s="444">
        <f>Model!I17</f>
        <v>44592</v>
      </c>
      <c r="K7" s="444">
        <f>Model!J17</f>
        <v>44957</v>
      </c>
      <c r="L7" s="602">
        <f>Model!K17</f>
        <v>45322</v>
      </c>
      <c r="M7" s="444">
        <f>Model!L17</f>
        <v>45688</v>
      </c>
      <c r="N7" s="444">
        <f>Model!M17</f>
        <v>46053</v>
      </c>
      <c r="O7" s="444">
        <f>Model!N17</f>
        <v>46418</v>
      </c>
      <c r="P7" s="444">
        <f>Model!O17</f>
        <v>46783</v>
      </c>
      <c r="Q7" s="444">
        <f>Model!P17</f>
        <v>47149</v>
      </c>
      <c r="R7" s="576"/>
      <c r="S7" s="444" t="s">
        <v>442</v>
      </c>
      <c r="T7" s="549"/>
    </row>
    <row r="8" spans="2:21" ht="16">
      <c r="B8" s="549"/>
      <c r="C8" s="603" t="s">
        <v>443</v>
      </c>
      <c r="D8" s="603"/>
      <c r="E8" s="604"/>
      <c r="F8" s="604"/>
      <c r="G8" s="604"/>
      <c r="H8" s="598"/>
      <c r="I8" s="598"/>
      <c r="J8" s="598"/>
      <c r="K8" s="598"/>
      <c r="L8" s="598"/>
      <c r="M8" s="598"/>
      <c r="N8" s="598"/>
      <c r="O8" s="598"/>
      <c r="P8" s="598"/>
      <c r="Q8" s="598"/>
      <c r="R8" s="576"/>
      <c r="S8" s="598"/>
      <c r="T8" s="549"/>
    </row>
    <row r="9" spans="2:21" ht="16">
      <c r="B9" s="549"/>
      <c r="C9" s="75" t="s">
        <v>92</v>
      </c>
      <c r="G9" s="580"/>
      <c r="H9" s="580"/>
      <c r="I9" s="580"/>
      <c r="J9" s="580"/>
      <c r="K9" s="580"/>
      <c r="L9" s="580"/>
      <c r="M9" s="580"/>
      <c r="N9" s="580"/>
      <c r="O9" s="580"/>
      <c r="P9" s="580"/>
      <c r="Q9" s="580"/>
      <c r="R9" s="549"/>
      <c r="T9" s="549"/>
      <c r="U9" s="578"/>
    </row>
    <row r="10" spans="2:21" ht="16">
      <c r="B10" s="549"/>
      <c r="C10" s="45" t="s">
        <v>38</v>
      </c>
      <c r="E10" s="579" t="s">
        <v>444</v>
      </c>
      <c r="F10" s="579"/>
      <c r="G10" s="627">
        <f>INDEX(Model!$C$17:$O$45,MATCH(Summary!$C10,Model!$C$17:$C$45,0),MATCH(Summary!G$7,Model!$C$17:$O$17,0))</f>
        <v>9027</v>
      </c>
      <c r="H10" s="627">
        <f>INDEX(Model!$C$17:$O$45,MATCH(Summary!$C10,Model!$C$17:$C$45,0),MATCH(Summary!H$7,Model!$C$17:$O$17,0))</f>
        <v>11367</v>
      </c>
      <c r="I10" s="627">
        <f>INDEX(Model!$C$17:$O$45,MATCH(Summary!$C10,Model!$C$17:$C$45,0),MATCH(Summary!I$7,Model!$C$17:$O$17,0))</f>
        <v>16286</v>
      </c>
      <c r="J10" s="627">
        <f>INDEX(Model!$C$17:$O$45,MATCH(Summary!$C10,Model!$C$17:$C$45,0),MATCH(Summary!J$7,Model!$C$17:$O$17,0))</f>
        <v>18797</v>
      </c>
      <c r="K10" s="627">
        <f>INDEX(Model!$C$17:$O$45,MATCH(Summary!$C10,Model!$C$17:$C$45,0),MATCH(Summary!K$7,Model!$C$17:$O$17,0))</f>
        <v>19698</v>
      </c>
      <c r="L10" s="627">
        <f>INDEX(Model!$C$17:$O$45,MATCH(Summary!$C10,Model!$C$17:$C$45,0),MATCH(Summary!L$7,Model!$C$17:$O$17,0))</f>
        <v>19911</v>
      </c>
      <c r="M10" s="627">
        <f>INDEX(Model!$C$17:$O$45,MATCH(Summary!$C10,Model!$C$17:$C$45,0),MATCH(Summary!M$7,Model!$C$17:$O$17,0))</f>
        <v>20325.413228754187</v>
      </c>
      <c r="N10" s="627">
        <f>INDEX(Model!$C$17:$O$45,MATCH(Summary!$C10,Model!$C$17:$C$45,0),MATCH(Summary!N$7,Model!$C$17:$O$17,0))</f>
        <v>20951.705888583845</v>
      </c>
      <c r="O10" s="627">
        <f>INDEX(Model!$C$17:$Q$45,MATCH(Summary!$C10,Model!$C$17:$C$45,0),MATCH(Summary!O$7,Model!$C$17:$Q$17,0))</f>
        <v>21806.81373872437</v>
      </c>
      <c r="P10" s="627">
        <f>INDEX(Model!$C$17:$Q$45,MATCH(Summary!$C10,Model!$C$17:$C$45,0),MATCH(Summary!P$7,Model!$C$17:$Q$17,0))</f>
        <v>22914.889482828541</v>
      </c>
      <c r="Q10" s="627">
        <f>INDEX(Model!$C$17:$Q$45,MATCH(Summary!$C10,Model!$C$17:$C$45,0),MATCH(Summary!Q$7,Model!$C$17:$Q$17,0))</f>
        <v>24308.419085401405</v>
      </c>
      <c r="R10" s="549"/>
      <c r="S10" s="581">
        <f>(O10/J10)^(1/YEARFRAC(J$7,O$7,))-1</f>
        <v>3.0150634905425022E-2</v>
      </c>
      <c r="T10" s="549"/>
      <c r="U10" s="582"/>
    </row>
    <row r="11" spans="2:21" ht="16">
      <c r="B11" s="549"/>
      <c r="C11" s="31" t="s">
        <v>93</v>
      </c>
      <c r="E11" s="579" t="s">
        <v>9</v>
      </c>
      <c r="F11" s="579"/>
      <c r="G11" s="610">
        <f>INDEX(Model!$C$17:$O$45,MATCH(Summary!$C11,Model!$C$17:$C$45,0),MATCH(Summary!G$7,Model!$C$17:$O$17,0))</f>
        <v>0</v>
      </c>
      <c r="H11" s="610">
        <f>INDEX(Model!$C$17:$O$45,MATCH(Summary!$C11,Model!$C$17:$C$45,0),MATCH(Summary!H$7,Model!$C$17:$O$17,0))</f>
        <v>0</v>
      </c>
      <c r="I11" s="610">
        <f>INDEX(Model!$C$17:$O$45,MATCH(Summary!$C11,Model!$C$17:$C$45,0),MATCH(Summary!I$7,Model!$C$17:$O$17,0))</f>
        <v>0</v>
      </c>
      <c r="J11" s="610">
        <f>INDEX(Model!$C$17:$O$45,MATCH(Summary!$C11,Model!$C$17:$C$45,0),MATCH(Summary!J$7,Model!$C$17:$O$17,0))</f>
        <v>0</v>
      </c>
      <c r="K11" s="610">
        <f>INDEX(Model!$C$17:$O$45,MATCH(Summary!$C11,Model!$C$17:$C$45,0),MATCH(Summary!K$7,Model!$C$17:$O$17,0))</f>
        <v>0</v>
      </c>
      <c r="L11" s="610">
        <f>INDEX(Model!$C$17:$O$45,MATCH(Summary!$C11,Model!$C$17:$C$45,0),MATCH(Summary!L$7,Model!$C$17:$O$17,0))</f>
        <v>0</v>
      </c>
      <c r="M11" s="610">
        <f>INDEX(Model!$C$17:$O$45,MATCH(Summary!$C11,Model!$C$17:$C$45,0),MATCH(Summary!M$7,Model!$C$17:$O$17,0))</f>
        <v>2.0813280536094984E-2</v>
      </c>
      <c r="N11" s="610">
        <f>INDEX(Model!$C$17:$O$45,MATCH(Summary!$C11,Model!$C$17:$C$45,0),MATCH(Summary!N$7,Model!$C$17:$O$17,0))</f>
        <v>3.0813280536094986E-2</v>
      </c>
      <c r="O11" s="685">
        <f>INDEX(Model!$C$17:$Q$45,MATCH(Summary!$C11,Model!$C$17:$C$45,0),MATCH(Summary!O$7,Model!$C$17:$Q$17,0))</f>
        <v>4.0813280536094988E-2</v>
      </c>
      <c r="P11" s="685">
        <f>INDEX(Model!$C$17:$Q$45,MATCH(Summary!$C11,Model!$C$17:$C$45,0),MATCH(Summary!P$7,Model!$C$17:$Q$17,0))</f>
        <v>5.081328053609499E-2</v>
      </c>
      <c r="Q11" s="685">
        <f>INDEX(Model!$C$17:$Q$45,MATCH(Summary!$C11,Model!$C$17:$C$45,0),MATCH(Summary!Q$7,Model!$C$17:$Q$17,0))</f>
        <v>6.0813280536094992E-2</v>
      </c>
      <c r="R11" s="549"/>
      <c r="S11" s="549"/>
      <c r="T11" s="549"/>
      <c r="U11" s="584"/>
    </row>
    <row r="12" spans="2:21" ht="16">
      <c r="B12" s="549"/>
      <c r="C12" s="45" t="s">
        <v>39</v>
      </c>
      <c r="E12" s="579" t="s">
        <v>444</v>
      </c>
      <c r="F12" s="579"/>
      <c r="G12" s="627">
        <f>INDEX(Model!$C$17:$O$45,MATCH(Summary!$C12,Model!$C$17:$C$45,0),MATCH(Summary!G$7,Model!$C$17:$O$17,0))</f>
        <v>3854</v>
      </c>
      <c r="H12" s="627">
        <f>INDEX(Model!$C$17:$O$45,MATCH(Summary!$C12,Model!$C$17:$C$45,0),MATCH(Summary!H$7,Model!$C$17:$O$17,0))</f>
        <v>4155</v>
      </c>
      <c r="I12" s="627">
        <f>INDEX(Model!$C$17:$O$45,MATCH(Summary!$C12,Model!$C$17:$C$45,0),MATCH(Summary!I$7,Model!$C$17:$O$17,0))</f>
        <v>5013</v>
      </c>
      <c r="J12" s="627">
        <f>INDEX(Model!$C$17:$O$45,MATCH(Summary!$C12,Model!$C$17:$C$45,0),MATCH(Summary!J$7,Model!$C$17:$O$17,0))</f>
        <v>5543</v>
      </c>
      <c r="K12" s="627">
        <f>INDEX(Model!$C$17:$O$45,MATCH(Summary!$C12,Model!$C$17:$C$45,0),MATCH(Summary!K$7,Model!$C$17:$O$17,0))</f>
        <v>5732</v>
      </c>
      <c r="L12" s="627">
        <f>INDEX(Model!$C$17:$O$45,MATCH(Summary!$C12,Model!$C$17:$C$45,0),MATCH(Summary!L$7,Model!$C$17:$O$17,0))</f>
        <v>6225</v>
      </c>
      <c r="M12" s="627">
        <f>INDEX(Model!$C$17:$O$45,MATCH(Summary!$C12,Model!$C$17:$C$45,0),MATCH(Summary!M$7,Model!$C$17:$O$17,0))</f>
        <v>6785.2500000000009</v>
      </c>
      <c r="N12" s="627">
        <f>INDEX(Model!$C$17:$O$45,MATCH(Summary!$C12,Model!$C$17:$C$45,0),MATCH(Summary!N$7,Model!$C$17:$O$17,0))</f>
        <v>7463.7750000000015</v>
      </c>
      <c r="O12" s="627">
        <f>INDEX(Model!$C$17:$Q$45,MATCH(Summary!$C12,Model!$C$17:$C$45,0),MATCH(Summary!O$7,Model!$C$17:$Q$17,0))</f>
        <v>8284.79025</v>
      </c>
      <c r="P12" s="627">
        <f>INDEX(Model!$C$17:$Q$45,MATCH(Summary!$C12,Model!$C$17:$C$45,0),MATCH(Summary!P$7,Model!$C$17:$Q$17,0))</f>
        <v>9278.9650799999999</v>
      </c>
      <c r="Q12" s="627">
        <f>INDEX(Model!$C$17:$Q$45,MATCH(Summary!$C12,Model!$C$17:$C$45,0),MATCH(Summary!Q$7,Model!$C$17:$Q$17,0))</f>
        <v>10485.230540399998</v>
      </c>
      <c r="R12" s="549"/>
      <c r="S12" s="581">
        <f>(O12/J12)^(1/YEARFRAC(J$7,O$7,))-1</f>
        <v>8.3695644303890315E-2</v>
      </c>
      <c r="T12" s="549"/>
      <c r="U12" s="578"/>
    </row>
    <row r="13" spans="2:21" ht="16">
      <c r="B13" s="549"/>
      <c r="C13" s="31" t="s">
        <v>93</v>
      </c>
      <c r="E13" s="579" t="s">
        <v>9</v>
      </c>
      <c r="F13" s="579"/>
      <c r="G13" s="610">
        <f>INDEX(Model!$C$17:$O$45,MATCH(Summary!$C13,Model!$C$17:$C$45,0),MATCH(Summary!G$7,Model!$C$17:$O$17,0))</f>
        <v>0</v>
      </c>
      <c r="H13" s="610">
        <f>INDEX(Model!$C$17:$O$45,MATCH(Summary!$C13,Model!$C$17:$C$45,0),MATCH(Summary!H$7,Model!$C$17:$O$17,0))</f>
        <v>0</v>
      </c>
      <c r="I13" s="610">
        <f>INDEX(Model!$C$17:$O$45,MATCH(Summary!$C13,Model!$C$17:$C$45,0),MATCH(Summary!I$7,Model!$C$17:$O$17,0))</f>
        <v>0</v>
      </c>
      <c r="J13" s="610">
        <f>INDEX(Model!$C$17:$O$45,MATCH(Summary!$C13,Model!$C$17:$C$45,0),MATCH(Summary!J$7,Model!$C$17:$O$17,0))</f>
        <v>0</v>
      </c>
      <c r="K13" s="610">
        <f>INDEX(Model!$C$17:$O$45,MATCH(Summary!$C13,Model!$C$17:$C$45,0),MATCH(Summary!K$7,Model!$C$17:$O$17,0))</f>
        <v>0</v>
      </c>
      <c r="L13" s="610">
        <f>INDEX(Model!$C$17:$O$45,MATCH(Summary!$C13,Model!$C$17:$C$45,0),MATCH(Summary!L$7,Model!$C$17:$O$17,0))</f>
        <v>0</v>
      </c>
      <c r="M13" s="610">
        <f>INDEX(Model!$C$17:$O$45,MATCH(Summary!$C13,Model!$C$17:$C$45,0),MATCH(Summary!M$7,Model!$C$17:$O$17,0))</f>
        <v>2.0813280536094984E-2</v>
      </c>
      <c r="N13" s="610">
        <f>INDEX(Model!$C$17:$O$45,MATCH(Summary!$C13,Model!$C$17:$C$45,0),MATCH(Summary!N$7,Model!$C$17:$O$17,0))</f>
        <v>3.0813280536094986E-2</v>
      </c>
      <c r="O13" s="685">
        <f>INDEX(Model!$C$17:$Q$45,MATCH(Summary!$C13,Model!$C$17:$C$45,0),MATCH(Summary!O$7,Model!$C$17:$Q$17,0))</f>
        <v>4.0813280536094988E-2</v>
      </c>
      <c r="P13" s="685">
        <f>INDEX(Model!$C$17:$Q$45,MATCH(Summary!$C13,Model!$C$17:$C$45,0),MATCH(Summary!P$7,Model!$C$17:$Q$17,0))</f>
        <v>5.081328053609499E-2</v>
      </c>
      <c r="Q13" s="685">
        <f>INDEX(Model!$C$17:$Q$45,MATCH(Summary!$C13,Model!$C$17:$C$45,0),MATCH(Summary!Q$7,Model!$C$17:$Q$17,0))</f>
        <v>6.0813280536094992E-2</v>
      </c>
      <c r="R13" s="549"/>
      <c r="S13" s="581"/>
      <c r="T13" s="549"/>
      <c r="U13" s="578"/>
    </row>
    <row r="14" spans="2:21" ht="16">
      <c r="B14" s="549"/>
      <c r="C14" s="45" t="s">
        <v>40</v>
      </c>
      <c r="E14" s="579" t="s">
        <v>444</v>
      </c>
      <c r="F14" s="579"/>
      <c r="G14" s="627">
        <f>INDEX(Model!$C$17:$O$45,MATCH(Summary!$C14,Model!$C$17:$C$45,0),MATCH(Summary!G$7,Model!$C$17:$O$17,0))</f>
        <v>1651</v>
      </c>
      <c r="H14" s="627">
        <f>INDEX(Model!$C$17:$O$45,MATCH(Summary!$C14,Model!$C$17:$C$45,0),MATCH(Summary!H$7,Model!$C$17:$O$17,0))</f>
        <v>1607</v>
      </c>
      <c r="I14" s="627">
        <f>INDEX(Model!$C$17:$O$45,MATCH(Summary!$C14,Model!$C$17:$C$45,0),MATCH(Summary!I$7,Model!$C$17:$O$17,0))</f>
        <v>1634</v>
      </c>
      <c r="J14" s="627">
        <f>INDEX(Model!$C$17:$O$45,MATCH(Summary!$C14,Model!$C$17:$C$45,0),MATCH(Summary!J$7,Model!$C$17:$O$17,0))</f>
        <v>1331</v>
      </c>
      <c r="K14" s="627">
        <f>INDEX(Model!$C$17:$O$45,MATCH(Summary!$C14,Model!$C$17:$C$45,0),MATCH(Summary!K$7,Model!$C$17:$O$17,0))</f>
        <v>868</v>
      </c>
      <c r="L14" s="627">
        <f>INDEX(Model!$C$17:$O$45,MATCH(Summary!$C14,Model!$C$17:$C$45,0),MATCH(Summary!L$7,Model!$C$17:$O$17,0))</f>
        <v>885</v>
      </c>
      <c r="M14" s="627">
        <f>INDEX(Model!$C$17:$O$45,MATCH(Summary!$C14,Model!$C$17:$C$45,0),MATCH(Summary!M$7,Model!$C$17:$O$17,0))</f>
        <v>902.7</v>
      </c>
      <c r="N14" s="627">
        <f>INDEX(Model!$C$17:$O$45,MATCH(Summary!$C14,Model!$C$17:$C$45,0),MATCH(Summary!N$7,Model!$C$17:$O$17,0))</f>
        <v>929.78100000000006</v>
      </c>
      <c r="O14" s="627">
        <f>INDEX(Model!$C$17:$Q$45,MATCH(Summary!$C14,Model!$C$17:$C$45,0),MATCH(Summary!O$7,Model!$C$17:$Q$17,0))</f>
        <v>957.67443000000014</v>
      </c>
      <c r="P14" s="627">
        <f>INDEX(Model!$C$17:$Q$45,MATCH(Summary!$C14,Model!$C$17:$C$45,0),MATCH(Summary!P$7,Model!$C$17:$Q$17,0))</f>
        <v>995.98140720000015</v>
      </c>
      <c r="Q14" s="627">
        <f>INDEX(Model!$C$17:$Q$45,MATCH(Summary!$C14,Model!$C$17:$C$45,0),MATCH(Summary!Q$7,Model!$C$17:$Q$17,0))</f>
        <v>1035.8206634880003</v>
      </c>
      <c r="R14" s="549"/>
      <c r="S14" s="581">
        <f>(O14/J14)^(1/YEARFRAC(J$7,O$7,))-1</f>
        <v>-6.3715212208701022E-2</v>
      </c>
      <c r="T14" s="549"/>
      <c r="U14" s="577"/>
    </row>
    <row r="15" spans="2:21" ht="16">
      <c r="B15" s="549"/>
      <c r="C15" s="31" t="s">
        <v>93</v>
      </c>
      <c r="E15" s="579" t="s">
        <v>9</v>
      </c>
      <c r="F15" s="579"/>
      <c r="G15" s="610">
        <f>INDEX(Model!$C$17:$O$45,MATCH(Summary!$C15,Model!$C$17:$C$45,0),MATCH(Summary!G$7,Model!$C$17:$O$17,0))</f>
        <v>0</v>
      </c>
      <c r="H15" s="610">
        <f>INDEX(Model!$C$17:$O$45,MATCH(Summary!$C15,Model!$C$17:$C$45,0),MATCH(Summary!H$7,Model!$C$17:$O$17,0))</f>
        <v>0</v>
      </c>
      <c r="I15" s="610">
        <f>INDEX(Model!$C$17:$O$45,MATCH(Summary!$C15,Model!$C$17:$C$45,0),MATCH(Summary!I$7,Model!$C$17:$O$17,0))</f>
        <v>0</v>
      </c>
      <c r="J15" s="610">
        <f>INDEX(Model!$C$17:$O$45,MATCH(Summary!$C15,Model!$C$17:$C$45,0),MATCH(Summary!J$7,Model!$C$17:$O$17,0))</f>
        <v>0</v>
      </c>
      <c r="K15" s="610">
        <f>INDEX(Model!$C$17:$O$45,MATCH(Summary!$C15,Model!$C$17:$C$45,0),MATCH(Summary!K$7,Model!$C$17:$O$17,0))</f>
        <v>0</v>
      </c>
      <c r="L15" s="610">
        <f>INDEX(Model!$C$17:$O$45,MATCH(Summary!$C15,Model!$C$17:$C$45,0),MATCH(Summary!L$7,Model!$C$17:$O$17,0))</f>
        <v>0</v>
      </c>
      <c r="M15" s="610">
        <f>INDEX(Model!$C$17:$O$45,MATCH(Summary!$C15,Model!$C$17:$C$45,0),MATCH(Summary!M$7,Model!$C$17:$O$17,0))</f>
        <v>2.0813280536094984E-2</v>
      </c>
      <c r="N15" s="610">
        <f>INDEX(Model!$C$17:$O$45,MATCH(Summary!$C15,Model!$C$17:$C$45,0),MATCH(Summary!N$7,Model!$C$17:$O$17,0))</f>
        <v>3.0813280536094986E-2</v>
      </c>
      <c r="O15" s="685">
        <f>INDEX(Model!$C$17:$Q$45,MATCH(Summary!$C15,Model!$C$17:$C$45,0),MATCH(Summary!O$7,Model!$C$17:$Q$17,0))</f>
        <v>4.0813280536094988E-2</v>
      </c>
      <c r="P15" s="685">
        <f>INDEX(Model!$C$17:$Q$45,MATCH(Summary!$C15,Model!$C$17:$C$45,0),MATCH(Summary!P$7,Model!$C$17:$Q$17,0))</f>
        <v>5.081328053609499E-2</v>
      </c>
      <c r="Q15" s="685">
        <f>INDEX(Model!$C$17:$Q$45,MATCH(Summary!$C15,Model!$C$17:$C$45,0),MATCH(Summary!Q$7,Model!$C$17:$Q$17,0))</f>
        <v>6.0813280536094992E-2</v>
      </c>
      <c r="R15" s="549"/>
      <c r="S15" s="581"/>
      <c r="T15" s="549"/>
      <c r="U15" s="578"/>
    </row>
    <row r="16" spans="2:21" ht="16">
      <c r="B16" s="549"/>
      <c r="C16" s="45" t="s">
        <v>41</v>
      </c>
      <c r="E16" s="579" t="s">
        <v>444</v>
      </c>
      <c r="F16" s="579"/>
      <c r="G16" s="627">
        <f>INDEX(Model!$C$17:$O$45,MATCH(Summary!$C16,Model!$C$17:$C$45,0),MATCH(Summary!G$7,Model!$C$17:$O$17,0))</f>
        <v>76</v>
      </c>
      <c r="H16" s="627">
        <f>INDEX(Model!$C$17:$O$45,MATCH(Summary!$C16,Model!$C$17:$C$45,0),MATCH(Summary!H$7,Model!$C$17:$O$17,0))</f>
        <v>73</v>
      </c>
      <c r="I16" s="627">
        <f>INDEX(Model!$C$17:$O$45,MATCH(Summary!$C16,Model!$C$17:$C$45,0),MATCH(Summary!I$7,Model!$C$17:$O$17,0))</f>
        <v>130</v>
      </c>
      <c r="J16" s="627">
        <f>INDEX(Model!$C$17:$O$45,MATCH(Summary!$C16,Model!$C$17:$C$45,0),MATCH(Summary!J$7,Model!$C$17:$O$17,0))</f>
        <v>114</v>
      </c>
      <c r="K16" s="627">
        <f>INDEX(Model!$C$17:$O$45,MATCH(Summary!$C16,Model!$C$17:$C$45,0),MATCH(Summary!K$7,Model!$C$17:$O$17,0))</f>
        <v>219</v>
      </c>
      <c r="L16" s="627">
        <f>INDEX(Model!$C$17:$O$45,MATCH(Summary!$C16,Model!$C$17:$C$45,0),MATCH(Summary!L$7,Model!$C$17:$O$17,0))</f>
        <v>155</v>
      </c>
      <c r="M16" s="627">
        <f>INDEX(Model!$C$17:$O$45,MATCH(Summary!$C16,Model!$C$17:$C$45,0),MATCH(Summary!M$7,Model!$C$17:$O$17,0))</f>
        <v>193.6596814744976</v>
      </c>
      <c r="N16" s="627">
        <f>INDEX(Model!$C$17:$O$45,MATCH(Summary!$C16,Model!$C$17:$C$45,0),MATCH(Summary!N$7,Model!$C$17:$O$17,0))</f>
        <v>232.3916177693971</v>
      </c>
      <c r="O16" s="627">
        <f>INDEX(Model!$C$17:$Q$45,MATCH(Summary!$C16,Model!$C$17:$C$45,0),MATCH(Summary!O$7,Model!$C$17:$Q$17,0))</f>
        <v>267.25036043480662</v>
      </c>
      <c r="P16" s="627">
        <f>INDEX(Model!$C$17:$Q$45,MATCH(Summary!$C16,Model!$C$17:$C$45,0),MATCH(Summary!P$7,Model!$C$17:$Q$17,0))</f>
        <v>307.33791450002758</v>
      </c>
      <c r="Q16" s="627">
        <f>INDEX(Model!$C$17:$Q$45,MATCH(Summary!$C16,Model!$C$17:$C$45,0),MATCH(Summary!Q$7,Model!$C$17:$Q$17,0))</f>
        <v>338.07170595003038</v>
      </c>
      <c r="R16" s="549"/>
      <c r="S16" s="581">
        <f>(O16/J16)^(1/YEARFRAC(J$7,O$7,))-1</f>
        <v>0.18577609184126875</v>
      </c>
      <c r="T16" s="549"/>
      <c r="U16" s="586"/>
    </row>
    <row r="17" spans="2:21" ht="16">
      <c r="B17" s="549"/>
      <c r="C17" s="31" t="s">
        <v>93</v>
      </c>
      <c r="E17" s="579" t="s">
        <v>9</v>
      </c>
      <c r="F17" s="579"/>
      <c r="G17" s="610">
        <f>INDEX(Model!$C$17:$O$45,MATCH(Summary!$C17,Model!$C$17:$C$45,0),MATCH(Summary!G$7,Model!$C$17:$O$17,0))</f>
        <v>0</v>
      </c>
      <c r="H17" s="610">
        <f>INDEX(Model!$C$17:$O$45,MATCH(Summary!$C17,Model!$C$17:$C$45,0),MATCH(Summary!H$7,Model!$C$17:$O$17,0))</f>
        <v>0</v>
      </c>
      <c r="I17" s="610">
        <f>INDEX(Model!$C$17:$O$45,MATCH(Summary!$C17,Model!$C$17:$C$45,0),MATCH(Summary!I$7,Model!$C$17:$O$17,0))</f>
        <v>0</v>
      </c>
      <c r="J17" s="610">
        <f>INDEX(Model!$C$17:$O$45,MATCH(Summary!$C17,Model!$C$17:$C$45,0),MATCH(Summary!J$7,Model!$C$17:$O$17,0))</f>
        <v>0</v>
      </c>
      <c r="K17" s="610">
        <f>INDEX(Model!$C$17:$O$45,MATCH(Summary!$C17,Model!$C$17:$C$45,0),MATCH(Summary!K$7,Model!$C$17:$O$17,0))</f>
        <v>0</v>
      </c>
      <c r="L17" s="610">
        <f>INDEX(Model!$C$17:$O$45,MATCH(Summary!$C17,Model!$C$17:$C$45,0),MATCH(Summary!L$7,Model!$C$17:$O$17,0))</f>
        <v>0</v>
      </c>
      <c r="M17" s="610">
        <f>INDEX(Model!$C$17:$O$45,MATCH(Summary!$C17,Model!$C$17:$C$45,0),MATCH(Summary!M$7,Model!$C$17:$O$17,0))</f>
        <v>2.0813280536094984E-2</v>
      </c>
      <c r="N17" s="610">
        <f>INDEX(Model!$C$17:$O$45,MATCH(Summary!$C17,Model!$C$17:$C$45,0),MATCH(Summary!N$7,Model!$C$17:$O$17,0))</f>
        <v>3.0813280536094986E-2</v>
      </c>
      <c r="O17" s="685">
        <f>INDEX(Model!$C$17:$Q$45,MATCH(Summary!$C17,Model!$C$17:$C$45,0),MATCH(Summary!O$7,Model!$C$17:$Q$17,0))</f>
        <v>4.0813280536094988E-2</v>
      </c>
      <c r="P17" s="685">
        <f>INDEX(Model!$C$17:$Q$45,MATCH(Summary!$C17,Model!$C$17:$C$45,0),MATCH(Summary!P$7,Model!$C$17:$Q$17,0))</f>
        <v>5.081328053609499E-2</v>
      </c>
      <c r="Q17" s="685">
        <f>INDEX(Model!$C$17:$Q$45,MATCH(Summary!$C17,Model!$C$17:$C$45,0),MATCH(Summary!Q$7,Model!$C$17:$Q$17,0))</f>
        <v>6.0813280536094992E-2</v>
      </c>
      <c r="R17" s="549"/>
      <c r="S17" s="549"/>
      <c r="T17" s="549"/>
      <c r="U17" s="577"/>
    </row>
    <row r="18" spans="2:21" ht="16">
      <c r="B18" s="549"/>
      <c r="C18" s="577"/>
      <c r="E18" s="579"/>
      <c r="F18" s="579"/>
      <c r="G18" s="585"/>
      <c r="H18" s="585"/>
      <c r="I18" s="585"/>
      <c r="J18" s="585"/>
      <c r="K18" s="585"/>
      <c r="L18" s="585"/>
      <c r="M18" s="585"/>
      <c r="N18" s="585"/>
      <c r="O18" s="585"/>
      <c r="P18" s="585"/>
      <c r="Q18" s="585"/>
      <c r="R18" s="549"/>
      <c r="S18" s="581"/>
      <c r="T18" s="549"/>
      <c r="U18" s="578"/>
    </row>
    <row r="19" spans="2:21" ht="16">
      <c r="B19" s="549"/>
      <c r="C19" s="603" t="s">
        <v>446</v>
      </c>
      <c r="D19" s="603"/>
      <c r="E19" s="604"/>
      <c r="F19" s="604"/>
      <c r="G19" s="604"/>
      <c r="H19" s="598"/>
      <c r="I19" s="598"/>
      <c r="J19" s="598"/>
      <c r="K19" s="598"/>
      <c r="L19" s="598"/>
      <c r="M19" s="598"/>
      <c r="N19" s="598"/>
      <c r="O19" s="598"/>
      <c r="P19" s="598"/>
      <c r="Q19" s="598"/>
      <c r="R19" s="549"/>
      <c r="S19" s="598"/>
      <c r="T19" s="549"/>
    </row>
    <row r="20" spans="2:21" ht="16">
      <c r="B20" s="549"/>
      <c r="C20" s="87"/>
      <c r="D20" s="87"/>
      <c r="E20" s="608"/>
      <c r="F20" s="608"/>
      <c r="G20" s="608"/>
      <c r="H20" s="609"/>
      <c r="I20" s="609"/>
      <c r="J20" s="609"/>
      <c r="K20" s="609"/>
      <c r="L20" s="609"/>
      <c r="M20" s="609"/>
      <c r="N20" s="609"/>
      <c r="O20" s="609"/>
      <c r="P20" s="609"/>
      <c r="Q20" s="609"/>
      <c r="R20" s="549"/>
      <c r="S20" s="609"/>
      <c r="T20" s="549"/>
    </row>
    <row r="21" spans="2:21" ht="16">
      <c r="B21" s="549"/>
      <c r="C21" s="33" t="s">
        <v>17</v>
      </c>
      <c r="D21" s="588"/>
      <c r="E21" s="579" t="s">
        <v>444</v>
      </c>
      <c r="F21" s="579"/>
      <c r="G21" s="589">
        <f t="shared" ref="G21:Q21" si="0">INDEX(ThreeStateRange,MATCH($C21,ThreeStateparams,0),MATCH(G$7,ThreeStateyears,0))</f>
        <v>14608</v>
      </c>
      <c r="H21" s="589">
        <f t="shared" si="0"/>
        <v>17202</v>
      </c>
      <c r="I21" s="589">
        <f t="shared" si="0"/>
        <v>23063</v>
      </c>
      <c r="J21" s="589">
        <f t="shared" si="0"/>
        <v>25785</v>
      </c>
      <c r="K21" s="589">
        <f t="shared" si="0"/>
        <v>26517</v>
      </c>
      <c r="L21" s="589">
        <f t="shared" si="0"/>
        <v>27176</v>
      </c>
      <c r="M21" s="589">
        <f t="shared" si="0"/>
        <v>28207.022910228687</v>
      </c>
      <c r="N21" s="589">
        <f t="shared" si="0"/>
        <v>29577.653506353243</v>
      </c>
      <c r="O21" s="589">
        <f t="shared" si="0"/>
        <v>31316.528779159173</v>
      </c>
      <c r="P21" s="589">
        <f t="shared" si="0"/>
        <v>33497.173884528573</v>
      </c>
      <c r="Q21" s="589">
        <f t="shared" si="0"/>
        <v>36167.54199523943</v>
      </c>
      <c r="R21" s="549"/>
      <c r="S21" s="581">
        <f>(O21/J21)^(1/YEARFRAC(J$7,O$7,))-1</f>
        <v>3.963596823426796E-2</v>
      </c>
      <c r="T21" s="549"/>
    </row>
    <row r="22" spans="2:21" ht="16">
      <c r="B22" s="549"/>
      <c r="C22" s="31" t="s">
        <v>49</v>
      </c>
      <c r="D22" s="586"/>
      <c r="E22" s="579" t="s">
        <v>9</v>
      </c>
      <c r="F22" s="579"/>
      <c r="G22" s="683"/>
      <c r="H22" s="683">
        <f t="shared" ref="H22:Q22" si="1">INDEX(ThreeStateRange,MATCH($C22,ThreeStateparams,0),MATCH(H$7,ThreeStateyears,0))</f>
        <v>0.17757393209200445</v>
      </c>
      <c r="I22" s="683">
        <f t="shared" si="1"/>
        <v>0.34071619579118706</v>
      </c>
      <c r="J22" s="683">
        <f t="shared" si="1"/>
        <v>0.11802454147335562</v>
      </c>
      <c r="K22" s="683">
        <f t="shared" si="1"/>
        <v>2.8388598022105915E-2</v>
      </c>
      <c r="L22" s="683">
        <f t="shared" si="1"/>
        <v>2.4851981747558094E-2</v>
      </c>
      <c r="M22" s="683">
        <f t="shared" si="1"/>
        <v>3.7938729401997495E-2</v>
      </c>
      <c r="N22" s="683">
        <f t="shared" si="1"/>
        <v>4.8591820572015276E-2</v>
      </c>
      <c r="O22" s="683">
        <f t="shared" si="1"/>
        <v>5.8790169829814998E-2</v>
      </c>
      <c r="P22" s="683">
        <f t="shared" si="1"/>
        <v>6.9632401494657215E-2</v>
      </c>
      <c r="Q22" s="683">
        <f t="shared" si="1"/>
        <v>7.971920616097794E-2</v>
      </c>
      <c r="R22" s="549"/>
      <c r="S22" s="549"/>
      <c r="T22" s="549"/>
    </row>
    <row r="23" spans="2:21" ht="16">
      <c r="B23" s="549"/>
      <c r="C23" s="587"/>
      <c r="D23" s="590"/>
      <c r="E23" s="590"/>
      <c r="F23" s="590"/>
      <c r="G23" s="589"/>
      <c r="H23" s="589"/>
      <c r="I23" s="589"/>
      <c r="J23" s="589"/>
      <c r="K23" s="589"/>
      <c r="L23" s="589"/>
      <c r="M23" s="589"/>
      <c r="N23" s="589"/>
      <c r="O23" s="589"/>
      <c r="P23" s="589"/>
      <c r="Q23" s="589"/>
      <c r="R23" s="549"/>
      <c r="S23" s="549"/>
      <c r="T23" s="549"/>
    </row>
    <row r="24" spans="2:21" ht="16">
      <c r="B24" s="549"/>
      <c r="C24" s="33" t="s">
        <v>20</v>
      </c>
      <c r="D24" s="588"/>
      <c r="E24" s="579" t="s">
        <v>444</v>
      </c>
      <c r="F24" s="579"/>
      <c r="G24" s="589">
        <f t="shared" ref="G24:Q24" si="2">INDEX(ThreeStateRange,MATCH($C24,ThreeStateparams,0),MATCH(G$7,ThreeStateyears,0))</f>
        <v>6386</v>
      </c>
      <c r="H24" s="589">
        <f t="shared" si="2"/>
        <v>7692</v>
      </c>
      <c r="I24" s="589">
        <f t="shared" si="2"/>
        <v>10914</v>
      </c>
      <c r="J24" s="589">
        <f t="shared" si="2"/>
        <v>11993</v>
      </c>
      <c r="K24" s="589">
        <f t="shared" si="2"/>
        <v>12384</v>
      </c>
      <c r="L24" s="589">
        <f t="shared" si="2"/>
        <v>12897</v>
      </c>
      <c r="M24" s="589">
        <f t="shared" si="2"/>
        <v>13173.276453606064</v>
      </c>
      <c r="N24" s="589">
        <f t="shared" si="2"/>
        <v>13813.389939385244</v>
      </c>
      <c r="O24" s="589">
        <f t="shared" si="2"/>
        <v>14625.48147984716</v>
      </c>
      <c r="P24" s="589">
        <f t="shared" si="2"/>
        <v>15643.888878304551</v>
      </c>
      <c r="Q24" s="589">
        <f t="shared" si="2"/>
        <v>16891.007280953541</v>
      </c>
      <c r="R24" s="549"/>
      <c r="S24" s="581">
        <f>(O24/J24)^(1/YEARFRAC(J$7,O$7,))-1</f>
        <v>4.048654304406285E-2</v>
      </c>
      <c r="T24" s="549"/>
    </row>
    <row r="25" spans="2:21" ht="16">
      <c r="B25" s="549"/>
      <c r="C25" s="31" t="s">
        <v>455</v>
      </c>
      <c r="D25" s="586"/>
      <c r="E25" s="579" t="s">
        <v>9</v>
      </c>
      <c r="F25" s="579"/>
      <c r="G25" s="683"/>
      <c r="H25" s="683">
        <f t="shared" ref="H25:Q25" si="3">INDEX(ThreeStateRange,MATCH($C25,ThreeStateparams,0),MATCH(H$7,ThreeStateyears,0))</f>
        <v>0.44715730728985004</v>
      </c>
      <c r="I25" s="683">
        <f t="shared" si="3"/>
        <v>0.47322551272601138</v>
      </c>
      <c r="J25" s="683">
        <f t="shared" si="3"/>
        <v>0.46511537715726198</v>
      </c>
      <c r="K25" s="683">
        <f t="shared" si="3"/>
        <v>0.46702115623939361</v>
      </c>
      <c r="L25" s="683">
        <f t="shared" si="3"/>
        <v>0.47457315278186635</v>
      </c>
      <c r="M25" s="683">
        <f t="shared" si="3"/>
        <v>0.4670211562393935</v>
      </c>
      <c r="N25" s="683">
        <f t="shared" si="3"/>
        <v>0.46702115623939355</v>
      </c>
      <c r="O25" s="683">
        <f t="shared" si="3"/>
        <v>0.46702115623939355</v>
      </c>
      <c r="P25" s="683">
        <f t="shared" si="3"/>
        <v>0.46702115623939355</v>
      </c>
      <c r="Q25" s="683">
        <f t="shared" si="3"/>
        <v>0.46702115623939355</v>
      </c>
      <c r="R25" s="549"/>
      <c r="S25" s="549"/>
      <c r="T25" s="549"/>
    </row>
    <row r="26" spans="2:21" ht="16">
      <c r="B26" s="549"/>
      <c r="C26" s="587"/>
      <c r="D26" s="590"/>
      <c r="E26" s="590"/>
      <c r="F26" s="590"/>
      <c r="G26" s="589"/>
      <c r="H26" s="589"/>
      <c r="I26" s="589"/>
      <c r="J26" s="589"/>
      <c r="K26" s="589"/>
      <c r="L26" s="589"/>
      <c r="M26" s="589"/>
      <c r="N26" s="589"/>
      <c r="O26" s="589"/>
      <c r="P26" s="589"/>
      <c r="Q26" s="589"/>
      <c r="R26" s="549"/>
      <c r="S26" s="549"/>
      <c r="T26" s="549"/>
    </row>
    <row r="27" spans="2:21" ht="16">
      <c r="B27" s="549"/>
      <c r="C27" s="33" t="s">
        <v>76</v>
      </c>
      <c r="D27" s="588"/>
      <c r="E27" s="579" t="s">
        <v>444</v>
      </c>
      <c r="F27" s="579"/>
      <c r="G27" s="589">
        <f t="shared" ref="G27:Q28" si="4">INDEX(ThreeStateRange,MATCH($C27,ThreeStateparams,0),MATCH(G$7,ThreeStateyears,0))</f>
        <v>2668</v>
      </c>
      <c r="H27" s="589">
        <f t="shared" si="4"/>
        <v>3500.6404954164877</v>
      </c>
      <c r="I27" s="589">
        <f t="shared" si="4"/>
        <v>5928.2052283087869</v>
      </c>
      <c r="J27" s="589">
        <f t="shared" si="4"/>
        <v>6583.2385973780274</v>
      </c>
      <c r="K27" s="589">
        <f t="shared" si="4"/>
        <v>6841.0334983607891</v>
      </c>
      <c r="L27" s="589">
        <f t="shared" si="4"/>
        <v>7162.274655575894</v>
      </c>
      <c r="M27" s="589">
        <f t="shared" si="4"/>
        <v>7001.9235608653835</v>
      </c>
      <c r="N27" s="589">
        <f t="shared" si="4"/>
        <v>7382.4642269450769</v>
      </c>
      <c r="O27" s="589">
        <f t="shared" si="4"/>
        <v>7863.3024527430616</v>
      </c>
      <c r="P27" s="589">
        <f t="shared" si="4"/>
        <v>8464.7662885549016</v>
      </c>
      <c r="Q27" s="589">
        <f t="shared" si="4"/>
        <v>9116.027263381613</v>
      </c>
      <c r="R27" s="549"/>
      <c r="S27" s="581">
        <f>(O27/J27)^(1/YEARFRAC(J$7,O$7,))-1</f>
        <v>3.61749218355365E-2</v>
      </c>
      <c r="T27" s="549"/>
    </row>
    <row r="28" spans="2:21" ht="16">
      <c r="B28" s="549"/>
      <c r="C28" s="611" t="s">
        <v>457</v>
      </c>
      <c r="D28" s="578"/>
      <c r="E28" s="579" t="s">
        <v>447</v>
      </c>
      <c r="F28" s="579"/>
      <c r="G28" s="684">
        <f t="shared" si="4"/>
        <v>2.8232804232804232</v>
      </c>
      <c r="H28" s="684">
        <f t="shared" si="4"/>
        <v>3.7926765930839519</v>
      </c>
      <c r="I28" s="684">
        <f t="shared" si="4"/>
        <v>6.4507129796613567</v>
      </c>
      <c r="J28" s="684">
        <f t="shared" si="4"/>
        <v>7.5065434405678761</v>
      </c>
      <c r="K28" s="684">
        <f t="shared" si="4"/>
        <v>8.0958976311962001</v>
      </c>
      <c r="L28" s="684">
        <f t="shared" si="4"/>
        <v>8.6920808926891926</v>
      </c>
      <c r="M28" s="684">
        <f t="shared" si="4"/>
        <v>8.4974800495939125</v>
      </c>
      <c r="N28" s="684">
        <f t="shared" si="4"/>
        <v>8.9593012462925685</v>
      </c>
      <c r="O28" s="684">
        <f t="shared" si="4"/>
        <v>9.5428427824551711</v>
      </c>
      <c r="P28" s="684">
        <f t="shared" si="4"/>
        <v>10.272774622032648</v>
      </c>
      <c r="Q28" s="684">
        <f t="shared" si="4"/>
        <v>11.063139882744675</v>
      </c>
      <c r="R28" s="549"/>
      <c r="S28" s="581"/>
      <c r="T28" s="549"/>
    </row>
    <row r="29" spans="2:21" ht="16">
      <c r="B29" s="549"/>
      <c r="C29" s="587"/>
      <c r="D29" s="590"/>
      <c r="E29" s="590"/>
      <c r="F29" s="590"/>
      <c r="G29" s="589"/>
      <c r="H29" s="589"/>
      <c r="I29" s="589"/>
      <c r="J29" s="589"/>
      <c r="K29" s="589"/>
      <c r="L29" s="589"/>
      <c r="M29" s="589"/>
      <c r="N29" s="589"/>
      <c r="O29" s="589"/>
      <c r="P29" s="589"/>
      <c r="Q29" s="589"/>
      <c r="R29" s="549"/>
      <c r="S29" s="549"/>
      <c r="T29" s="549"/>
    </row>
    <row r="30" spans="2:21" ht="16">
      <c r="B30" s="549"/>
      <c r="C30" s="26" t="s">
        <v>66</v>
      </c>
      <c r="D30" s="578"/>
      <c r="E30" s="579" t="s">
        <v>444</v>
      </c>
      <c r="F30" s="579"/>
      <c r="G30" s="589">
        <f t="shared" ref="G30:Q30" si="5">INDEX(ThreeStateRange,MATCH($C30,ThreeStateparams,0),MATCH(G$7,ThreeStateyears,0))</f>
        <v>-441</v>
      </c>
      <c r="H30" s="589">
        <f t="shared" si="5"/>
        <v>-422</v>
      </c>
      <c r="I30" s="589">
        <f t="shared" si="5"/>
        <v>-668</v>
      </c>
      <c r="J30" s="589">
        <f t="shared" si="5"/>
        <v>-787</v>
      </c>
      <c r="K30" s="589">
        <f t="shared" si="5"/>
        <v>-1106</v>
      </c>
      <c r="L30" s="589">
        <f t="shared" si="5"/>
        <v>-1190</v>
      </c>
      <c r="M30" s="589">
        <f t="shared" si="5"/>
        <v>-1183.9098887935374</v>
      </c>
      <c r="N30" s="589">
        <f t="shared" si="5"/>
        <v>-1214.6346274723567</v>
      </c>
      <c r="O30" s="589">
        <f t="shared" si="5"/>
        <v>-1257.663817200892</v>
      </c>
      <c r="P30" s="589">
        <f t="shared" si="5"/>
        <v>-1314.882457942655</v>
      </c>
      <c r="Q30" s="589">
        <f t="shared" si="5"/>
        <v>-1386.9284153126396</v>
      </c>
      <c r="R30" s="549"/>
      <c r="S30" s="581">
        <f>(O30/J30)^(1/YEARFRAC(J$7,O$7,))-1</f>
        <v>9.8292370825898034E-2</v>
      </c>
      <c r="T30" s="549"/>
    </row>
    <row r="31" spans="2:21" ht="16">
      <c r="B31" s="549"/>
      <c r="C31" s="586" t="s">
        <v>445</v>
      </c>
      <c r="D31" s="578"/>
      <c r="E31" s="579" t="s">
        <v>9</v>
      </c>
      <c r="F31" s="579"/>
      <c r="G31" s="591"/>
      <c r="H31" s="591"/>
      <c r="I31" s="591"/>
      <c r="J31" s="591"/>
      <c r="K31" s="591"/>
      <c r="L31" s="591"/>
      <c r="M31" s="591"/>
      <c r="N31" s="591"/>
      <c r="O31" s="591"/>
      <c r="P31" s="591"/>
      <c r="Q31" s="591"/>
      <c r="R31" s="549"/>
      <c r="S31" s="581"/>
      <c r="T31" s="549"/>
    </row>
    <row r="32" spans="2:21" ht="16">
      <c r="B32" s="549"/>
      <c r="C32" s="586"/>
      <c r="D32" s="578"/>
      <c r="E32" s="579"/>
      <c r="F32" s="579"/>
      <c r="G32" s="591"/>
      <c r="H32" s="591"/>
      <c r="I32" s="591"/>
      <c r="J32" s="591"/>
      <c r="K32" s="591"/>
      <c r="L32" s="591"/>
      <c r="M32" s="591"/>
      <c r="N32" s="591"/>
      <c r="O32" s="591"/>
      <c r="P32" s="591"/>
      <c r="Q32" s="591"/>
      <c r="R32" s="549"/>
      <c r="S32" s="581"/>
      <c r="T32" s="549"/>
    </row>
    <row r="33" spans="2:20" ht="16">
      <c r="B33" s="549"/>
      <c r="C33" s="628" t="s">
        <v>32</v>
      </c>
      <c r="D33" s="578"/>
      <c r="E33" s="579" t="s">
        <v>444</v>
      </c>
      <c r="F33" s="579"/>
      <c r="G33" s="591">
        <f>Model!F168</f>
        <v>3203</v>
      </c>
      <c r="H33" s="591">
        <f>Model!G168</f>
        <v>1653.302985074627</v>
      </c>
      <c r="I33" s="591">
        <f>Model!H168</f>
        <v>4457.578235967927</v>
      </c>
      <c r="J33" s="591">
        <f>Model!I168</f>
        <v>8237.1304978951957</v>
      </c>
      <c r="K33" s="591">
        <f>Model!J168</f>
        <v>4655.9827940421164</v>
      </c>
      <c r="L33" s="591">
        <f>Model!K168</f>
        <v>12302.942728110069</v>
      </c>
      <c r="M33" s="591">
        <f>Model!L168</f>
        <v>2622.599886594458</v>
      </c>
      <c r="N33" s="591">
        <f>Model!M168</f>
        <v>7827.3958738102947</v>
      </c>
      <c r="O33" s="591">
        <f>Model!N168</f>
        <v>8282.1472560876682</v>
      </c>
      <c r="P33" s="591">
        <f>Model!O168</f>
        <v>8841.4692653470247</v>
      </c>
      <c r="Q33" s="591">
        <f>Model!P168</f>
        <v>9274.1117600374564</v>
      </c>
      <c r="R33" s="549"/>
      <c r="S33" s="581">
        <f>(O33/J33)^(1/YEARFRAC(J$7,O$7,))-1</f>
        <v>1.0906388138989254E-3</v>
      </c>
      <c r="T33" s="549"/>
    </row>
    <row r="34" spans="2:20" ht="16">
      <c r="B34" s="549"/>
      <c r="C34" s="43" t="s">
        <v>33</v>
      </c>
      <c r="D34" s="578"/>
      <c r="E34" s="579" t="s">
        <v>444</v>
      </c>
      <c r="F34" s="579"/>
      <c r="G34" s="591">
        <f>Model!F175</f>
        <v>-443</v>
      </c>
      <c r="H34" s="591">
        <f>Model!G175</f>
        <v>-130</v>
      </c>
      <c r="I34" s="591">
        <f>Model!H175</f>
        <v>-1216</v>
      </c>
      <c r="J34" s="591">
        <f>Model!I175</f>
        <v>-1357</v>
      </c>
      <c r="K34" s="591">
        <f>Model!J175</f>
        <v>-1432</v>
      </c>
      <c r="L34" s="591">
        <f>Model!K175</f>
        <v>-1818.6</v>
      </c>
      <c r="M34" s="591">
        <f>Model!L175</f>
        <v>-694.70111577831949</v>
      </c>
      <c r="N34" s="591">
        <f>Model!M175</f>
        <v>-1381.2064018806579</v>
      </c>
      <c r="O34" s="591">
        <f>Model!N175</f>
        <v>-1445.7316767584343</v>
      </c>
      <c r="P34" s="591">
        <f>Model!O175</f>
        <v>-1527.1087810551039</v>
      </c>
      <c r="Q34" s="591">
        <f>Model!P175</f>
        <v>-1600.5738552262242</v>
      </c>
      <c r="R34" s="549"/>
      <c r="S34" s="581"/>
      <c r="T34" s="549"/>
    </row>
    <row r="35" spans="2:20" ht="16">
      <c r="B35" s="549"/>
      <c r="C35" s="628" t="s">
        <v>61</v>
      </c>
      <c r="D35" s="578"/>
      <c r="E35" s="579" t="s">
        <v>444</v>
      </c>
      <c r="F35" s="579"/>
      <c r="G35" s="591">
        <f>Model!F183</f>
        <v>-3029</v>
      </c>
      <c r="H35" s="591">
        <f>Model!G183</f>
        <v>-512</v>
      </c>
      <c r="I35" s="591">
        <f>Model!H183</f>
        <v>-4413</v>
      </c>
      <c r="J35" s="591">
        <f>Model!I183</f>
        <v>-6777</v>
      </c>
      <c r="K35" s="591">
        <f>Model!J183</f>
        <v>-2937</v>
      </c>
      <c r="L35" s="591">
        <f>Model!K183</f>
        <v>-3002.1354408128836</v>
      </c>
      <c r="M35" s="591">
        <f>Model!L183</f>
        <v>-3964.4614298271026</v>
      </c>
      <c r="N35" s="591">
        <f>Model!M183</f>
        <v>-3349.284152855821</v>
      </c>
      <c r="O35" s="591">
        <f>Model!N183</f>
        <v>-5238.8949052833314</v>
      </c>
      <c r="P35" s="591">
        <f>Model!O183</f>
        <v>-6062.8353093039241</v>
      </c>
      <c r="Q35" s="591">
        <f>Model!P183</f>
        <v>-6985.0241012672022</v>
      </c>
      <c r="R35" s="549"/>
      <c r="S35" s="581">
        <f>(O35/J35)^(1/YEARFRAC(J$7,O$7,))-1</f>
        <v>-5.0181902654752975E-2</v>
      </c>
      <c r="T35" s="549"/>
    </row>
    <row r="36" spans="2:20" ht="16">
      <c r="B36" s="549"/>
      <c r="C36" s="586"/>
      <c r="D36" s="578"/>
      <c r="E36" s="579"/>
      <c r="F36" s="579"/>
      <c r="G36" s="591"/>
      <c r="H36" s="591"/>
      <c r="I36" s="591"/>
      <c r="J36" s="591"/>
      <c r="K36" s="591"/>
      <c r="L36" s="591"/>
      <c r="M36" s="591"/>
      <c r="N36" s="591"/>
      <c r="O36" s="591"/>
      <c r="P36" s="591"/>
      <c r="Q36" s="591"/>
      <c r="R36" s="549"/>
      <c r="S36" s="581"/>
      <c r="T36" s="549"/>
    </row>
    <row r="37" spans="2:20" ht="16">
      <c r="B37" s="549"/>
      <c r="C37" s="267" t="s">
        <v>24</v>
      </c>
      <c r="D37" s="578"/>
      <c r="E37" s="579" t="s">
        <v>444</v>
      </c>
      <c r="F37" s="579"/>
      <c r="G37" s="686">
        <f t="shared" ref="G37:Q39" si="6">INDEX(ThreeStateRange,MATCH($C37,ThreeStateparams,0),MATCH(G$7,ThreeStateyears,0))</f>
        <v>21120</v>
      </c>
      <c r="H37" s="686">
        <f t="shared" si="6"/>
        <v>26386</v>
      </c>
      <c r="I37" s="686">
        <f t="shared" si="6"/>
        <v>30542</v>
      </c>
      <c r="J37" s="686">
        <f t="shared" si="6"/>
        <v>28099</v>
      </c>
      <c r="K37" s="686">
        <f t="shared" si="6"/>
        <v>35650</v>
      </c>
      <c r="L37" s="686">
        <f t="shared" si="6"/>
        <v>39516.207287297184</v>
      </c>
      <c r="M37" s="686">
        <f t="shared" si="6"/>
        <v>42194.497958598608</v>
      </c>
      <c r="N37" s="686">
        <f t="shared" si="6"/>
        <v>46261.664852840186</v>
      </c>
      <c r="O37" s="686">
        <f t="shared" si="6"/>
        <v>48971.586721150707</v>
      </c>
      <c r="P37" s="686">
        <f t="shared" si="6"/>
        <v>51562.575497189224</v>
      </c>
      <c r="Q37" s="686">
        <f t="shared" si="6"/>
        <v>53844.350976317721</v>
      </c>
      <c r="R37" s="549"/>
      <c r="S37" s="581">
        <f>(O37/J37)^(1/YEARFRAC(J$7,O$7,))-1</f>
        <v>0.11750805520274832</v>
      </c>
      <c r="T37" s="549"/>
    </row>
    <row r="38" spans="2:20" ht="16">
      <c r="B38" s="549"/>
      <c r="C38" s="26" t="s">
        <v>85</v>
      </c>
      <c r="D38" s="590"/>
      <c r="E38" s="579" t="s">
        <v>444</v>
      </c>
      <c r="F38" s="579"/>
      <c r="G38" s="686">
        <f t="shared" si="6"/>
        <v>5313</v>
      </c>
      <c r="H38" s="686">
        <f t="shared" si="6"/>
        <v>5448</v>
      </c>
      <c r="I38" s="686">
        <f t="shared" si="6"/>
        <v>5452</v>
      </c>
      <c r="J38" s="686">
        <f t="shared" si="6"/>
        <v>5457</v>
      </c>
      <c r="K38" s="686">
        <f t="shared" si="6"/>
        <v>5461</v>
      </c>
      <c r="L38" s="686">
        <f t="shared" si="6"/>
        <v>6155.0338909090915</v>
      </c>
      <c r="M38" s="686">
        <f t="shared" si="6"/>
        <v>5455.0338909090915</v>
      </c>
      <c r="N38" s="686">
        <f t="shared" si="6"/>
        <v>6655.0338909090915</v>
      </c>
      <c r="O38" s="686">
        <f t="shared" si="6"/>
        <v>5455.0338909090915</v>
      </c>
      <c r="P38" s="686">
        <f t="shared" si="6"/>
        <v>5455.0338909090915</v>
      </c>
      <c r="Q38" s="686">
        <f t="shared" si="6"/>
        <v>5455.0338909090915</v>
      </c>
      <c r="R38" s="549"/>
      <c r="S38" s="581">
        <f>(O38/J38)^(1/YEARFRAC(J$7,O$7,))-1</f>
        <v>-7.20686274839899E-5</v>
      </c>
      <c r="T38" s="549"/>
    </row>
    <row r="39" spans="2:20" ht="16">
      <c r="B39" s="549"/>
      <c r="C39" s="26" t="s">
        <v>77</v>
      </c>
      <c r="D39" s="578"/>
      <c r="E39" s="579" t="s">
        <v>444</v>
      </c>
      <c r="F39" s="579"/>
      <c r="G39" s="686">
        <f t="shared" si="6"/>
        <v>3618</v>
      </c>
      <c r="H39" s="686">
        <f t="shared" si="6"/>
        <v>5738</v>
      </c>
      <c r="I39" s="686">
        <f t="shared" si="6"/>
        <v>5459</v>
      </c>
      <c r="J39" s="686">
        <f t="shared" si="6"/>
        <v>2581</v>
      </c>
      <c r="K39" s="686">
        <f t="shared" si="6"/>
        <v>6869</v>
      </c>
      <c r="L39" s="686">
        <f t="shared" si="6"/>
        <v>14351.207287297184</v>
      </c>
      <c r="M39" s="686">
        <f t="shared" si="6"/>
        <v>12314.64462828622</v>
      </c>
      <c r="N39" s="686">
        <f t="shared" si="6"/>
        <v>15411.549947360036</v>
      </c>
      <c r="O39" s="686">
        <f t="shared" si="6"/>
        <v>17009.070621405939</v>
      </c>
      <c r="P39" s="686">
        <f t="shared" si="6"/>
        <v>18260.595796393936</v>
      </c>
      <c r="Q39" s="686">
        <f t="shared" si="6"/>
        <v>18949.109599937965</v>
      </c>
      <c r="R39" s="549"/>
      <c r="S39" s="581">
        <f>(O39/J39)^(1/YEARFRAC(J$7,O$7,))-1</f>
        <v>0.45807047531617728</v>
      </c>
      <c r="T39" s="549"/>
    </row>
    <row r="40" spans="2:20" ht="16">
      <c r="B40" s="549"/>
      <c r="C40" s="587"/>
      <c r="D40" s="586"/>
      <c r="E40" s="579"/>
      <c r="F40" s="579"/>
      <c r="G40" s="591"/>
      <c r="H40" s="591"/>
      <c r="I40" s="591"/>
      <c r="J40" s="591"/>
      <c r="K40" s="591"/>
      <c r="L40" s="591"/>
      <c r="M40" s="591"/>
      <c r="N40" s="591"/>
      <c r="O40" s="591"/>
      <c r="P40" s="591"/>
      <c r="Q40" s="591"/>
      <c r="R40" s="549"/>
      <c r="S40" s="549"/>
      <c r="T40" s="549"/>
    </row>
    <row r="41" spans="2:20" ht="16">
      <c r="B41" s="549"/>
      <c r="C41" s="43" t="s">
        <v>96</v>
      </c>
      <c r="D41" s="590"/>
      <c r="E41" s="579" t="s">
        <v>444</v>
      </c>
      <c r="F41" s="579"/>
      <c r="G41" s="686">
        <f t="shared" ref="G41:Q42" si="7">INDEX(ThreeStateRange,MATCH($C41,ThreeStateparams,0),MATCH(G$7,ThreeStateyears,0))</f>
        <v>3069</v>
      </c>
      <c r="H41" s="686">
        <f t="shared" si="7"/>
        <v>3995.302985074627</v>
      </c>
      <c r="I41" s="686">
        <f t="shared" si="7"/>
        <v>6282.578235967927</v>
      </c>
      <c r="J41" s="686">
        <f t="shared" si="7"/>
        <v>6969.1304978951948</v>
      </c>
      <c r="K41" s="686">
        <f t="shared" si="7"/>
        <v>7370.9827940421164</v>
      </c>
      <c r="L41" s="686">
        <f t="shared" si="7"/>
        <v>7569.0278285863596</v>
      </c>
      <c r="M41" s="686">
        <f t="shared" si="7"/>
        <v>7703.7275857148452</v>
      </c>
      <c r="N41" s="686">
        <f t="shared" si="7"/>
        <v>8146.6799405598113</v>
      </c>
      <c r="O41" s="686">
        <f t="shared" si="7"/>
        <v>8695.5149437066757</v>
      </c>
      <c r="P41" s="686">
        <f t="shared" si="7"/>
        <v>9371.5736239581256</v>
      </c>
      <c r="Q41" s="686">
        <f t="shared" si="7"/>
        <v>10010.563630561985</v>
      </c>
      <c r="R41" s="549"/>
      <c r="S41" s="581">
        <f>(O41/J41)^(1/YEARFRAC(J$7,O$7,))-1</f>
        <v>4.5257618851521464E-2</v>
      </c>
      <c r="T41" s="549"/>
    </row>
    <row r="42" spans="2:20" ht="16">
      <c r="B42" s="549"/>
      <c r="C42" s="80" t="s">
        <v>97</v>
      </c>
      <c r="D42" s="578"/>
      <c r="E42" s="579" t="s">
        <v>9</v>
      </c>
      <c r="F42" s="579"/>
      <c r="G42" s="629">
        <f t="shared" si="7"/>
        <v>0.21009036144578314</v>
      </c>
      <c r="H42" s="629">
        <f t="shared" si="7"/>
        <v>0.23225805052171997</v>
      </c>
      <c r="I42" s="629">
        <f t="shared" si="7"/>
        <v>0.27240941056965384</v>
      </c>
      <c r="J42" s="629">
        <f t="shared" si="7"/>
        <v>0.27027847577642794</v>
      </c>
      <c r="K42" s="629">
        <f t="shared" si="7"/>
        <v>0.27797197247207889</v>
      </c>
      <c r="L42" s="629">
        <f t="shared" si="7"/>
        <v>0.27851883384553872</v>
      </c>
      <c r="M42" s="629">
        <f t="shared" si="7"/>
        <v>0.27311381318874489</v>
      </c>
      <c r="N42" s="629">
        <f t="shared" si="7"/>
        <v>0.27543361202773964</v>
      </c>
      <c r="O42" s="629">
        <f t="shared" si="7"/>
        <v>0.27766535062128123</v>
      </c>
      <c r="P42" s="629">
        <f t="shared" si="7"/>
        <v>0.27977206842176616</v>
      </c>
      <c r="Q42" s="629">
        <f t="shared" si="7"/>
        <v>0.27678307892418097</v>
      </c>
      <c r="R42" s="549"/>
      <c r="S42" s="581"/>
      <c r="T42" s="549"/>
    </row>
    <row r="43" spans="2:20" ht="16">
      <c r="B43" s="549"/>
      <c r="C43" s="587"/>
      <c r="D43" s="578"/>
      <c r="E43" s="579"/>
      <c r="F43" s="579"/>
      <c r="G43" s="585"/>
      <c r="H43" s="585"/>
      <c r="I43" s="585"/>
      <c r="J43" s="585"/>
      <c r="K43" s="585"/>
      <c r="L43" s="585"/>
      <c r="M43" s="585"/>
      <c r="N43" s="585"/>
      <c r="O43" s="585"/>
      <c r="P43" s="585"/>
      <c r="Q43" s="585"/>
      <c r="R43" s="549"/>
      <c r="S43" s="581"/>
      <c r="T43" s="549"/>
    </row>
    <row r="44" spans="2:20" ht="16">
      <c r="B44" s="549"/>
      <c r="C44" s="538"/>
      <c r="D44" s="538"/>
      <c r="E44" s="539"/>
      <c r="F44" s="539"/>
      <c r="G44" s="594"/>
      <c r="H44" s="594"/>
      <c r="I44" s="594"/>
      <c r="J44" s="595" t="s">
        <v>186</v>
      </c>
      <c r="K44" s="594" t="str">
        <f>[1]WMT_Model!$I$90</f>
        <v>Projected:</v>
      </c>
      <c r="L44" s="594"/>
      <c r="M44" s="594"/>
      <c r="N44" s="594"/>
      <c r="O44" s="594"/>
      <c r="P44" s="605"/>
      <c r="Q44" s="605"/>
      <c r="R44" s="549"/>
      <c r="S44" s="549"/>
      <c r="T44" s="549"/>
    </row>
    <row r="45" spans="2:20" ht="16">
      <c r="B45" s="549"/>
      <c r="C45" s="540" t="s">
        <v>448</v>
      </c>
      <c r="D45" s="540"/>
      <c r="E45" s="596" t="str">
        <f>[1]WMT_Model!$D$91</f>
        <v>Units:</v>
      </c>
      <c r="F45" s="596"/>
      <c r="G45" s="172"/>
      <c r="H45" s="172"/>
      <c r="I45" s="172"/>
      <c r="J45" s="607">
        <f>LTM</f>
        <v>45592</v>
      </c>
      <c r="K45" s="172">
        <f>Model!K81</f>
        <v>45322</v>
      </c>
      <c r="L45" s="172">
        <f>Model!L81</f>
        <v>45688</v>
      </c>
      <c r="M45" s="172">
        <f>Model!M81</f>
        <v>46053</v>
      </c>
      <c r="N45" s="172">
        <f>Model!N81</f>
        <v>46418</v>
      </c>
      <c r="O45" s="172">
        <f>Model!O81</f>
        <v>46783</v>
      </c>
      <c r="P45" s="606"/>
      <c r="Q45" s="606"/>
      <c r="R45" s="549"/>
      <c r="S45" s="549"/>
      <c r="T45" s="549"/>
    </row>
    <row r="46" spans="2:20" ht="16">
      <c r="B46" s="549"/>
      <c r="C46" s="578" t="s">
        <v>449</v>
      </c>
      <c r="E46" s="592" t="s">
        <v>450</v>
      </c>
      <c r="F46" s="592"/>
      <c r="G46" s="593"/>
      <c r="H46" s="593"/>
      <c r="I46" s="593"/>
      <c r="J46" s="593">
        <f>PubComps!N37</f>
        <v>8.8724494979038688</v>
      </c>
      <c r="K46" s="593">
        <f>PubComps!O37</f>
        <v>7.7133528300220746</v>
      </c>
      <c r="L46" s="681">
        <f>PubComps!P37</f>
        <v>6.8112063001949315</v>
      </c>
      <c r="M46" s="593"/>
      <c r="N46" s="593"/>
      <c r="O46" s="593"/>
      <c r="P46" s="593"/>
      <c r="Q46" s="593"/>
      <c r="R46" s="549"/>
      <c r="S46" s="549"/>
      <c r="T46" s="549"/>
    </row>
    <row r="47" spans="2:20" ht="16">
      <c r="B47" s="549"/>
      <c r="C47" s="578" t="str">
        <f>"EV / Revenue - "&amp;CompanyName&amp;":"</f>
        <v>EV / Revenue - Applied Materials:</v>
      </c>
      <c r="E47" s="592" t="s">
        <v>450</v>
      </c>
      <c r="F47" s="592"/>
      <c r="G47" s="593"/>
      <c r="H47" s="593"/>
      <c r="I47" s="593"/>
      <c r="J47" s="593">
        <f>PubComps!N41</f>
        <v>5.1783345599057995</v>
      </c>
      <c r="K47" s="593">
        <f>PubComps!O41</f>
        <v>4.9890561101706528</v>
      </c>
      <c r="L47" s="681">
        <f>PubComps!P41</f>
        <v>4.7578628902989939</v>
      </c>
      <c r="M47" s="593"/>
      <c r="N47" s="593"/>
      <c r="O47" s="593"/>
      <c r="P47" s="593"/>
      <c r="Q47" s="593"/>
      <c r="R47" s="549"/>
      <c r="S47" s="549"/>
      <c r="T47" s="549"/>
    </row>
    <row r="48" spans="2:20" ht="16">
      <c r="B48" s="549"/>
      <c r="C48" s="578" t="s">
        <v>451</v>
      </c>
      <c r="E48" s="579" t="s">
        <v>9</v>
      </c>
      <c r="F48" s="579"/>
      <c r="G48" s="549"/>
      <c r="H48" s="549"/>
      <c r="I48" s="549"/>
      <c r="J48" s="549"/>
      <c r="K48" s="549"/>
      <c r="L48" s="682">
        <f>PubComps!W18</f>
        <v>0.1140000000000001</v>
      </c>
      <c r="M48" s="549"/>
      <c r="N48" s="549"/>
      <c r="O48" s="549"/>
      <c r="P48" s="549"/>
      <c r="Q48" s="549"/>
      <c r="R48" s="549"/>
      <c r="S48" s="549"/>
      <c r="T48" s="549"/>
    </row>
    <row r="49" spans="2:20" ht="16">
      <c r="B49" s="549"/>
      <c r="C49" s="578" t="str">
        <f>"Projected Revenue Growth - "&amp;CompanyName&amp;":"</f>
        <v>Projected Revenue Growth - Applied Materials:</v>
      </c>
      <c r="E49" s="579" t="s">
        <v>9</v>
      </c>
      <c r="F49" s="579"/>
      <c r="G49" s="549"/>
      <c r="H49" s="549"/>
      <c r="I49" s="549"/>
      <c r="J49" s="549"/>
      <c r="K49" s="549"/>
      <c r="L49" s="682">
        <f>PubComps!W22</f>
        <v>2.0999999999999908E-2</v>
      </c>
      <c r="M49" s="549"/>
      <c r="N49" s="549"/>
      <c r="O49" s="549"/>
      <c r="P49" s="549"/>
      <c r="Q49" s="549"/>
      <c r="R49" s="549"/>
      <c r="S49" s="549"/>
      <c r="T49" s="549"/>
    </row>
    <row r="50" spans="2:20" ht="16">
      <c r="B50" s="549"/>
      <c r="C50" s="549"/>
      <c r="E50" s="549"/>
      <c r="F50" s="549"/>
      <c r="G50" s="549"/>
      <c r="H50" s="549"/>
      <c r="I50" s="549"/>
      <c r="J50" s="549"/>
      <c r="K50" s="549"/>
      <c r="L50" s="645"/>
      <c r="M50" s="549"/>
      <c r="N50" s="549"/>
      <c r="O50" s="549"/>
      <c r="P50" s="549"/>
      <c r="Q50" s="549"/>
      <c r="R50" s="549"/>
      <c r="S50" s="549"/>
      <c r="T50" s="549"/>
    </row>
    <row r="51" spans="2:20" ht="16">
      <c r="B51" s="549"/>
      <c r="C51" s="578" t="s">
        <v>452</v>
      </c>
      <c r="E51" s="592" t="s">
        <v>450</v>
      </c>
      <c r="F51" s="592"/>
      <c r="G51" s="593"/>
      <c r="H51" s="593"/>
      <c r="I51" s="593"/>
      <c r="J51" s="593">
        <f>PubComps!Q37</f>
        <v>21.142105807272969</v>
      </c>
      <c r="K51" s="593">
        <f>PubComps!R37</f>
        <v>19.434286685654396</v>
      </c>
      <c r="L51" s="681">
        <f>PubComps!S37</f>
        <v>19.034560906615475</v>
      </c>
      <c r="M51" s="593"/>
      <c r="N51" s="593"/>
      <c r="O51" s="593"/>
      <c r="P51" s="593"/>
      <c r="Q51" s="593"/>
      <c r="R51" s="549"/>
      <c r="S51" s="549"/>
      <c r="T51" s="549"/>
    </row>
    <row r="52" spans="2:20" ht="16">
      <c r="B52" s="549"/>
      <c r="C52" s="578" t="str">
        <f>"EV / EBITDA - "&amp;CompanyName&amp;":"</f>
        <v>EV / EBITDA - Applied Materials:</v>
      </c>
      <c r="E52" s="592" t="s">
        <v>450</v>
      </c>
      <c r="F52" s="592"/>
      <c r="G52" s="593"/>
      <c r="H52" s="593"/>
      <c r="I52" s="593"/>
      <c r="J52" s="593">
        <f>PubComps!Q41</f>
        <v>17.039159704564717</v>
      </c>
      <c r="K52" s="593">
        <f>PubComps!R41</f>
        <v>16.08671003769145</v>
      </c>
      <c r="L52" s="681">
        <f>PubComps!S41</f>
        <v>15.292711622965236</v>
      </c>
      <c r="M52" s="593"/>
      <c r="N52" s="593"/>
      <c r="O52" s="593"/>
      <c r="P52" s="593"/>
      <c r="Q52" s="593"/>
      <c r="R52" s="549"/>
      <c r="S52" s="549"/>
      <c r="T52" s="549"/>
    </row>
    <row r="53" spans="2:20" ht="16">
      <c r="B53" s="549"/>
      <c r="C53" s="578" t="s">
        <v>453</v>
      </c>
      <c r="E53" s="579" t="s">
        <v>9</v>
      </c>
      <c r="F53" s="579"/>
      <c r="G53" s="549"/>
      <c r="H53" s="549"/>
      <c r="I53" s="549"/>
      <c r="J53" s="549"/>
      <c r="K53" s="549"/>
      <c r="L53" s="682">
        <f>PubComps!X18</f>
        <v>0.1140000000000001</v>
      </c>
      <c r="M53" s="549"/>
      <c r="N53" s="549"/>
      <c r="O53" s="549"/>
      <c r="P53" s="549"/>
      <c r="Q53" s="549"/>
      <c r="R53" s="549"/>
      <c r="S53" s="549"/>
      <c r="T53" s="549"/>
    </row>
    <row r="54" spans="2:20" ht="16">
      <c r="B54" s="549"/>
      <c r="C54" s="578" t="str">
        <f>"Projected EBITDA Growth - "&amp;CompanyName&amp;":"</f>
        <v>Projected EBITDA Growth - Applied Materials:</v>
      </c>
      <c r="E54" s="579" t="s">
        <v>9</v>
      </c>
      <c r="F54" s="579"/>
      <c r="G54" s="549"/>
      <c r="H54" s="549"/>
      <c r="I54" s="549"/>
      <c r="J54" s="549"/>
      <c r="K54" s="549"/>
      <c r="L54" s="682">
        <f>PubComps!X22</f>
        <v>2.0999999999999908E-2</v>
      </c>
      <c r="M54" s="549"/>
      <c r="N54" s="549"/>
      <c r="O54" s="549"/>
      <c r="P54" s="549"/>
      <c r="Q54" s="549"/>
      <c r="R54" s="549"/>
      <c r="S54" s="549"/>
      <c r="T54" s="549"/>
    </row>
    <row r="55" spans="2:20" ht="16">
      <c r="B55" s="549"/>
      <c r="C55" s="549"/>
      <c r="E55" s="549"/>
      <c r="F55" s="549"/>
      <c r="G55" s="549"/>
      <c r="H55" s="549"/>
      <c r="I55" s="549"/>
      <c r="J55" s="549"/>
      <c r="K55" s="549"/>
      <c r="L55" s="645"/>
      <c r="M55" s="549"/>
      <c r="N55" s="549"/>
      <c r="O55" s="549"/>
      <c r="P55" s="549"/>
      <c r="Q55" s="549"/>
      <c r="R55" s="549"/>
      <c r="S55" s="549"/>
      <c r="T55" s="549"/>
    </row>
    <row r="56" spans="2:20" ht="16">
      <c r="B56" s="549"/>
      <c r="C56" s="578" t="s">
        <v>454</v>
      </c>
      <c r="E56" s="592" t="s">
        <v>450</v>
      </c>
      <c r="F56" s="592"/>
      <c r="G56" s="593"/>
      <c r="H56" s="593"/>
      <c r="I56" s="593"/>
      <c r="J56" s="593">
        <f>PubComps!T37</f>
        <v>29.366255731625081</v>
      </c>
      <c r="K56" s="593">
        <f>PubComps!U37</f>
        <v>23.504669748438875</v>
      </c>
      <c r="L56" s="681">
        <f>PubComps!V37</f>
        <v>20.48696854693118</v>
      </c>
      <c r="M56" s="593"/>
      <c r="N56" s="593"/>
      <c r="O56" s="593"/>
      <c r="P56" s="593"/>
      <c r="Q56" s="593"/>
      <c r="R56" s="549"/>
      <c r="S56" s="549"/>
      <c r="T56" s="549"/>
    </row>
    <row r="57" spans="2:20" ht="16">
      <c r="B57" s="549"/>
      <c r="C57" s="578" t="str">
        <f>"P / E - "&amp;CompanyName&amp;":"</f>
        <v>P / E - Applied Materials:</v>
      </c>
      <c r="E57" s="592" t="s">
        <v>450</v>
      </c>
      <c r="F57" s="592"/>
      <c r="G57" s="593"/>
      <c r="H57" s="593"/>
      <c r="I57" s="593"/>
      <c r="J57" s="593">
        <f>PubComps!T41</f>
        <v>20.164890622822909</v>
      </c>
      <c r="K57" s="593">
        <f>PubComps!U41</f>
        <v>20.625432671586385</v>
      </c>
      <c r="L57" s="681">
        <f>PubComps!V41</f>
        <v>19.564595287838202</v>
      </c>
      <c r="M57" s="593"/>
      <c r="N57" s="593"/>
      <c r="O57" s="593"/>
      <c r="P57" s="593"/>
      <c r="Q57" s="593"/>
      <c r="R57" s="549"/>
      <c r="S57" s="549"/>
      <c r="T57" s="549"/>
    </row>
    <row r="58" spans="2:20" ht="16">
      <c r="B58" s="549"/>
      <c r="C58" s="549"/>
      <c r="D58" s="549"/>
      <c r="E58" s="549"/>
      <c r="F58" s="549"/>
      <c r="G58" s="549"/>
      <c r="H58" s="549"/>
      <c r="I58" s="549"/>
      <c r="J58" s="549"/>
      <c r="K58" s="549"/>
      <c r="L58" s="549"/>
      <c r="M58" s="549"/>
      <c r="N58" s="549"/>
      <c r="O58" s="549"/>
      <c r="P58" s="549"/>
      <c r="Q58" s="549"/>
      <c r="R58" s="549"/>
      <c r="S58" s="549"/>
      <c r="T58" s="54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7D022-8E2A-4AA2-B17D-AAB6D071F712}">
  <dimension ref="B2:AJ365"/>
  <sheetViews>
    <sheetView showGridLines="0" zoomScale="64" workbookViewId="0">
      <selection activeCell="G140" sqref="G140"/>
    </sheetView>
  </sheetViews>
  <sheetFormatPr defaultRowHeight="14.5"/>
  <cols>
    <col min="16" max="16" width="25.1796875" bestFit="1" customWidth="1"/>
    <col min="17" max="17" width="11.453125" bestFit="1" customWidth="1"/>
    <col min="18" max="18" width="13.26953125" bestFit="1" customWidth="1"/>
    <col min="19" max="19" width="14.54296875" bestFit="1" customWidth="1"/>
    <col min="20" max="20" width="31.54296875" bestFit="1" customWidth="1"/>
    <col min="21" max="21" width="19.54296875" bestFit="1" customWidth="1"/>
    <col min="22" max="22" width="11.54296875" bestFit="1" customWidth="1"/>
    <col min="23" max="24" width="25" bestFit="1" customWidth="1"/>
    <col min="26" max="27" width="23.7265625" bestFit="1" customWidth="1"/>
  </cols>
  <sheetData>
    <row r="2" spans="2:36" ht="16">
      <c r="B2" s="547" t="str">
        <f>"Graphs and Analysis of Financial Model Output - "&amp;TEXT(CompanyName,"")</f>
        <v>Graphs and Analysis of Financial Model Output - Applied Materials</v>
      </c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</row>
    <row r="4" spans="2:36" ht="16">
      <c r="P4" s="548" t="s">
        <v>428</v>
      </c>
      <c r="Q4" s="548" t="s">
        <v>177</v>
      </c>
      <c r="R4" s="548" t="s">
        <v>178</v>
      </c>
      <c r="S4" s="548" t="s">
        <v>179</v>
      </c>
      <c r="T4" s="549"/>
      <c r="U4" s="549"/>
      <c r="V4" s="549"/>
      <c r="W4" s="549"/>
      <c r="X4" s="549"/>
      <c r="Y4" s="549"/>
      <c r="Z4" s="549"/>
      <c r="AA4" s="549"/>
      <c r="AB4" s="549"/>
      <c r="AC4" s="549"/>
      <c r="AD4" s="549"/>
      <c r="AE4" s="549"/>
      <c r="AF4" s="549"/>
      <c r="AG4" s="549"/>
      <c r="AH4" s="549"/>
      <c r="AI4" s="549"/>
      <c r="AJ4" s="549"/>
    </row>
    <row r="5" spans="2:36" ht="16">
      <c r="P5" s="550" cm="1">
        <f t="array" ref="P5:P14">TRANSPOSE(Model!F120:O120)</f>
        <v>43496</v>
      </c>
      <c r="Q5" s="551" cm="1">
        <f t="array" ref="Q5:Q14">TRANSPOSE(Model!F83:O83)</f>
        <v>14608</v>
      </c>
      <c r="R5" s="567">
        <f t="array" ref="R5:R14">TRANSPOSE(Model!F111:O111)</f>
        <v>3069</v>
      </c>
      <c r="S5" s="574">
        <f t="array" ref="S5:S14">TRANSPOSE(Model!F112:O112)</f>
        <v>0.21009036144578314</v>
      </c>
      <c r="T5" s="549"/>
      <c r="U5" s="39"/>
      <c r="V5" s="39"/>
      <c r="W5" s="39"/>
      <c r="X5" s="39"/>
      <c r="Y5" s="39"/>
      <c r="Z5" s="39"/>
      <c r="AA5" s="39"/>
      <c r="AB5" s="39"/>
      <c r="AC5" s="39"/>
      <c r="AD5" s="39"/>
      <c r="AE5" s="549"/>
      <c r="AF5" s="549"/>
      <c r="AG5" s="549"/>
      <c r="AH5" s="549"/>
      <c r="AI5" s="549"/>
      <c r="AJ5" s="549"/>
    </row>
    <row r="6" spans="2:36" ht="16">
      <c r="P6" s="550">
        <v>43861</v>
      </c>
      <c r="Q6" s="552">
        <v>17202</v>
      </c>
      <c r="R6" s="567">
        <v>3995.302985074627</v>
      </c>
      <c r="S6" s="574">
        <v>0.23225805052171997</v>
      </c>
      <c r="T6" s="549"/>
      <c r="U6" s="567"/>
      <c r="V6" s="549"/>
      <c r="W6" s="549"/>
      <c r="X6" s="549"/>
      <c r="Y6" s="549"/>
      <c r="Z6" s="549"/>
      <c r="AA6" s="549"/>
      <c r="AB6" s="549"/>
      <c r="AC6" s="549"/>
      <c r="AD6" s="549"/>
      <c r="AE6" s="549"/>
      <c r="AF6" s="549"/>
      <c r="AG6" s="549"/>
      <c r="AH6" s="549"/>
      <c r="AI6" s="549"/>
      <c r="AJ6" s="549"/>
    </row>
    <row r="7" spans="2:36" ht="16">
      <c r="P7" s="550">
        <v>44227</v>
      </c>
      <c r="Q7" s="552">
        <v>23063</v>
      </c>
      <c r="R7" s="567">
        <v>6282.578235967927</v>
      </c>
      <c r="S7" s="574">
        <v>0.27240941056965384</v>
      </c>
      <c r="T7" s="549"/>
      <c r="U7" s="567"/>
      <c r="V7" s="549"/>
      <c r="W7" s="549"/>
      <c r="X7" s="549"/>
      <c r="Y7" s="549"/>
      <c r="Z7" s="549"/>
      <c r="AA7" s="549"/>
      <c r="AB7" s="549"/>
      <c r="AC7" s="549"/>
      <c r="AD7" s="549"/>
      <c r="AE7" s="549"/>
      <c r="AF7" s="549"/>
      <c r="AG7" s="549"/>
      <c r="AH7" s="549"/>
      <c r="AI7" s="549"/>
      <c r="AJ7" s="549"/>
    </row>
    <row r="8" spans="2:36" ht="16">
      <c r="P8" s="550">
        <v>44592</v>
      </c>
      <c r="Q8" s="552">
        <v>25785</v>
      </c>
      <c r="R8" s="567">
        <v>6969.1304978951948</v>
      </c>
      <c r="S8" s="574">
        <v>0.27027847577642794</v>
      </c>
      <c r="T8" s="549"/>
      <c r="U8" s="567"/>
      <c r="V8" s="549"/>
      <c r="W8" s="549"/>
      <c r="X8" s="549"/>
      <c r="Y8" s="549"/>
      <c r="Z8" s="549"/>
      <c r="AA8" s="549"/>
      <c r="AB8" s="549"/>
      <c r="AC8" s="549"/>
      <c r="AD8" s="549"/>
      <c r="AE8" s="549"/>
      <c r="AF8" s="549"/>
      <c r="AG8" s="549"/>
      <c r="AH8" s="549"/>
      <c r="AI8" s="549"/>
      <c r="AJ8" s="549"/>
    </row>
    <row r="9" spans="2:36" ht="16">
      <c r="P9" s="550">
        <v>44957</v>
      </c>
      <c r="Q9" s="552">
        <v>26517</v>
      </c>
      <c r="R9" s="567">
        <v>7370.9827940421164</v>
      </c>
      <c r="S9" s="574">
        <v>0.27797197247207889</v>
      </c>
      <c r="T9" s="549"/>
      <c r="U9" s="567"/>
      <c r="V9" s="549"/>
      <c r="W9" s="549"/>
      <c r="X9" s="549"/>
      <c r="Y9" s="549"/>
      <c r="Z9" s="549"/>
      <c r="AA9" s="549"/>
      <c r="AB9" s="549"/>
      <c r="AC9" s="549"/>
      <c r="AD9" s="549"/>
      <c r="AE9" s="549"/>
      <c r="AF9" s="549"/>
      <c r="AG9" s="549"/>
      <c r="AH9" s="549"/>
      <c r="AI9" s="549"/>
      <c r="AJ9" s="549"/>
    </row>
    <row r="10" spans="2:36" ht="16">
      <c r="P10" s="550">
        <v>45322</v>
      </c>
      <c r="Q10" s="552">
        <v>27176</v>
      </c>
      <c r="R10" s="567">
        <v>7569.0278285863596</v>
      </c>
      <c r="S10" s="574">
        <v>0.27851883384553872</v>
      </c>
      <c r="T10" s="549"/>
      <c r="U10" s="567"/>
      <c r="V10" s="549"/>
      <c r="W10" s="549"/>
      <c r="X10" s="549"/>
      <c r="Y10" s="549"/>
      <c r="Z10" s="549"/>
      <c r="AA10" s="549"/>
      <c r="AB10" s="549"/>
      <c r="AC10" s="549"/>
      <c r="AD10" s="549"/>
      <c r="AE10" s="549"/>
      <c r="AF10" s="549"/>
      <c r="AG10" s="549"/>
      <c r="AH10" s="549"/>
      <c r="AI10" s="549"/>
      <c r="AJ10" s="549"/>
    </row>
    <row r="11" spans="2:36" ht="16">
      <c r="P11" s="550">
        <v>45688</v>
      </c>
      <c r="Q11" s="552">
        <v>28207.022910228687</v>
      </c>
      <c r="R11" s="567">
        <v>7703.7275857148452</v>
      </c>
      <c r="S11" s="574">
        <v>0.27311381318874489</v>
      </c>
      <c r="T11" s="549"/>
      <c r="U11" s="567"/>
      <c r="V11" s="549"/>
      <c r="W11" s="549"/>
      <c r="X11" s="549"/>
      <c r="Y11" s="549"/>
      <c r="Z11" s="549"/>
      <c r="AA11" s="549"/>
      <c r="AB11" s="549"/>
      <c r="AC11" s="549"/>
      <c r="AD11" s="549"/>
      <c r="AE11" s="549"/>
      <c r="AF11" s="549"/>
      <c r="AG11" s="549"/>
      <c r="AH11" s="549"/>
      <c r="AI11" s="549"/>
      <c r="AJ11" s="549"/>
    </row>
    <row r="12" spans="2:36" ht="16">
      <c r="P12" s="550">
        <v>46053</v>
      </c>
      <c r="Q12" s="552">
        <v>29577.653506353243</v>
      </c>
      <c r="R12" s="567">
        <v>8146.6799405598113</v>
      </c>
      <c r="S12" s="574">
        <v>0.27543361202773964</v>
      </c>
      <c r="T12" s="549"/>
      <c r="U12" s="567"/>
      <c r="V12" s="549"/>
      <c r="W12" s="549"/>
      <c r="X12" s="549"/>
      <c r="Y12" s="549"/>
      <c r="Z12" s="549"/>
      <c r="AA12" s="549"/>
      <c r="AB12" s="549"/>
      <c r="AC12" s="549"/>
      <c r="AD12" s="549"/>
      <c r="AE12" s="549"/>
      <c r="AF12" s="549"/>
      <c r="AG12" s="549"/>
      <c r="AH12" s="549"/>
      <c r="AI12" s="549"/>
      <c r="AJ12" s="549"/>
    </row>
    <row r="13" spans="2:36" ht="16">
      <c r="P13" s="550">
        <v>46418</v>
      </c>
      <c r="Q13" s="552">
        <v>31316.528779159173</v>
      </c>
      <c r="R13" s="567">
        <v>8695.5149437066757</v>
      </c>
      <c r="S13" s="574">
        <v>0.27766535062128123</v>
      </c>
      <c r="T13" s="549"/>
      <c r="U13" s="567"/>
      <c r="V13" s="549"/>
      <c r="W13" s="549"/>
      <c r="X13" s="549"/>
      <c r="Y13" s="549"/>
      <c r="Z13" s="549"/>
      <c r="AA13" s="549"/>
      <c r="AB13" s="549"/>
      <c r="AC13" s="549"/>
      <c r="AD13" s="549"/>
      <c r="AE13" s="549"/>
      <c r="AF13" s="549"/>
      <c r="AG13" s="549"/>
      <c r="AH13" s="549"/>
      <c r="AI13" s="549"/>
      <c r="AJ13" s="549"/>
    </row>
    <row r="14" spans="2:36" ht="16">
      <c r="P14" s="550">
        <v>46783</v>
      </c>
      <c r="Q14" s="552">
        <v>33497.173884528573</v>
      </c>
      <c r="R14" s="567">
        <v>9371.5736239581256</v>
      </c>
      <c r="S14" s="574">
        <v>0.27977206842176616</v>
      </c>
      <c r="T14" s="549"/>
      <c r="U14" s="567"/>
      <c r="V14" s="549"/>
      <c r="W14" s="549"/>
      <c r="X14" s="549"/>
      <c r="Y14" s="549"/>
      <c r="Z14" s="549"/>
      <c r="AA14" s="549"/>
      <c r="AB14" s="549"/>
      <c r="AC14" s="549"/>
      <c r="AD14" s="549"/>
      <c r="AE14" s="549"/>
      <c r="AF14" s="549"/>
      <c r="AG14" s="549"/>
      <c r="AH14" s="549"/>
      <c r="AI14" s="549"/>
      <c r="AJ14" s="549"/>
    </row>
    <row r="15" spans="2:36" ht="16">
      <c r="P15" s="550"/>
      <c r="Q15" s="552"/>
      <c r="R15" s="567"/>
      <c r="S15" s="574"/>
      <c r="T15" s="549"/>
      <c r="U15" s="567"/>
      <c r="V15" s="549"/>
      <c r="W15" s="549"/>
      <c r="X15" s="549"/>
      <c r="Y15" s="549"/>
      <c r="Z15" s="549"/>
      <c r="AA15" s="549"/>
      <c r="AB15" s="549"/>
      <c r="AC15" s="549"/>
      <c r="AD15" s="549"/>
      <c r="AE15" s="549"/>
      <c r="AF15" s="549"/>
      <c r="AG15" s="549"/>
      <c r="AH15" s="549"/>
      <c r="AI15" s="549"/>
      <c r="AJ15" s="549"/>
    </row>
    <row r="16" spans="2:36" ht="16">
      <c r="P16" s="557" t="s">
        <v>429</v>
      </c>
      <c r="Q16" s="549">
        <v>1</v>
      </c>
      <c r="R16" s="549"/>
      <c r="S16" s="549"/>
      <c r="T16" s="549"/>
      <c r="U16" s="567"/>
      <c r="V16" s="549"/>
      <c r="W16" s="549"/>
      <c r="X16" s="549"/>
      <c r="Y16" s="549"/>
      <c r="Z16" s="549"/>
      <c r="AA16" s="549"/>
      <c r="AB16" s="549"/>
      <c r="AC16" s="549"/>
      <c r="AD16" s="549"/>
      <c r="AE16" s="549"/>
      <c r="AF16" s="549"/>
      <c r="AG16" s="549"/>
      <c r="AH16" s="549"/>
      <c r="AI16" s="549"/>
      <c r="AJ16" s="549"/>
    </row>
    <row r="17" spans="16:36" ht="16">
      <c r="P17" s="549"/>
      <c r="Q17" s="549"/>
      <c r="R17" s="549"/>
      <c r="S17" s="549"/>
      <c r="T17" s="549"/>
      <c r="U17" s="549"/>
      <c r="V17" s="549"/>
      <c r="W17" s="549"/>
      <c r="X17" s="549"/>
      <c r="Y17" s="549"/>
      <c r="Z17" s="549"/>
      <c r="AA17" s="549"/>
      <c r="AB17" s="549"/>
      <c r="AC17" s="549"/>
      <c r="AD17" s="549"/>
      <c r="AE17" s="549"/>
      <c r="AF17" s="549"/>
      <c r="AG17" s="549"/>
      <c r="AH17" s="549"/>
      <c r="AI17" s="549"/>
      <c r="AJ17" s="549"/>
    </row>
    <row r="18" spans="16:36" ht="16">
      <c r="P18" s="557" t="s">
        <v>430</v>
      </c>
      <c r="Q18" s="558"/>
      <c r="R18" s="559" t="b">
        <v>1</v>
      </c>
      <c r="S18" s="560" t="b">
        <v>1</v>
      </c>
      <c r="T18" s="549"/>
      <c r="U18" s="549"/>
      <c r="V18" s="549"/>
      <c r="W18" s="549"/>
      <c r="X18" s="549"/>
      <c r="Y18" s="549"/>
      <c r="Z18" s="549"/>
      <c r="AA18" s="549"/>
      <c r="AB18" s="549"/>
      <c r="AC18" s="549"/>
      <c r="AD18" s="549"/>
      <c r="AE18" s="549"/>
      <c r="AF18" s="549"/>
      <c r="AG18" s="549"/>
      <c r="AH18" s="549"/>
      <c r="AI18" s="549"/>
      <c r="AJ18" s="549"/>
    </row>
    <row r="19" spans="16:36" ht="16">
      <c r="P19" s="548" t="s">
        <v>428</v>
      </c>
      <c r="Q19" s="548" t="s">
        <v>177</v>
      </c>
      <c r="R19" s="548" t="s">
        <v>178</v>
      </c>
      <c r="S19" s="548" t="s">
        <v>179</v>
      </c>
      <c r="T19" s="549"/>
      <c r="U19" s="549"/>
      <c r="V19" s="549"/>
      <c r="W19" s="549"/>
      <c r="X19" s="549"/>
      <c r="Y19" s="549"/>
      <c r="Z19" s="549"/>
      <c r="AA19" s="549"/>
      <c r="AB19" s="549"/>
      <c r="AC19" s="549"/>
      <c r="AD19" s="549"/>
      <c r="AE19" s="549"/>
      <c r="AF19" s="549"/>
      <c r="AG19" s="549"/>
      <c r="AH19" s="549"/>
      <c r="AI19" s="549"/>
      <c r="AJ19" s="549"/>
    </row>
    <row r="20" spans="16:36" ht="16">
      <c r="P20" s="550">
        <f>INDEX($P$4:$P$14,$Q$16+ROWS(P$21:$P23))</f>
        <v>44227</v>
      </c>
      <c r="Q20" s="553">
        <f>INDEX($Q$4:$Q$14,$Q$16+ROWS(Q$19:Q23))</f>
        <v>26517</v>
      </c>
      <c r="R20" s="553">
        <f>IF($Q$16,INDEX($R$4:$R$14,$Q$16+ROWS(R$19:R23)),"")</f>
        <v>7370.9827940421164</v>
      </c>
      <c r="S20" s="554">
        <f>IF($Q$16,INDEX($S$4:$S$14,$Q$16+ROWS(S$19:S23)),NA())</f>
        <v>0.27797197247207889</v>
      </c>
      <c r="T20" s="549"/>
      <c r="U20" s="549"/>
      <c r="V20" s="549"/>
      <c r="W20" s="549"/>
      <c r="X20" s="549"/>
      <c r="Y20" s="549"/>
      <c r="Z20" s="549"/>
      <c r="AA20" s="549"/>
      <c r="AB20" s="549"/>
      <c r="AC20" s="549"/>
      <c r="AD20" s="549"/>
      <c r="AE20" s="549"/>
      <c r="AF20" s="549"/>
      <c r="AG20" s="549"/>
      <c r="AH20" s="549"/>
      <c r="AI20" s="549"/>
      <c r="AJ20" s="549"/>
    </row>
    <row r="21" spans="16:36" ht="16">
      <c r="P21" s="550">
        <f>INDEX($P$4:$P$14,$Q$16+ROWS(P$21:$P24))</f>
        <v>44592</v>
      </c>
      <c r="Q21" s="553">
        <f>INDEX($Q$4:$Q$14,$Q$16+ROWS(Q$19:Q24))</f>
        <v>27176</v>
      </c>
      <c r="R21" s="553">
        <f>IF($Q$16,INDEX($R$4:$R$14,$Q$16+ROWS(R$19:R24)),"")</f>
        <v>7569.0278285863596</v>
      </c>
      <c r="S21" s="554">
        <f>IF($Q$16,INDEX($S$4:$S$14,$Q$16+ROWS(S$19:S24)),NA())</f>
        <v>0.27851883384553872</v>
      </c>
      <c r="T21" s="549"/>
      <c r="U21" s="549"/>
      <c r="V21" s="549"/>
      <c r="W21" s="549"/>
      <c r="X21" s="549"/>
      <c r="Y21" s="549"/>
      <c r="Z21" s="549"/>
      <c r="AA21" s="549"/>
      <c r="AB21" s="549"/>
      <c r="AC21" s="549"/>
      <c r="AD21" s="549"/>
      <c r="AE21" s="549"/>
      <c r="AF21" s="549"/>
      <c r="AG21" s="549"/>
      <c r="AH21" s="549"/>
      <c r="AI21" s="549"/>
      <c r="AJ21" s="549"/>
    </row>
    <row r="22" spans="16:36" ht="16">
      <c r="P22" s="550">
        <f>INDEX($P$4:$P$14,$Q$16+ROWS(P$21:$P25))</f>
        <v>44957</v>
      </c>
      <c r="Q22" s="553">
        <f>INDEX($Q$4:$Q$14,$Q$16+ROWS(Q$19:Q25))</f>
        <v>28207.022910228687</v>
      </c>
      <c r="R22" s="553">
        <f>IF($Q$16,INDEX($R$4:$R$14,$Q$16+ROWS(R$19:R25)),"")</f>
        <v>7703.7275857148452</v>
      </c>
      <c r="S22" s="554">
        <f>IF($Q$16,INDEX($S$4:$S$14,$Q$16+ROWS(S$19:S25)),NA())</f>
        <v>0.27311381318874489</v>
      </c>
      <c r="T22" s="549"/>
      <c r="U22" s="549"/>
      <c r="V22" s="549"/>
      <c r="W22" s="549"/>
      <c r="X22" s="549"/>
      <c r="Y22" s="549"/>
      <c r="Z22" s="549"/>
      <c r="AA22" s="549"/>
      <c r="AB22" s="549"/>
      <c r="AC22" s="549"/>
      <c r="AD22" s="549"/>
      <c r="AE22" s="549"/>
      <c r="AF22" s="549"/>
      <c r="AG22" s="549"/>
      <c r="AH22" s="549"/>
      <c r="AI22" s="549"/>
      <c r="AJ22" s="549"/>
    </row>
    <row r="23" spans="16:36" ht="16">
      <c r="P23" s="550">
        <f>INDEX($P$4:$P$14,$Q$16+ROWS(P$21:$P26))</f>
        <v>45322</v>
      </c>
      <c r="Q23" s="553">
        <f>INDEX($Q$4:$Q$14,$Q$16+ROWS(Q$19:Q26))</f>
        <v>29577.653506353243</v>
      </c>
      <c r="R23" s="553">
        <f>IF($Q$16,INDEX($R$4:$R$14,$Q$16+ROWS(R$19:R26)),"")</f>
        <v>8146.6799405598113</v>
      </c>
      <c r="S23" s="554">
        <f>IF($Q$16,INDEX($S$4:$S$14,$Q$16+ROWS(S$19:S26)),NA())</f>
        <v>0.27543361202773964</v>
      </c>
      <c r="T23" s="549"/>
      <c r="U23" s="549"/>
      <c r="V23" s="549"/>
      <c r="W23" s="549"/>
      <c r="X23" s="549"/>
      <c r="Y23" s="549"/>
      <c r="Z23" s="549"/>
      <c r="AA23" s="549"/>
      <c r="AB23" s="549"/>
      <c r="AC23" s="549"/>
      <c r="AD23" s="549"/>
      <c r="AE23" s="549"/>
      <c r="AF23" s="549"/>
      <c r="AG23" s="549"/>
      <c r="AH23" s="549"/>
      <c r="AI23" s="549"/>
      <c r="AJ23" s="549"/>
    </row>
    <row r="24" spans="16:36" ht="16">
      <c r="P24" s="549"/>
      <c r="Q24" s="549"/>
      <c r="R24" s="549"/>
      <c r="S24" s="549"/>
      <c r="T24" s="549"/>
      <c r="U24" s="549"/>
      <c r="V24" s="549"/>
      <c r="W24" s="549"/>
      <c r="X24" s="549"/>
      <c r="Y24" s="549"/>
      <c r="Z24" s="549"/>
      <c r="AA24" s="549"/>
      <c r="AB24" s="549"/>
      <c r="AC24" s="549"/>
      <c r="AD24" s="549"/>
      <c r="AE24" s="549"/>
      <c r="AF24" s="549"/>
      <c r="AG24" s="549"/>
      <c r="AH24" s="549"/>
      <c r="AI24" s="549"/>
      <c r="AJ24" s="549"/>
    </row>
    <row r="25" spans="16:36" ht="16">
      <c r="P25" s="549"/>
      <c r="Q25" s="549"/>
      <c r="R25" s="549"/>
      <c r="S25" s="549"/>
      <c r="T25" s="549"/>
      <c r="U25" s="549"/>
      <c r="V25" s="549"/>
      <c r="W25" s="549"/>
      <c r="X25" s="549"/>
      <c r="Y25" s="549"/>
      <c r="Z25" s="549"/>
      <c r="AA25" s="549"/>
      <c r="AB25" s="549"/>
      <c r="AC25" s="549"/>
      <c r="AD25" s="549"/>
      <c r="AE25" s="549"/>
      <c r="AF25" s="549"/>
      <c r="AG25" s="549"/>
      <c r="AH25" s="549"/>
      <c r="AI25" s="549"/>
      <c r="AJ25" s="549"/>
    </row>
    <row r="26" spans="16:36" ht="16">
      <c r="P26" s="549"/>
      <c r="Q26" s="549"/>
      <c r="R26" s="549"/>
      <c r="S26" s="549"/>
      <c r="T26" s="549"/>
      <c r="U26" s="549"/>
      <c r="V26" s="549"/>
      <c r="W26" s="549"/>
      <c r="X26" s="549"/>
      <c r="Y26" s="549"/>
      <c r="Z26" s="549"/>
      <c r="AA26" s="549"/>
      <c r="AB26" s="549"/>
      <c r="AC26" s="549"/>
      <c r="AD26" s="549"/>
      <c r="AE26" s="549"/>
      <c r="AF26" s="549"/>
      <c r="AG26" s="549"/>
      <c r="AH26" s="549"/>
      <c r="AI26" s="549"/>
      <c r="AJ26" s="549"/>
    </row>
    <row r="27" spans="16:36" ht="16">
      <c r="P27" s="549" t="str">
        <f>CompanyName&amp;": Revenue, EBITDA, and Margins, FY"&amp;TEXT(P20,"yy")&amp;" to FY"&amp;TEXT(P23,"yy")</f>
        <v>Applied Materials: Revenue, EBITDA, and Margins, FY21 to FY24</v>
      </c>
      <c r="Q27" s="549"/>
      <c r="R27" s="549"/>
      <c r="S27" s="549"/>
      <c r="T27" s="549"/>
      <c r="U27" s="549"/>
      <c r="V27" s="549"/>
      <c r="W27" s="549"/>
      <c r="X27" s="549"/>
      <c r="Y27" s="549"/>
      <c r="Z27" s="549"/>
      <c r="AA27" s="549"/>
      <c r="AB27" s="549"/>
      <c r="AC27" s="549"/>
      <c r="AD27" s="549"/>
      <c r="AE27" s="549"/>
      <c r="AF27" s="549"/>
      <c r="AG27" s="549"/>
      <c r="AH27" s="549"/>
      <c r="AI27" s="549"/>
      <c r="AJ27" s="549"/>
    </row>
    <row r="28" spans="16:36" ht="16">
      <c r="P28" s="549"/>
      <c r="Q28" s="549"/>
      <c r="R28" s="549"/>
      <c r="S28" s="549"/>
      <c r="T28" s="549"/>
      <c r="U28" s="549"/>
      <c r="V28" s="549"/>
      <c r="W28" s="549"/>
      <c r="X28" s="549"/>
      <c r="Y28" s="549"/>
      <c r="Z28" s="549"/>
      <c r="AA28" s="549"/>
      <c r="AB28" s="549"/>
      <c r="AC28" s="549"/>
      <c r="AD28" s="549"/>
      <c r="AE28" s="549"/>
      <c r="AF28" s="549"/>
      <c r="AG28" s="549"/>
      <c r="AH28" s="549"/>
      <c r="AI28" s="549"/>
      <c r="AJ28" s="549"/>
    </row>
    <row r="29" spans="16:36" ht="16">
      <c r="P29" s="549"/>
      <c r="Q29" s="549"/>
      <c r="R29" s="549"/>
      <c r="S29" s="549"/>
      <c r="T29" s="549"/>
      <c r="U29" s="549"/>
      <c r="V29" s="549"/>
      <c r="W29" s="549"/>
      <c r="X29" s="549"/>
      <c r="Y29" s="549"/>
      <c r="Z29" s="549"/>
      <c r="AA29" s="549"/>
      <c r="AB29" s="549"/>
      <c r="AC29" s="549"/>
      <c r="AD29" s="549"/>
      <c r="AE29" s="549"/>
      <c r="AF29" s="549"/>
      <c r="AG29" s="549"/>
      <c r="AH29" s="549"/>
      <c r="AI29" s="549"/>
      <c r="AJ29" s="549"/>
    </row>
    <row r="30" spans="16:36" ht="16">
      <c r="P30" s="549"/>
      <c r="Q30" s="549"/>
      <c r="R30" s="549"/>
      <c r="S30" s="549"/>
      <c r="T30" s="549"/>
      <c r="U30" s="549"/>
      <c r="V30" s="549"/>
      <c r="W30" s="549"/>
      <c r="X30" s="549"/>
      <c r="Y30" s="549"/>
      <c r="Z30" s="549"/>
      <c r="AA30" s="549"/>
      <c r="AB30" s="549"/>
      <c r="AC30" s="549"/>
      <c r="AD30" s="549"/>
      <c r="AE30" s="549"/>
      <c r="AF30" s="549"/>
      <c r="AG30" s="549"/>
      <c r="AH30" s="549"/>
      <c r="AI30" s="549"/>
      <c r="AJ30" s="549"/>
    </row>
    <row r="31" spans="16:36" ht="16">
      <c r="P31" s="549"/>
      <c r="Q31" s="549"/>
      <c r="R31" s="549"/>
      <c r="S31" s="549"/>
      <c r="T31" s="549"/>
      <c r="U31" s="549"/>
      <c r="V31" s="549"/>
      <c r="W31" s="549"/>
      <c r="X31" s="549"/>
      <c r="Y31" s="549"/>
      <c r="Z31" s="549"/>
      <c r="AA31" s="549"/>
      <c r="AB31" s="549"/>
      <c r="AC31" s="549"/>
      <c r="AD31" s="549"/>
      <c r="AE31" s="549"/>
      <c r="AF31" s="549"/>
      <c r="AG31" s="549"/>
      <c r="AH31" s="549"/>
      <c r="AI31" s="549"/>
      <c r="AJ31" s="549"/>
    </row>
    <row r="32" spans="16:36" ht="16">
      <c r="P32" s="549"/>
      <c r="Q32" s="549"/>
      <c r="R32" s="549"/>
      <c r="S32" s="549"/>
      <c r="T32" s="549"/>
      <c r="U32" s="549"/>
      <c r="V32" s="549"/>
      <c r="W32" s="549"/>
      <c r="X32" s="549"/>
      <c r="Y32" s="549"/>
      <c r="Z32" s="549"/>
      <c r="AA32" s="549"/>
      <c r="AB32" s="549"/>
      <c r="AC32" s="549"/>
      <c r="AD32" s="549"/>
      <c r="AE32" s="549"/>
      <c r="AF32" s="549"/>
      <c r="AG32" s="549"/>
      <c r="AH32" s="549"/>
      <c r="AI32" s="549"/>
      <c r="AJ32" s="549"/>
    </row>
    <row r="33" spans="16:36" ht="16">
      <c r="P33" s="549" t="str">
        <f>CompanyName&amp;": Revenue and Operating Margins"</f>
        <v>Applied Materials: Revenue and Operating Margins</v>
      </c>
      <c r="Q33" s="549"/>
      <c r="R33" s="549"/>
      <c r="S33" s="549"/>
      <c r="T33" s="549"/>
      <c r="U33" s="549"/>
      <c r="V33" s="549"/>
      <c r="W33" s="549"/>
      <c r="X33" s="549"/>
      <c r="Y33" s="549"/>
      <c r="Z33" s="549"/>
      <c r="AA33" s="549"/>
      <c r="AB33" s="549"/>
      <c r="AC33" s="549"/>
      <c r="AD33" s="549"/>
      <c r="AE33" s="549"/>
      <c r="AF33" s="549"/>
      <c r="AG33" s="549"/>
      <c r="AH33" s="549"/>
      <c r="AI33" s="549"/>
      <c r="AJ33" s="549"/>
    </row>
    <row r="34" spans="16:36" ht="16">
      <c r="P34" s="549"/>
      <c r="Q34" s="549"/>
      <c r="R34" s="549"/>
      <c r="S34" s="549"/>
      <c r="T34" s="549"/>
      <c r="U34" s="549"/>
      <c r="V34" s="549"/>
      <c r="W34" s="549"/>
      <c r="X34" s="549"/>
      <c r="Y34" s="549"/>
      <c r="Z34" s="549"/>
      <c r="AA34" s="549"/>
      <c r="AB34" s="549"/>
      <c r="AC34" s="549"/>
      <c r="AD34" s="549"/>
      <c r="AE34" s="549"/>
      <c r="AF34" s="549"/>
      <c r="AG34" s="549"/>
      <c r="AH34" s="549"/>
      <c r="AI34" s="549"/>
      <c r="AJ34" s="549"/>
    </row>
    <row r="35" spans="16:36" ht="16">
      <c r="P35" s="549"/>
      <c r="Q35" s="549"/>
      <c r="R35" s="549"/>
      <c r="S35" s="549"/>
      <c r="T35" s="549"/>
      <c r="U35" s="561"/>
      <c r="V35" s="549"/>
      <c r="W35" s="549"/>
      <c r="X35" s="549"/>
      <c r="Y35" s="549"/>
      <c r="Z35" s="549"/>
      <c r="AA35" s="549"/>
      <c r="AB35" s="549"/>
      <c r="AC35" s="549"/>
      <c r="AD35" s="549"/>
      <c r="AE35" s="549"/>
      <c r="AF35" s="549"/>
      <c r="AG35" s="549"/>
      <c r="AH35" s="549"/>
      <c r="AI35" s="549"/>
      <c r="AJ35" s="549"/>
    </row>
    <row r="36" spans="16:36" ht="16">
      <c r="P36" s="557"/>
      <c r="Q36" s="549"/>
      <c r="R36" s="549"/>
      <c r="S36" s="549"/>
      <c r="T36" s="549"/>
      <c r="U36" s="549"/>
      <c r="V36" s="549"/>
      <c r="W36" s="549"/>
      <c r="X36" s="549"/>
      <c r="Y36" s="549"/>
      <c r="Z36" s="549"/>
      <c r="AA36" s="549"/>
      <c r="AB36" s="549"/>
      <c r="AC36" s="549"/>
      <c r="AD36" s="549"/>
      <c r="AE36" s="549"/>
      <c r="AF36" s="549"/>
      <c r="AG36" s="549"/>
      <c r="AH36" s="549"/>
      <c r="AI36" s="549"/>
      <c r="AJ36" s="549"/>
    </row>
    <row r="37" spans="16:36" ht="16">
      <c r="P37" s="549"/>
      <c r="Q37" s="549"/>
      <c r="R37" s="549"/>
      <c r="S37" s="549"/>
      <c r="T37" s="549"/>
      <c r="U37" s="549"/>
      <c r="V37" s="549"/>
      <c r="W37" s="549"/>
      <c r="X37" s="549"/>
      <c r="Y37" s="549"/>
      <c r="Z37" s="549"/>
      <c r="AA37" s="549"/>
      <c r="AB37" s="549"/>
      <c r="AC37" s="549"/>
      <c r="AD37" s="549"/>
      <c r="AE37" s="549"/>
      <c r="AF37" s="549"/>
      <c r="AG37" s="549"/>
      <c r="AH37" s="549"/>
      <c r="AI37" s="549"/>
      <c r="AJ37" s="549"/>
    </row>
    <row r="38" spans="16:36" ht="16">
      <c r="P38" s="549"/>
      <c r="Q38" s="549"/>
      <c r="R38" s="549"/>
      <c r="S38" s="549"/>
      <c r="T38" s="549"/>
      <c r="U38" s="561"/>
      <c r="V38" s="549"/>
      <c r="W38" s="549"/>
      <c r="X38" s="549"/>
      <c r="Y38" s="549"/>
      <c r="Z38" s="549"/>
      <c r="AA38" s="549"/>
      <c r="AB38" s="549"/>
      <c r="AC38" s="549"/>
      <c r="AD38" s="549"/>
      <c r="AE38" s="549"/>
      <c r="AF38" s="549"/>
      <c r="AG38" s="549"/>
      <c r="AH38" s="549"/>
      <c r="AI38" s="549"/>
      <c r="AJ38" s="549"/>
    </row>
    <row r="39" spans="16:36" ht="16">
      <c r="P39" s="549"/>
      <c r="Q39" s="549"/>
      <c r="R39" s="549"/>
      <c r="S39" s="549"/>
      <c r="T39" s="549"/>
      <c r="U39" s="549"/>
      <c r="V39" s="549"/>
      <c r="W39" s="549"/>
      <c r="X39" s="549"/>
      <c r="Y39" s="549"/>
      <c r="Z39" s="549"/>
      <c r="AA39" s="549"/>
      <c r="AB39" s="549"/>
      <c r="AC39" s="549"/>
      <c r="AD39" s="549"/>
      <c r="AE39" s="549"/>
      <c r="AF39" s="549"/>
      <c r="AG39" s="549"/>
      <c r="AH39" s="549"/>
      <c r="AI39" s="549"/>
      <c r="AJ39" s="549"/>
    </row>
    <row r="40" spans="16:36" ht="16">
      <c r="P40" s="549"/>
      <c r="Q40" s="549"/>
      <c r="R40" s="549"/>
      <c r="S40" s="549"/>
      <c r="T40" s="549"/>
      <c r="U40" s="549"/>
      <c r="V40" s="549"/>
      <c r="W40" s="549"/>
      <c r="X40" s="549"/>
      <c r="Y40" s="549"/>
      <c r="Z40" s="549"/>
      <c r="AA40" s="549"/>
      <c r="AB40" s="549"/>
      <c r="AC40" s="549"/>
      <c r="AD40" s="549"/>
      <c r="AE40" s="549"/>
      <c r="AF40" s="549"/>
      <c r="AG40" s="549"/>
      <c r="AH40" s="549"/>
      <c r="AI40" s="549"/>
      <c r="AJ40" s="549"/>
    </row>
    <row r="41" spans="16:36" ht="16">
      <c r="P41" s="549"/>
      <c r="Q41" s="549"/>
      <c r="R41" s="549"/>
      <c r="S41" s="549"/>
      <c r="T41" s="549"/>
      <c r="U41" s="549"/>
      <c r="V41" s="549"/>
      <c r="W41" s="549"/>
      <c r="X41" s="549"/>
      <c r="Y41" s="549"/>
      <c r="Z41" s="549"/>
      <c r="AA41" s="549"/>
      <c r="AB41" s="549"/>
      <c r="AC41" s="549"/>
      <c r="AD41" s="549"/>
      <c r="AE41" s="549"/>
      <c r="AF41" s="549"/>
      <c r="AG41" s="549"/>
      <c r="AH41" s="549"/>
      <c r="AI41" s="549"/>
      <c r="AJ41" s="549"/>
    </row>
    <row r="42" spans="16:36" ht="16">
      <c r="P42" s="549"/>
      <c r="Q42" s="549"/>
      <c r="R42" s="549"/>
      <c r="S42" s="549"/>
      <c r="T42" s="549"/>
      <c r="U42" s="549"/>
      <c r="V42" s="549"/>
      <c r="W42" s="549"/>
      <c r="X42" s="549"/>
      <c r="Y42" s="549"/>
      <c r="Z42" s="549"/>
      <c r="AA42" s="549"/>
      <c r="AB42" s="549"/>
      <c r="AC42" s="549"/>
      <c r="AD42" s="549"/>
      <c r="AE42" s="549"/>
      <c r="AF42" s="549"/>
      <c r="AG42" s="549"/>
      <c r="AH42" s="549"/>
      <c r="AI42" s="549"/>
      <c r="AJ42" s="549"/>
    </row>
    <row r="43" spans="16:36" ht="16">
      <c r="P43" s="549"/>
      <c r="Q43" s="549"/>
      <c r="R43" s="549"/>
      <c r="S43" s="549"/>
      <c r="T43" s="549"/>
      <c r="U43" s="549"/>
      <c r="V43" s="549"/>
      <c r="W43" s="549"/>
      <c r="X43" s="549"/>
      <c r="Y43" s="549"/>
      <c r="Z43" s="549"/>
      <c r="AA43" s="549"/>
      <c r="AB43" s="549"/>
      <c r="AC43" s="549"/>
      <c r="AD43" s="549"/>
      <c r="AE43" s="549"/>
      <c r="AF43" s="549"/>
      <c r="AG43" s="549"/>
      <c r="AH43" s="549"/>
      <c r="AI43" s="549"/>
      <c r="AJ43" s="549"/>
    </row>
    <row r="44" spans="16:36" ht="16">
      <c r="P44" s="549"/>
      <c r="Q44" s="549"/>
      <c r="R44" s="549"/>
      <c r="S44" s="549"/>
      <c r="T44" s="549"/>
      <c r="U44" s="549"/>
      <c r="V44" s="549"/>
      <c r="W44" s="549"/>
      <c r="X44" s="549"/>
      <c r="Y44" s="549"/>
      <c r="Z44" s="549"/>
      <c r="AA44" s="549"/>
      <c r="AB44" s="549"/>
      <c r="AC44" s="549"/>
      <c r="AD44" s="549"/>
      <c r="AE44" s="549"/>
      <c r="AF44" s="549"/>
      <c r="AG44" s="549"/>
      <c r="AH44" s="549"/>
      <c r="AI44" s="549"/>
      <c r="AJ44" s="549"/>
    </row>
    <row r="45" spans="16:36" ht="16">
      <c r="P45" s="549"/>
      <c r="Q45" s="549"/>
      <c r="R45" s="549"/>
      <c r="S45" s="549"/>
      <c r="T45" s="549"/>
      <c r="U45" s="549"/>
      <c r="V45" s="549"/>
      <c r="W45" s="549"/>
      <c r="X45" s="549"/>
      <c r="Y45" s="549"/>
      <c r="Z45" s="549"/>
      <c r="AA45" s="549"/>
      <c r="AB45" s="549"/>
      <c r="AC45" s="549"/>
      <c r="AD45" s="549"/>
      <c r="AE45" s="549"/>
      <c r="AF45" s="549"/>
      <c r="AG45" s="549"/>
      <c r="AH45" s="549"/>
      <c r="AI45" s="549"/>
      <c r="AJ45" s="549"/>
    </row>
    <row r="46" spans="16:36" ht="16">
      <c r="P46" s="549"/>
      <c r="Q46" s="549"/>
      <c r="R46" s="549"/>
      <c r="S46" s="549"/>
      <c r="T46" s="549"/>
      <c r="U46" s="549"/>
      <c r="V46" s="549"/>
      <c r="W46" s="549"/>
      <c r="X46" s="549"/>
      <c r="Y46" s="549"/>
      <c r="Z46" s="549"/>
      <c r="AA46" s="549"/>
      <c r="AB46" s="549"/>
      <c r="AC46" s="549"/>
      <c r="AD46" s="549"/>
      <c r="AE46" s="549"/>
      <c r="AF46" s="549"/>
      <c r="AG46" s="549"/>
      <c r="AH46" s="549"/>
      <c r="AI46" s="549"/>
      <c r="AJ46" s="549"/>
    </row>
    <row r="47" spans="16:36" ht="16">
      <c r="P47" s="549"/>
      <c r="Q47" s="549"/>
      <c r="R47" s="549"/>
      <c r="S47" s="549"/>
      <c r="T47" s="549"/>
      <c r="U47" s="549"/>
      <c r="V47" s="549"/>
      <c r="W47" s="549"/>
      <c r="X47" s="549"/>
      <c r="Y47" s="549"/>
      <c r="Z47" s="549"/>
      <c r="AA47" s="549"/>
      <c r="AB47" s="549"/>
      <c r="AC47" s="549"/>
      <c r="AD47" s="549"/>
      <c r="AE47" s="549"/>
      <c r="AF47" s="549"/>
      <c r="AG47" s="549"/>
      <c r="AH47" s="549"/>
      <c r="AI47" s="549"/>
      <c r="AJ47" s="549"/>
    </row>
    <row r="48" spans="16:36" ht="16">
      <c r="P48" s="549" t="str">
        <f>CompanyName&amp;": Revenue by Segment"</f>
        <v>Applied Materials: Revenue by Segment</v>
      </c>
      <c r="Q48" s="549"/>
      <c r="R48" s="549"/>
      <c r="S48" s="549"/>
      <c r="T48" s="549"/>
      <c r="U48" s="549"/>
      <c r="V48" s="549"/>
      <c r="W48" s="549"/>
      <c r="X48" s="549"/>
      <c r="Y48" s="549"/>
      <c r="Z48" s="549"/>
      <c r="AA48" s="549"/>
      <c r="AB48" s="549"/>
      <c r="AC48" s="549"/>
      <c r="AD48" s="549"/>
      <c r="AE48" s="549"/>
      <c r="AF48" s="549"/>
      <c r="AG48" s="549"/>
      <c r="AH48" s="549"/>
      <c r="AI48" s="549"/>
      <c r="AJ48" s="549"/>
    </row>
    <row r="49" spans="16:36" ht="16">
      <c r="P49" s="549"/>
      <c r="Q49" s="549"/>
      <c r="R49" s="549"/>
      <c r="S49" s="549"/>
      <c r="T49" s="549"/>
      <c r="U49" s="549"/>
      <c r="V49" s="549"/>
      <c r="W49" s="549"/>
      <c r="X49" s="549"/>
      <c r="Y49" s="549"/>
      <c r="Z49" s="549"/>
      <c r="AA49" s="549"/>
      <c r="AB49" s="549"/>
      <c r="AC49" s="549"/>
      <c r="AD49" s="549"/>
      <c r="AE49" s="549"/>
      <c r="AF49" s="549"/>
      <c r="AG49" s="549"/>
      <c r="AH49" s="549"/>
      <c r="AI49" s="549"/>
      <c r="AJ49" s="549"/>
    </row>
    <row r="50" spans="16:36" ht="16">
      <c r="P50" s="549"/>
      <c r="Q50" s="549"/>
      <c r="R50" s="549"/>
      <c r="S50" s="549"/>
      <c r="T50" s="549"/>
      <c r="U50" s="549"/>
      <c r="V50" s="549"/>
      <c r="W50" s="549"/>
      <c r="X50" s="549"/>
      <c r="Y50" s="549"/>
      <c r="Z50" s="549"/>
      <c r="AA50" s="549"/>
      <c r="AB50" s="549"/>
      <c r="AC50" s="549"/>
      <c r="AD50" s="549"/>
      <c r="AE50" s="549"/>
      <c r="AF50" s="549"/>
      <c r="AG50" s="549"/>
      <c r="AH50" s="549"/>
      <c r="AI50" s="549"/>
      <c r="AJ50" s="549"/>
    </row>
    <row r="51" spans="16:36" ht="16">
      <c r="P51" s="549"/>
      <c r="Q51" s="549"/>
      <c r="R51" s="549"/>
      <c r="S51" s="549"/>
      <c r="T51" s="549"/>
      <c r="U51" s="549"/>
      <c r="V51" s="549"/>
      <c r="W51" s="549"/>
      <c r="X51" s="549"/>
      <c r="Y51" s="549"/>
      <c r="Z51" s="549"/>
      <c r="AA51" s="549"/>
      <c r="AB51" s="549"/>
      <c r="AC51" s="549"/>
      <c r="AD51" s="549"/>
      <c r="AE51" s="549"/>
      <c r="AF51" s="549"/>
      <c r="AG51" s="549"/>
      <c r="AH51" s="549"/>
      <c r="AI51" s="549"/>
      <c r="AJ51" s="549"/>
    </row>
    <row r="52" spans="16:36" ht="16">
      <c r="P52" s="549"/>
      <c r="Q52" s="549"/>
      <c r="R52" s="549"/>
      <c r="S52" s="549"/>
      <c r="T52" s="549"/>
      <c r="U52" s="549"/>
      <c r="V52" s="549"/>
      <c r="W52" s="549"/>
      <c r="X52" s="549"/>
      <c r="Y52" s="549"/>
      <c r="Z52" s="549"/>
      <c r="AA52" s="549"/>
      <c r="AB52" s="549"/>
      <c r="AC52" s="549"/>
      <c r="AD52" s="549"/>
      <c r="AE52" s="549"/>
      <c r="AF52" s="549"/>
      <c r="AG52" s="549"/>
      <c r="AH52" s="549"/>
      <c r="AI52" s="549"/>
      <c r="AJ52" s="549"/>
    </row>
    <row r="53" spans="16:36" ht="16">
      <c r="P53" s="549"/>
      <c r="Q53" s="549"/>
      <c r="R53" s="549"/>
      <c r="S53" s="549"/>
      <c r="T53" s="549"/>
      <c r="U53" s="549"/>
      <c r="V53" s="549"/>
      <c r="W53" s="549"/>
      <c r="X53" s="549"/>
      <c r="Y53" s="549"/>
      <c r="Z53" s="549"/>
      <c r="AA53" s="549"/>
      <c r="AB53" s="549"/>
      <c r="AC53" s="549"/>
      <c r="AD53" s="549"/>
      <c r="AE53" s="549"/>
      <c r="AF53" s="549"/>
      <c r="AG53" s="549"/>
      <c r="AH53" s="549"/>
      <c r="AI53" s="549"/>
      <c r="AJ53" s="549"/>
    </row>
    <row r="54" spans="16:36" ht="16">
      <c r="P54" s="549"/>
      <c r="Q54" s="549"/>
      <c r="R54" s="549"/>
      <c r="S54" s="549"/>
      <c r="T54" s="549"/>
      <c r="U54" s="549"/>
      <c r="V54" s="549"/>
      <c r="W54" s="549"/>
      <c r="X54" s="549"/>
      <c r="Y54" s="549"/>
      <c r="Z54" s="549"/>
      <c r="AA54" s="549"/>
      <c r="AB54" s="549"/>
      <c r="AC54" s="549"/>
      <c r="AD54" s="549"/>
      <c r="AE54" s="549"/>
      <c r="AF54" s="549"/>
      <c r="AG54" s="549"/>
      <c r="AH54" s="549"/>
      <c r="AI54" s="549"/>
      <c r="AJ54" s="549"/>
    </row>
    <row r="55" spans="16:36" ht="16">
      <c r="P55" s="549"/>
      <c r="Q55" s="549"/>
      <c r="R55" s="549"/>
      <c r="S55" s="549"/>
      <c r="T55" s="549"/>
      <c r="U55" s="549"/>
      <c r="V55" s="549"/>
      <c r="W55" s="549"/>
      <c r="X55" s="549"/>
      <c r="Y55" s="549"/>
      <c r="Z55" s="549"/>
      <c r="AA55" s="549"/>
      <c r="AB55" s="549"/>
      <c r="AC55" s="549"/>
      <c r="AD55" s="549"/>
      <c r="AE55" s="549"/>
      <c r="AF55" s="549"/>
      <c r="AG55" s="549"/>
      <c r="AH55" s="549"/>
      <c r="AI55" s="549"/>
      <c r="AJ55" s="549"/>
    </row>
    <row r="56" spans="16:36" ht="16">
      <c r="P56" s="549"/>
      <c r="Q56" s="549"/>
      <c r="R56" s="549"/>
      <c r="S56" s="549"/>
      <c r="T56" s="549"/>
      <c r="U56" s="549"/>
      <c r="V56" s="549"/>
      <c r="W56" s="549"/>
      <c r="X56" s="549"/>
      <c r="Y56" s="549"/>
      <c r="Z56" s="549"/>
      <c r="AA56" s="549"/>
      <c r="AB56" s="549"/>
      <c r="AC56" s="549"/>
      <c r="AD56" s="549"/>
      <c r="AE56" s="549"/>
      <c r="AF56" s="549"/>
      <c r="AG56" s="549"/>
      <c r="AH56" s="549"/>
      <c r="AI56" s="549"/>
      <c r="AJ56" s="549"/>
    </row>
    <row r="57" spans="16:36" ht="16">
      <c r="P57" s="549"/>
      <c r="Q57" s="549"/>
      <c r="R57" s="549"/>
      <c r="S57" s="549"/>
      <c r="T57" s="549"/>
      <c r="U57" s="549"/>
      <c r="V57" s="549"/>
      <c r="W57" s="549"/>
      <c r="X57" s="549"/>
      <c r="Y57" s="549"/>
      <c r="Z57" s="549"/>
      <c r="AA57" s="549"/>
      <c r="AB57" s="549"/>
      <c r="AC57" s="549"/>
      <c r="AD57" s="549"/>
      <c r="AE57" s="549"/>
      <c r="AF57" s="549"/>
      <c r="AG57" s="549"/>
      <c r="AH57" s="549"/>
      <c r="AI57" s="549"/>
      <c r="AJ57" s="549"/>
    </row>
    <row r="58" spans="16:36" ht="16">
      <c r="P58" s="549"/>
      <c r="Q58" s="549"/>
      <c r="R58" s="549"/>
      <c r="S58" s="549"/>
      <c r="T58" s="549"/>
      <c r="U58" s="549"/>
      <c r="V58" s="549"/>
      <c r="W58" s="549"/>
      <c r="X58" s="549"/>
      <c r="Y58" s="549"/>
      <c r="Z58" s="549"/>
      <c r="AA58" s="549"/>
      <c r="AB58" s="549"/>
      <c r="AC58" s="549"/>
      <c r="AD58" s="549"/>
      <c r="AE58" s="549"/>
      <c r="AF58" s="549"/>
      <c r="AG58" s="549"/>
      <c r="AH58" s="549"/>
      <c r="AI58" s="549"/>
      <c r="AJ58" s="549"/>
    </row>
    <row r="59" spans="16:36" ht="16">
      <c r="P59" s="549"/>
      <c r="Q59" s="549"/>
      <c r="R59" s="549"/>
      <c r="S59" s="549"/>
      <c r="T59" s="549"/>
      <c r="U59" s="549"/>
      <c r="V59" s="549"/>
      <c r="W59" s="549"/>
      <c r="X59" s="549"/>
      <c r="Y59" s="549"/>
      <c r="Z59" s="549"/>
      <c r="AA59" s="549"/>
      <c r="AB59" s="549"/>
      <c r="AC59" s="549"/>
      <c r="AD59" s="549"/>
      <c r="AE59" s="549"/>
      <c r="AF59" s="549"/>
      <c r="AG59" s="549"/>
      <c r="AH59" s="549"/>
      <c r="AI59" s="549"/>
      <c r="AJ59" s="549"/>
    </row>
    <row r="60" spans="16:36" ht="16">
      <c r="P60" s="549"/>
      <c r="Q60" s="549"/>
      <c r="R60" s="549"/>
      <c r="S60" s="549"/>
      <c r="T60" s="549"/>
      <c r="U60" s="549"/>
      <c r="V60" s="549"/>
      <c r="W60" s="549"/>
      <c r="X60" s="549"/>
      <c r="Y60" s="549"/>
      <c r="Z60" s="549"/>
      <c r="AA60" s="549"/>
      <c r="AB60" s="549"/>
      <c r="AC60" s="549"/>
      <c r="AD60" s="549"/>
      <c r="AE60" s="549"/>
      <c r="AF60" s="549"/>
      <c r="AG60" s="549"/>
      <c r="AH60" s="549"/>
      <c r="AI60" s="549"/>
      <c r="AJ60" s="549"/>
    </row>
    <row r="61" spans="16:36" ht="16">
      <c r="P61" s="549"/>
      <c r="Q61" s="549"/>
      <c r="R61" s="549"/>
      <c r="S61" s="549"/>
      <c r="T61" s="549"/>
      <c r="U61" s="549"/>
      <c r="V61" s="549"/>
      <c r="W61" s="549"/>
      <c r="X61" s="549"/>
      <c r="Y61" s="549"/>
      <c r="Z61" s="549"/>
      <c r="AA61" s="549"/>
      <c r="AB61" s="549"/>
      <c r="AC61" s="549"/>
      <c r="AD61" s="549"/>
      <c r="AE61" s="549"/>
      <c r="AF61" s="549"/>
      <c r="AG61" s="549"/>
      <c r="AH61" s="549"/>
      <c r="AI61" s="549"/>
      <c r="AJ61" s="549"/>
    </row>
    <row r="62" spans="16:36" ht="16">
      <c r="P62" s="549"/>
      <c r="Q62" s="549"/>
      <c r="R62" s="549"/>
      <c r="S62" s="549"/>
      <c r="T62" s="549"/>
      <c r="U62" s="549"/>
      <c r="V62" s="549"/>
      <c r="W62" s="549"/>
      <c r="X62" s="549"/>
      <c r="Y62" s="549"/>
      <c r="Z62" s="549"/>
      <c r="AA62" s="549"/>
      <c r="AB62" s="549"/>
      <c r="AC62" s="549"/>
      <c r="AD62" s="549"/>
      <c r="AE62" s="549"/>
      <c r="AF62" s="549"/>
      <c r="AG62" s="549"/>
      <c r="AH62" s="549"/>
      <c r="AI62" s="549"/>
      <c r="AJ62" s="549"/>
    </row>
    <row r="63" spans="16:36" ht="16">
      <c r="P63" s="557"/>
      <c r="Q63" s="549"/>
      <c r="R63" s="549"/>
      <c r="S63" s="549"/>
      <c r="T63" s="549"/>
      <c r="U63" s="549"/>
      <c r="V63" s="549"/>
      <c r="W63" s="549"/>
      <c r="X63" s="549"/>
      <c r="Y63" s="549"/>
      <c r="Z63" s="549"/>
      <c r="AA63" s="549"/>
      <c r="AB63" s="549"/>
      <c r="AC63" s="549"/>
      <c r="AD63" s="549"/>
      <c r="AE63" s="549"/>
      <c r="AF63" s="549"/>
      <c r="AG63" s="549"/>
      <c r="AH63" s="549"/>
      <c r="AI63" s="549"/>
      <c r="AJ63" s="549"/>
    </row>
    <row r="64" spans="16:36" ht="16">
      <c r="P64" s="549"/>
      <c r="Q64" s="549"/>
      <c r="R64" s="549"/>
      <c r="S64" s="549"/>
      <c r="T64" s="549"/>
      <c r="U64" s="549"/>
      <c r="V64" s="549"/>
      <c r="W64" s="549"/>
      <c r="X64" s="549"/>
      <c r="Y64" s="549"/>
      <c r="Z64" s="549"/>
      <c r="AA64" s="549"/>
      <c r="AB64" s="549"/>
      <c r="AC64" s="549"/>
      <c r="AD64" s="549"/>
      <c r="AE64" s="549"/>
      <c r="AF64" s="549"/>
      <c r="AG64" s="549"/>
      <c r="AH64" s="549"/>
      <c r="AI64" s="549"/>
      <c r="AJ64" s="549"/>
    </row>
    <row r="65" spans="16:36" ht="16">
      <c r="P65" s="549" t="str">
        <f>"Annual Revenue, FY"&amp;TEXT(Forward_Year_1,"yy")&amp;" - FY"&amp;TEXT(Forward_Year_2,"yy")</f>
        <v>Annual Revenue, FY25 - FY26</v>
      </c>
      <c r="Q65" s="549" t="str">
        <f>"FY"&amp;TEXT(Forward_Year_1,"yy")</f>
        <v>FY25</v>
      </c>
      <c r="R65" s="549" t="str">
        <f>"FY"&amp;TEXT(Forward_Year_2,"yy")</f>
        <v>FY26</v>
      </c>
      <c r="S65" s="549"/>
      <c r="T65" s="549"/>
      <c r="U65" s="549"/>
      <c r="V65" s="549"/>
      <c r="W65" s="549"/>
      <c r="X65" s="549"/>
      <c r="Y65" s="549"/>
      <c r="Z65" s="549"/>
      <c r="AA65" s="549"/>
      <c r="AB65" s="549"/>
      <c r="AC65" s="549"/>
      <c r="AD65" s="549"/>
      <c r="AE65" s="549"/>
      <c r="AF65" s="549"/>
      <c r="AG65" s="549"/>
      <c r="AH65" s="549"/>
      <c r="AI65" s="549"/>
      <c r="AJ65" s="549"/>
    </row>
    <row r="66" spans="16:36" ht="16">
      <c r="P66" s="549" t="str">
        <f>"Annual EBITDA, FY"&amp;TEXT(Forward_Year_1,"yy")&amp;" - FY"&amp;TEXT(Forward_Year_2,"yy")</f>
        <v>Annual EBITDA, FY25 - FY26</v>
      </c>
      <c r="Q66" s="549" t="str">
        <f>"FY"&amp;TEXT(Forward_Year_1,"yy")</f>
        <v>FY25</v>
      </c>
      <c r="R66" s="549" t="str">
        <f>"FY"&amp;TEXT(Forward_Year_2,"yy")</f>
        <v>FY26</v>
      </c>
      <c r="S66" s="549"/>
      <c r="T66" s="549"/>
      <c r="U66" s="549"/>
      <c r="V66" s="549"/>
      <c r="W66" s="549"/>
      <c r="X66" s="549"/>
      <c r="Y66" s="549"/>
      <c r="Z66" s="549"/>
      <c r="AA66" s="549"/>
      <c r="AB66" s="549"/>
      <c r="AC66" s="549"/>
      <c r="AD66" s="549"/>
      <c r="AE66" s="549"/>
      <c r="AF66" s="549"/>
      <c r="AG66" s="549"/>
      <c r="AH66" s="549"/>
      <c r="AI66" s="549"/>
      <c r="AJ66" s="549"/>
    </row>
    <row r="67" spans="16:36" ht="16">
      <c r="P67" s="549"/>
      <c r="Q67" s="549"/>
      <c r="R67" s="549"/>
      <c r="S67" s="549"/>
      <c r="T67" s="549"/>
      <c r="U67" s="549"/>
      <c r="V67" s="549"/>
      <c r="W67" s="549"/>
      <c r="X67" s="549"/>
      <c r="Y67" s="549"/>
      <c r="Z67" s="549"/>
      <c r="AA67" s="549"/>
      <c r="AB67" s="549"/>
      <c r="AC67" s="549"/>
      <c r="AD67" s="549"/>
      <c r="AE67" s="549"/>
      <c r="AF67" s="549"/>
      <c r="AG67" s="549"/>
      <c r="AH67" s="549"/>
      <c r="AI67" s="549"/>
      <c r="AJ67" s="549"/>
    </row>
    <row r="68" spans="16:36" ht="16">
      <c r="P68" s="549"/>
      <c r="Q68" s="549"/>
      <c r="R68" s="549"/>
      <c r="S68" s="549"/>
      <c r="T68" s="549"/>
      <c r="U68" s="549"/>
      <c r="V68" s="549"/>
      <c r="W68" s="549"/>
      <c r="X68" s="549"/>
      <c r="Y68" s="549"/>
      <c r="Z68" s="549"/>
      <c r="AA68" s="549"/>
      <c r="AB68" s="549"/>
      <c r="AC68" s="549"/>
      <c r="AD68" s="549"/>
      <c r="AE68" s="549"/>
      <c r="AF68" s="549"/>
      <c r="AG68" s="549"/>
      <c r="AH68" s="549"/>
      <c r="AI68" s="549"/>
      <c r="AJ68" s="549"/>
    </row>
    <row r="69" spans="16:36" ht="16">
      <c r="P69" s="549"/>
      <c r="Q69" s="549"/>
      <c r="R69" s="549"/>
      <c r="S69" s="549"/>
      <c r="T69" s="549"/>
      <c r="U69" s="549"/>
      <c r="V69" s="549"/>
      <c r="W69" s="549"/>
      <c r="X69" s="549"/>
      <c r="Y69" s="549"/>
      <c r="Z69" s="549"/>
      <c r="AA69" s="549"/>
      <c r="AB69" s="549"/>
      <c r="AC69" s="549"/>
      <c r="AD69" s="549"/>
      <c r="AE69" s="549"/>
      <c r="AF69" s="549"/>
      <c r="AG69" s="549"/>
      <c r="AH69" s="549"/>
      <c r="AI69" s="549"/>
      <c r="AJ69" s="549"/>
    </row>
    <row r="70" spans="16:36" ht="16">
      <c r="P70" s="549"/>
      <c r="Q70" s="549"/>
      <c r="R70" s="549"/>
      <c r="S70" s="549"/>
      <c r="T70" s="549"/>
      <c r="U70" s="549"/>
      <c r="V70" s="549"/>
      <c r="W70" s="549"/>
      <c r="X70" s="549"/>
      <c r="Y70" s="549"/>
      <c r="Z70" s="549"/>
      <c r="AA70" s="549"/>
      <c r="AB70" s="549"/>
      <c r="AC70" s="549"/>
      <c r="AD70" s="549"/>
      <c r="AE70" s="549"/>
      <c r="AF70" s="549"/>
      <c r="AG70" s="549"/>
      <c r="AH70" s="549"/>
      <c r="AI70" s="549"/>
      <c r="AJ70" s="549"/>
    </row>
    <row r="71" spans="16:36" ht="16">
      <c r="P71" s="549"/>
      <c r="Q71" s="549"/>
      <c r="R71" s="549"/>
      <c r="S71" s="549"/>
      <c r="T71" s="549"/>
      <c r="U71" s="549"/>
      <c r="V71" s="549"/>
      <c r="W71" s="549"/>
      <c r="X71" s="549"/>
      <c r="Y71" s="549"/>
      <c r="Z71" s="549"/>
      <c r="AA71" s="549"/>
      <c r="AB71" s="549"/>
      <c r="AC71" s="549"/>
      <c r="AD71" s="549"/>
      <c r="AE71" s="549"/>
      <c r="AF71" s="549"/>
      <c r="AG71" s="549"/>
      <c r="AH71" s="549"/>
      <c r="AI71" s="549"/>
      <c r="AJ71" s="549"/>
    </row>
    <row r="72" spans="16:36" ht="16">
      <c r="P72" s="557"/>
      <c r="Q72" s="549"/>
      <c r="R72" s="549"/>
      <c r="S72" s="549"/>
      <c r="T72" s="549"/>
      <c r="U72" s="549"/>
      <c r="V72" s="549"/>
      <c r="W72" s="549"/>
      <c r="X72" s="549"/>
      <c r="Y72" s="549"/>
      <c r="Z72" s="549"/>
      <c r="AA72" s="549"/>
      <c r="AB72" s="549"/>
      <c r="AC72" s="549"/>
      <c r="AD72" s="549"/>
      <c r="AE72" s="549"/>
      <c r="AF72" s="549"/>
      <c r="AG72" s="549"/>
      <c r="AH72" s="549"/>
      <c r="AI72" s="549"/>
      <c r="AJ72" s="549"/>
    </row>
    <row r="73" spans="16:36" ht="16">
      <c r="P73" s="549"/>
      <c r="Q73" s="549"/>
      <c r="R73" s="549"/>
      <c r="S73" s="549"/>
      <c r="T73" s="549"/>
      <c r="U73" s="549"/>
      <c r="V73" s="549"/>
      <c r="W73" s="549"/>
      <c r="X73" s="549"/>
      <c r="Y73" s="549"/>
      <c r="Z73" s="549"/>
      <c r="AA73" s="549"/>
      <c r="AB73" s="549"/>
      <c r="AC73" s="549"/>
      <c r="AD73" s="549"/>
      <c r="AE73" s="549"/>
      <c r="AF73" s="549"/>
      <c r="AG73" s="549"/>
      <c r="AH73" s="549"/>
      <c r="AI73" s="549"/>
      <c r="AJ73" s="549"/>
    </row>
    <row r="74" spans="16:36" ht="16">
      <c r="P74" s="549"/>
      <c r="Q74" s="549"/>
      <c r="R74" s="549"/>
      <c r="S74" s="549"/>
      <c r="T74" s="549"/>
      <c r="U74" s="549"/>
      <c r="V74" s="549"/>
      <c r="W74" s="549"/>
      <c r="X74" s="549"/>
      <c r="Y74" s="549"/>
      <c r="Z74" s="549"/>
      <c r="AA74" s="549"/>
      <c r="AB74" s="549"/>
      <c r="AC74" s="549"/>
      <c r="AD74" s="549"/>
      <c r="AE74" s="549"/>
      <c r="AF74" s="549"/>
      <c r="AG74" s="549"/>
      <c r="AH74" s="549"/>
      <c r="AI74" s="549"/>
      <c r="AJ74" s="549"/>
    </row>
    <row r="75" spans="16:36" ht="16">
      <c r="P75" s="549"/>
      <c r="Q75" s="549"/>
      <c r="R75" s="549"/>
      <c r="S75" s="549"/>
      <c r="T75" s="549"/>
      <c r="U75" s="549"/>
      <c r="V75" s="549"/>
      <c r="W75" s="549"/>
      <c r="X75" s="549"/>
      <c r="Y75" s="549"/>
      <c r="Z75" s="549"/>
      <c r="AA75" s="549"/>
      <c r="AB75" s="549"/>
      <c r="AC75" s="549"/>
      <c r="AD75" s="549"/>
      <c r="AE75" s="549"/>
      <c r="AF75" s="549"/>
      <c r="AG75" s="549"/>
      <c r="AH75" s="549"/>
      <c r="AI75" s="549"/>
      <c r="AJ75" s="549"/>
    </row>
    <row r="76" spans="16:36" ht="16">
      <c r="P76" s="549"/>
      <c r="Q76" s="549"/>
      <c r="R76" s="549"/>
      <c r="S76" s="549"/>
      <c r="T76" s="549"/>
      <c r="U76" s="549"/>
      <c r="V76" s="549"/>
      <c r="W76" s="549"/>
      <c r="X76" s="549"/>
      <c r="Y76" s="549"/>
      <c r="Z76" s="549"/>
      <c r="AA76" s="549"/>
      <c r="AB76" s="549"/>
      <c r="AC76" s="549"/>
      <c r="AD76" s="549"/>
      <c r="AE76" s="549"/>
      <c r="AF76" s="549"/>
      <c r="AG76" s="549"/>
      <c r="AH76" s="549"/>
      <c r="AI76" s="549"/>
      <c r="AJ76" s="549"/>
    </row>
    <row r="77" spans="16:36" ht="16">
      <c r="P77" s="549"/>
      <c r="Q77" s="549"/>
      <c r="R77" s="549"/>
      <c r="S77" s="549"/>
      <c r="T77" s="549"/>
      <c r="U77" s="549"/>
      <c r="V77" s="549"/>
      <c r="W77" s="549"/>
      <c r="X77" s="549"/>
      <c r="Y77" s="549"/>
      <c r="Z77" s="549"/>
      <c r="AA77" s="549"/>
      <c r="AB77" s="549"/>
      <c r="AC77" s="549"/>
      <c r="AD77" s="549"/>
      <c r="AE77" s="549"/>
      <c r="AF77" s="549"/>
      <c r="AG77" s="549"/>
      <c r="AH77" s="549"/>
      <c r="AI77" s="549"/>
      <c r="AJ77" s="549"/>
    </row>
    <row r="78" spans="16:36" ht="16">
      <c r="P78" s="549"/>
      <c r="Q78" s="549"/>
      <c r="R78" s="549"/>
      <c r="S78" s="549"/>
      <c r="T78" s="549"/>
      <c r="U78" s="549"/>
      <c r="V78" s="549"/>
      <c r="W78" s="549"/>
      <c r="X78" s="549"/>
      <c r="Y78" s="549"/>
      <c r="Z78" s="549"/>
      <c r="AA78" s="549"/>
      <c r="AB78" s="549"/>
      <c r="AC78" s="549"/>
      <c r="AD78" s="549"/>
      <c r="AE78" s="549"/>
      <c r="AF78" s="549"/>
      <c r="AG78" s="549"/>
      <c r="AH78" s="549"/>
      <c r="AI78" s="549"/>
      <c r="AJ78" s="549"/>
    </row>
    <row r="79" spans="16:36" ht="16">
      <c r="P79" s="549"/>
      <c r="Q79" s="549"/>
      <c r="R79" s="549"/>
      <c r="S79" s="549"/>
      <c r="T79" s="549"/>
      <c r="U79" s="549"/>
      <c r="V79" s="549"/>
      <c r="W79" s="549"/>
      <c r="X79" s="549"/>
      <c r="Y79" s="549"/>
      <c r="Z79" s="549"/>
      <c r="AA79" s="549"/>
      <c r="AB79" s="549"/>
      <c r="AC79" s="549"/>
      <c r="AD79" s="549"/>
      <c r="AE79" s="549"/>
      <c r="AF79" s="549"/>
      <c r="AG79" s="549"/>
      <c r="AH79" s="549"/>
      <c r="AI79" s="549"/>
      <c r="AJ79" s="549"/>
    </row>
    <row r="80" spans="16:36" ht="16">
      <c r="P80" s="549" t="str">
        <f>"Projected Revenue Growth, FY"&amp;TEXT(Forward_Year_1,"yy")&amp;" - FY"&amp;TEXT(Forward_Year_2,"yy")</f>
        <v>Projected Revenue Growth, FY25 - FY26</v>
      </c>
      <c r="Q80" s="549"/>
      <c r="R80" s="549"/>
      <c r="S80" s="549"/>
      <c r="T80" s="549"/>
      <c r="U80" s="549"/>
      <c r="V80" s="549"/>
      <c r="W80" s="549"/>
      <c r="X80" s="549"/>
      <c r="Y80" s="549"/>
      <c r="Z80" s="549"/>
      <c r="AA80" s="549"/>
      <c r="AB80" s="549"/>
      <c r="AC80" s="549"/>
      <c r="AD80" s="549"/>
      <c r="AE80" s="549"/>
      <c r="AF80" s="549"/>
      <c r="AG80" s="549"/>
      <c r="AH80" s="549"/>
      <c r="AI80" s="549"/>
      <c r="AJ80" s="549"/>
    </row>
    <row r="81" spans="16:36" ht="16">
      <c r="P81" s="549" t="str">
        <f>"Projected EBITDA Growth, FY"&amp;TEXT(Forward_Year_1,"yy")&amp;" - FY"&amp;TEXT(Forward_Year_2,"yy")</f>
        <v>Projected EBITDA Growth, FY25 - FY26</v>
      </c>
      <c r="Q81" s="549"/>
      <c r="R81" s="549"/>
      <c r="S81" s="549"/>
      <c r="T81" s="549"/>
      <c r="U81" s="549"/>
      <c r="V81" s="549"/>
      <c r="W81" s="549"/>
      <c r="X81" s="549"/>
      <c r="Y81" s="549"/>
      <c r="Z81" s="549"/>
      <c r="AA81" s="549"/>
      <c r="AB81" s="549"/>
      <c r="AC81" s="549"/>
      <c r="AD81" s="549"/>
      <c r="AE81" s="549"/>
      <c r="AF81" s="549"/>
      <c r="AG81" s="549"/>
      <c r="AH81" s="549"/>
      <c r="AI81" s="549"/>
      <c r="AJ81" s="549"/>
    </row>
    <row r="82" spans="16:36" ht="16">
      <c r="P82" s="549"/>
      <c r="Q82" s="549"/>
      <c r="R82" s="549"/>
      <c r="S82" s="549"/>
      <c r="T82" s="549"/>
      <c r="U82" s="549"/>
      <c r="V82" s="549"/>
      <c r="W82" s="549"/>
      <c r="X82" s="549"/>
      <c r="Y82" s="549"/>
      <c r="Z82" s="549"/>
      <c r="AA82" s="549"/>
      <c r="AB82" s="549"/>
      <c r="AC82" s="549"/>
      <c r="AD82" s="549"/>
      <c r="AE82" s="549"/>
      <c r="AF82" s="549"/>
      <c r="AG82" s="549"/>
      <c r="AH82" s="549"/>
      <c r="AI82" s="549"/>
      <c r="AJ82" s="549"/>
    </row>
    <row r="83" spans="16:36" ht="16">
      <c r="P83" s="549" t="str">
        <f>"FY"&amp;TEXT(Forward_Year_2,"yy")&amp;" Revenue Multiples"</f>
        <v>FY26 Revenue Multiples</v>
      </c>
      <c r="Q83" s="549"/>
      <c r="R83" s="549"/>
      <c r="S83" s="549"/>
      <c r="T83" s="549"/>
      <c r="U83" s="549"/>
      <c r="V83" s="549"/>
      <c r="W83" s="549"/>
      <c r="X83" s="549"/>
      <c r="Y83" s="549"/>
      <c r="Z83" s="549"/>
      <c r="AA83" s="549"/>
      <c r="AB83" s="549"/>
      <c r="AC83" s="549"/>
      <c r="AD83" s="549"/>
      <c r="AE83" s="549"/>
      <c r="AF83" s="549"/>
      <c r="AG83" s="549"/>
      <c r="AH83" s="549"/>
      <c r="AI83" s="549"/>
      <c r="AJ83" s="549"/>
    </row>
    <row r="84" spans="16:36" ht="16">
      <c r="P84" s="549" t="str">
        <f>"FY"&amp;TEXT(Forward_Year_2,"yy")&amp;" EBITDA Multiples"</f>
        <v>FY26 EBITDA Multiples</v>
      </c>
      <c r="Q84" s="549"/>
      <c r="R84" s="549"/>
      <c r="S84" s="549"/>
      <c r="T84" s="549"/>
      <c r="U84" s="549"/>
      <c r="V84" s="549"/>
      <c r="W84" s="549"/>
      <c r="X84" s="549"/>
      <c r="Y84" s="549"/>
      <c r="Z84" s="549"/>
      <c r="AA84" s="549"/>
      <c r="AB84" s="549"/>
      <c r="AC84" s="549"/>
      <c r="AD84" s="549"/>
      <c r="AE84" s="549"/>
      <c r="AF84" s="549"/>
      <c r="AG84" s="549"/>
      <c r="AH84" s="549"/>
      <c r="AI84" s="549"/>
      <c r="AJ84" s="549"/>
    </row>
    <row r="85" spans="16:36" ht="16">
      <c r="P85" s="549"/>
      <c r="Q85" s="549"/>
      <c r="R85" s="549"/>
      <c r="S85" s="549"/>
      <c r="T85" s="549"/>
      <c r="U85" s="549"/>
      <c r="V85" s="549"/>
      <c r="W85" s="549"/>
      <c r="X85" s="549"/>
      <c r="Y85" s="549"/>
      <c r="Z85" s="549"/>
      <c r="AA85" s="549"/>
      <c r="AB85" s="549"/>
      <c r="AC85" s="549"/>
      <c r="AD85" s="549"/>
      <c r="AE85" s="549"/>
      <c r="AF85" s="549"/>
      <c r="AG85" s="549"/>
      <c r="AH85" s="549"/>
      <c r="AI85" s="549"/>
      <c r="AJ85" s="549"/>
    </row>
    <row r="86" spans="16:36" ht="16">
      <c r="P86" s="549"/>
      <c r="Q86" s="549"/>
      <c r="R86" s="549"/>
      <c r="S86" s="549"/>
      <c r="T86" s="549"/>
      <c r="U86" s="549"/>
      <c r="V86" s="549"/>
      <c r="W86" s="549"/>
      <c r="X86" s="549"/>
      <c r="Y86" s="549"/>
      <c r="Z86" s="549"/>
      <c r="AA86" s="549"/>
      <c r="AB86" s="549"/>
      <c r="AC86" s="549"/>
      <c r="AD86" s="549"/>
      <c r="AE86" s="549"/>
      <c r="AF86" s="549"/>
      <c r="AG86" s="549"/>
      <c r="AH86" s="549"/>
      <c r="AI86" s="549"/>
      <c r="AJ86" s="549"/>
    </row>
    <row r="87" spans="16:36" ht="16">
      <c r="P87" s="549"/>
      <c r="Q87" s="549"/>
      <c r="R87" s="549"/>
      <c r="S87" s="549"/>
      <c r="T87" s="549"/>
      <c r="U87" s="549"/>
      <c r="V87" s="549"/>
      <c r="W87" s="549"/>
      <c r="X87" s="549"/>
      <c r="Y87" s="549"/>
      <c r="Z87" s="549"/>
      <c r="AA87" s="549"/>
      <c r="AB87" s="549"/>
      <c r="AC87" s="549"/>
      <c r="AD87" s="549"/>
      <c r="AE87" s="549"/>
      <c r="AF87" s="549"/>
      <c r="AG87" s="549"/>
      <c r="AH87" s="549"/>
      <c r="AI87" s="549"/>
      <c r="AJ87" s="549"/>
    </row>
    <row r="88" spans="16:36" ht="16">
      <c r="P88" s="549"/>
      <c r="Q88" s="549"/>
      <c r="R88" s="549"/>
      <c r="S88" s="549"/>
      <c r="T88" s="549"/>
      <c r="U88" s="549"/>
      <c r="V88" s="549"/>
      <c r="W88" s="549"/>
      <c r="X88" s="549"/>
      <c r="Y88" s="549"/>
      <c r="Z88" s="549"/>
      <c r="AA88" s="549"/>
      <c r="AB88" s="549"/>
      <c r="AC88" s="549"/>
      <c r="AD88" s="549"/>
      <c r="AE88" s="549"/>
      <c r="AF88" s="549"/>
      <c r="AG88" s="549"/>
      <c r="AH88" s="549"/>
      <c r="AI88" s="549"/>
      <c r="AJ88" s="549"/>
    </row>
    <row r="89" spans="16:36" ht="16">
      <c r="P89" s="549"/>
      <c r="Q89" s="549"/>
      <c r="R89" s="549"/>
      <c r="S89" s="549"/>
      <c r="T89" s="549"/>
      <c r="U89" s="549"/>
      <c r="V89" s="549"/>
      <c r="W89" s="549"/>
      <c r="X89" s="549"/>
      <c r="Y89" s="549"/>
      <c r="Z89" s="549"/>
      <c r="AA89" s="549"/>
      <c r="AB89" s="549"/>
      <c r="AC89" s="549"/>
      <c r="AD89" s="549"/>
      <c r="AE89" s="549"/>
      <c r="AF89" s="549"/>
      <c r="AG89" s="549"/>
      <c r="AH89" s="549"/>
      <c r="AI89" s="549"/>
      <c r="AJ89" s="549"/>
    </row>
    <row r="90" spans="16:36" ht="16">
      <c r="P90" s="557" t="s">
        <v>431</v>
      </c>
      <c r="Q90" s="562" t="s">
        <v>17</v>
      </c>
      <c r="R90" s="563"/>
      <c r="S90" s="549"/>
      <c r="T90" s="562" t="s">
        <v>96</v>
      </c>
      <c r="U90" s="563"/>
      <c r="V90" s="549"/>
      <c r="W90" s="562" t="s">
        <v>432</v>
      </c>
      <c r="X90" s="563"/>
      <c r="Y90" s="549"/>
      <c r="Z90" s="562" t="s">
        <v>433</v>
      </c>
      <c r="AA90" s="562"/>
      <c r="AB90" s="549"/>
      <c r="AC90" s="549"/>
      <c r="AD90" s="549"/>
      <c r="AE90" s="549"/>
      <c r="AF90" s="549"/>
      <c r="AG90" s="549"/>
      <c r="AH90" s="549"/>
      <c r="AI90" s="549"/>
      <c r="AJ90" s="549"/>
    </row>
    <row r="91" spans="16:36" ht="16">
      <c r="P91" s="549"/>
      <c r="Q91" s="564" t="str">
        <f>PubCompsData!C73</f>
        <v>2025-10-31 Revenue:</v>
      </c>
      <c r="R91" s="564" t="str">
        <f>PubCompsData!C77</f>
        <v>2026-10-31 Revenue:</v>
      </c>
      <c r="S91" s="549"/>
      <c r="T91" s="565" t="str">
        <f>PubCompsData!C74</f>
        <v>2025-10-31 EBITDA:</v>
      </c>
      <c r="U91" s="565" t="str">
        <f>PubCompsData!C78</f>
        <v>2026-10-31 EBITDA:</v>
      </c>
      <c r="V91" s="549"/>
      <c r="W91" s="565" t="str">
        <f>PubCompsData!C96</f>
        <v>2025-10-31 EV / Revenue:</v>
      </c>
      <c r="X91" s="565" t="str">
        <f>PubCompsData!C100</f>
        <v>2026-10-31 EV / Revenue:</v>
      </c>
      <c r="Y91" s="549"/>
      <c r="Z91" s="565" t="str">
        <f>PubCompsData!C97</f>
        <v>2025-10-31 EV / EBITDA:</v>
      </c>
      <c r="AA91" s="565" t="str">
        <f>PubCompsData!C101</f>
        <v>2026-10-31 EV / EBITDA:</v>
      </c>
      <c r="AB91" s="549"/>
      <c r="AC91" s="549"/>
      <c r="AD91" s="549"/>
      <c r="AE91" s="549"/>
      <c r="AF91" s="549"/>
      <c r="AG91" s="549"/>
      <c r="AH91" s="549"/>
      <c r="AI91" s="549"/>
      <c r="AJ91" s="549"/>
    </row>
    <row r="92" spans="16:36" ht="16">
      <c r="P92" s="549" t="str">
        <f>PubComps!C9</f>
        <v>LRCX</v>
      </c>
      <c r="Q92" s="566">
        <f t="shared" ref="Q92:R97" si="0">INDEX(Pub_Comps_Range,MATCH(Q$91,Pub_Comps_Params,0),MATCH($P92,Pub_Comps_Tickers,0))</f>
        <v>16321.412999999999</v>
      </c>
      <c r="R92" s="566">
        <f t="shared" si="0"/>
        <v>17871.947235</v>
      </c>
      <c r="S92" s="549"/>
      <c r="T92" s="566">
        <f t="shared" ref="T92:U97" si="1">INDEX(Pub_Comps_Range,MATCH(T$91,Pub_Comps_Params,0),MATCH($P92,Pub_Comps_Tickers,0))</f>
        <v>5222.8521599999995</v>
      </c>
      <c r="U92" s="566">
        <f t="shared" si="1"/>
        <v>5719.0231151999997</v>
      </c>
      <c r="V92" s="555"/>
      <c r="W92" s="154">
        <f t="shared" ref="W92:X97" si="2">INDEX(Pub_Comps_Range,MATCH(W$91,Pub_Comps_Params,0),MATCH($P92,Pub_Comps_Tickers,0))</f>
        <v>5.5746678366634068</v>
      </c>
      <c r="X92" s="154">
        <f t="shared" si="2"/>
        <v>5.0910208554003713</v>
      </c>
      <c r="Y92" s="549"/>
      <c r="Z92" s="154">
        <f t="shared" ref="Z92:AA97" si="3">INDEX(Pub_Comps_Range,MATCH(Z$91,Pub_Comps_Params,0),MATCH($P92,Pub_Comps_Tickers,0))</f>
        <v>17.420836989573147</v>
      </c>
      <c r="AA92" s="154">
        <f t="shared" si="3"/>
        <v>15.909440173126161</v>
      </c>
      <c r="AB92" s="549"/>
      <c r="AC92" s="549"/>
      <c r="AD92" s="549"/>
      <c r="AE92" s="549"/>
      <c r="AF92" s="549"/>
      <c r="AG92" s="549"/>
      <c r="AH92" s="549"/>
      <c r="AI92" s="549"/>
      <c r="AJ92" s="549"/>
    </row>
    <row r="93" spans="16:36" ht="16">
      <c r="P93" s="549" t="str">
        <f>PubComps!C10</f>
        <v>ASML</v>
      </c>
      <c r="Q93" s="566">
        <f t="shared" si="0"/>
        <v>33975</v>
      </c>
      <c r="R93" s="566">
        <f t="shared" si="0"/>
        <v>38475</v>
      </c>
      <c r="S93" s="549"/>
      <c r="T93" s="566">
        <f t="shared" si="1"/>
        <v>11551.5</v>
      </c>
      <c r="U93" s="566">
        <f t="shared" si="1"/>
        <v>13081.500000000002</v>
      </c>
      <c r="V93" s="555"/>
      <c r="W93" s="154">
        <f t="shared" si="2"/>
        <v>7.7133528300220746</v>
      </c>
      <c r="X93" s="154">
        <f t="shared" si="2"/>
        <v>6.8112063001949315</v>
      </c>
      <c r="Y93" s="549"/>
      <c r="Z93" s="154">
        <f t="shared" si="3"/>
        <v>22.686331853006102</v>
      </c>
      <c r="AA93" s="154">
        <f t="shared" si="3"/>
        <v>20.032959706455678</v>
      </c>
      <c r="AB93" s="549"/>
      <c r="AC93" s="549"/>
      <c r="AD93" s="549"/>
      <c r="AE93" s="549"/>
      <c r="AF93" s="549"/>
      <c r="AG93" s="549"/>
      <c r="AH93" s="549"/>
      <c r="AI93" s="549"/>
      <c r="AJ93" s="549"/>
    </row>
    <row r="94" spans="16:36" ht="16">
      <c r="P94" s="549" t="str">
        <f>PubComps!C11</f>
        <v>KLAC</v>
      </c>
      <c r="Q94" s="566">
        <f t="shared" si="0"/>
        <v>11175.868</v>
      </c>
      <c r="R94" s="566">
        <f t="shared" si="0"/>
        <v>11410.561227999999</v>
      </c>
      <c r="S94" s="549"/>
      <c r="T94" s="566">
        <f t="shared" si="1"/>
        <v>4682.6886919999997</v>
      </c>
      <c r="U94" s="566">
        <f t="shared" si="1"/>
        <v>4781.0251545319989</v>
      </c>
      <c r="V94" s="555"/>
      <c r="W94" s="154">
        <f t="shared" si="2"/>
        <v>8.1429661212891897</v>
      </c>
      <c r="X94" s="154">
        <f t="shared" si="2"/>
        <v>7.9754810198718822</v>
      </c>
      <c r="Y94" s="549"/>
      <c r="Z94" s="154">
        <f t="shared" si="3"/>
        <v>19.434286685654396</v>
      </c>
      <c r="AA94" s="154">
        <f t="shared" si="3"/>
        <v>19.034560906615475</v>
      </c>
      <c r="AB94" s="549"/>
      <c r="AC94" s="549"/>
      <c r="AD94" s="549"/>
      <c r="AE94" s="549"/>
      <c r="AF94" s="549"/>
      <c r="AG94" s="549"/>
      <c r="AH94" s="549"/>
      <c r="AI94" s="549"/>
      <c r="AJ94" s="549"/>
    </row>
    <row r="95" spans="16:36" ht="16">
      <c r="P95" s="549" t="str">
        <f>PubComps!C12</f>
        <v>AVGO</v>
      </c>
      <c r="Q95" s="566">
        <f t="shared" si="0"/>
        <v>38648.701000000001</v>
      </c>
      <c r="R95" s="566">
        <f t="shared" si="0"/>
        <v>43054.652914000006</v>
      </c>
      <c r="S95" s="549"/>
      <c r="T95" s="566">
        <f t="shared" si="1"/>
        <v>12908.666134000001</v>
      </c>
      <c r="U95" s="566">
        <f t="shared" si="1"/>
        <v>14380.254073276003</v>
      </c>
      <c r="V95" s="555"/>
      <c r="W95" s="154">
        <f t="shared" si="2"/>
        <v>20.141013846752568</v>
      </c>
      <c r="X95" s="154">
        <f t="shared" si="2"/>
        <v>18.079904709831748</v>
      </c>
      <c r="Y95" s="549"/>
      <c r="Z95" s="154">
        <f t="shared" si="3"/>
        <v>60.302436666923853</v>
      </c>
      <c r="AA95" s="154">
        <f t="shared" si="3"/>
        <v>54.131451227041161</v>
      </c>
      <c r="AB95" s="549"/>
      <c r="AC95" s="549"/>
      <c r="AD95" s="549"/>
      <c r="AE95" s="549"/>
      <c r="AF95" s="549"/>
      <c r="AG95" s="549"/>
      <c r="AH95" s="549"/>
      <c r="AI95" s="549"/>
      <c r="AJ95" s="549"/>
    </row>
    <row r="96" spans="16:36" ht="16">
      <c r="P96" s="549" t="str">
        <f>PubComps!C13</f>
        <v>QCOM</v>
      </c>
      <c r="Q96" s="566">
        <f t="shared" si="0"/>
        <v>42039.998</v>
      </c>
      <c r="R96" s="566">
        <f t="shared" si="0"/>
        <v>46832.557772000007</v>
      </c>
      <c r="S96" s="549"/>
      <c r="T96" s="566">
        <f t="shared" si="1"/>
        <v>12654.039397999999</v>
      </c>
      <c r="U96" s="566">
        <f t="shared" si="1"/>
        <v>14096.599889372003</v>
      </c>
      <c r="V96" s="555"/>
      <c r="W96" s="154">
        <f t="shared" si="2"/>
        <v>4.5377523566961155</v>
      </c>
      <c r="X96" s="154">
        <f t="shared" si="2"/>
        <v>4.0733863166033348</v>
      </c>
      <c r="Y96" s="549"/>
      <c r="Z96" s="154">
        <f t="shared" si="3"/>
        <v>15.075589224904039</v>
      </c>
      <c r="AA96" s="154">
        <f t="shared" si="3"/>
        <v>13.532844905658918</v>
      </c>
      <c r="AB96" s="549"/>
      <c r="AC96" s="549"/>
      <c r="AD96" s="549"/>
      <c r="AE96" s="549"/>
      <c r="AF96" s="549"/>
      <c r="AG96" s="549"/>
      <c r="AH96" s="549"/>
      <c r="AI96" s="549"/>
      <c r="AJ96" s="549"/>
    </row>
    <row r="97" spans="16:36" ht="16">
      <c r="P97" s="549" t="s">
        <v>48</v>
      </c>
      <c r="Q97" s="566">
        <f t="shared" si="0"/>
        <v>28207.022910228687</v>
      </c>
      <c r="R97" s="566">
        <f t="shared" si="0"/>
        <v>29577.653506353243</v>
      </c>
      <c r="S97" s="549"/>
      <c r="T97" s="566">
        <f t="shared" si="1"/>
        <v>8747.9925771195904</v>
      </c>
      <c r="U97" s="566">
        <f t="shared" si="1"/>
        <v>9202.1888249477997</v>
      </c>
      <c r="V97" s="555"/>
      <c r="W97" s="154">
        <f t="shared" si="2"/>
        <v>4.9890561101706528</v>
      </c>
      <c r="X97" s="154">
        <f t="shared" si="2"/>
        <v>4.7578628902989939</v>
      </c>
      <c r="Y97" s="549"/>
      <c r="Z97" s="154">
        <f t="shared" si="3"/>
        <v>16.08671003769145</v>
      </c>
      <c r="AA97" s="154">
        <f t="shared" si="3"/>
        <v>15.292711622965236</v>
      </c>
      <c r="AB97" s="549"/>
      <c r="AC97" s="549"/>
      <c r="AD97" s="549"/>
      <c r="AE97" s="549"/>
      <c r="AF97" s="549"/>
      <c r="AG97" s="549"/>
      <c r="AH97" s="549"/>
      <c r="AI97" s="549"/>
      <c r="AJ97" s="549"/>
    </row>
    <row r="98" spans="16:36" ht="16">
      <c r="P98" s="549"/>
      <c r="Q98" s="549"/>
      <c r="R98" s="549"/>
      <c r="S98" s="549"/>
      <c r="T98" s="549"/>
      <c r="U98" s="549"/>
      <c r="V98" s="549"/>
      <c r="W98" s="549"/>
      <c r="X98" s="549"/>
      <c r="Y98" s="549"/>
      <c r="Z98" s="549"/>
      <c r="AA98" s="549"/>
      <c r="AB98" s="549"/>
      <c r="AC98" s="549"/>
      <c r="AD98" s="549"/>
      <c r="AE98" s="549"/>
      <c r="AF98" s="549"/>
      <c r="AG98" s="549"/>
      <c r="AH98" s="549"/>
      <c r="AI98" s="549"/>
      <c r="AJ98" s="549"/>
    </row>
    <row r="99" spans="16:36" ht="16">
      <c r="P99" s="557" t="s">
        <v>434</v>
      </c>
      <c r="AB99" s="549"/>
      <c r="AC99" s="549"/>
      <c r="AD99" s="549"/>
      <c r="AE99" s="549"/>
      <c r="AF99" s="549"/>
      <c r="AG99" s="549"/>
      <c r="AH99" s="549"/>
      <c r="AI99" s="549"/>
      <c r="AJ99" s="549"/>
    </row>
    <row r="100" spans="16:36" ht="16">
      <c r="P100" s="549"/>
      <c r="Q100" s="562" t="s">
        <v>49</v>
      </c>
      <c r="R100" s="563"/>
      <c r="S100" s="549"/>
      <c r="T100" s="562" t="s">
        <v>435</v>
      </c>
      <c r="U100" s="562"/>
      <c r="V100" s="549"/>
      <c r="W100" s="562" t="s">
        <v>436</v>
      </c>
      <c r="X100" s="563"/>
      <c r="Y100" s="549"/>
      <c r="Z100" s="562" t="s">
        <v>437</v>
      </c>
      <c r="AA100" s="562"/>
      <c r="AB100" s="549"/>
      <c r="AC100" s="549"/>
      <c r="AD100" s="549"/>
      <c r="AE100" s="549"/>
      <c r="AF100" s="549"/>
      <c r="AG100" s="549"/>
      <c r="AH100" s="549"/>
      <c r="AI100" s="549"/>
      <c r="AJ100" s="549"/>
    </row>
    <row r="101" spans="16:36" ht="16">
      <c r="P101" s="549"/>
      <c r="Q101" s="568" t="str">
        <f>PubCompsData!C85</f>
        <v>Year 1 Projected Revenue Growth:</v>
      </c>
      <c r="R101" s="569" t="s">
        <v>438</v>
      </c>
      <c r="S101" s="549"/>
      <c r="T101" s="568" t="str">
        <f>PubCompsData!C86</f>
        <v>Year 1 Projected EBITDA Growth:</v>
      </c>
      <c r="U101" s="569">
        <f>$R$98</f>
        <v>0</v>
      </c>
      <c r="V101" s="549"/>
      <c r="W101" s="565" t="str">
        <f>PubCompsData!C102</f>
        <v>2026-10-31 P / E:</v>
      </c>
      <c r="X101" s="569">
        <f>$R$98</f>
        <v>0</v>
      </c>
      <c r="Y101" s="549"/>
      <c r="Z101" s="565" t="str">
        <f>PubCompsData!C101</f>
        <v>2026-10-31 EV / EBITDA:</v>
      </c>
      <c r="AA101" s="569">
        <f>$R$98</f>
        <v>0</v>
      </c>
      <c r="AB101" s="549"/>
      <c r="AC101" s="549"/>
      <c r="AD101" s="549"/>
      <c r="AE101" s="549"/>
      <c r="AF101" s="549"/>
      <c r="AG101" s="549"/>
      <c r="AH101" s="549"/>
      <c r="AI101" s="549"/>
      <c r="AJ101" s="549"/>
    </row>
    <row r="102" spans="16:36" ht="16">
      <c r="P102" s="549" t="str">
        <f>PubComps!C9</f>
        <v>LRCX</v>
      </c>
      <c r="Q102" s="640">
        <f t="shared" ref="Q102:Q107" si="4">INDEX(Pub_Comps_Range,MATCH(Q$101,Pub_Comps_Params,0),MATCH($P102,Pub_Comps_Tickers,0))</f>
        <v>9.4999999999999973E-2</v>
      </c>
      <c r="R102" s="570" t="e">
        <f t="shared" ref="R102:R107" si="5">IF($P102=Ticker,Q102,NA())</f>
        <v>#N/A</v>
      </c>
      <c r="S102" s="549"/>
      <c r="T102" s="640">
        <f t="shared" ref="T102:T107" si="6">INDEX(Pub_Comps_Range,MATCH(T$101,Pub_Comps_Params,0),MATCH($P102,Pub_Comps_Tickers,0))</f>
        <v>9.4999999999999973E-2</v>
      </c>
      <c r="U102" s="570" t="e">
        <f t="shared" ref="U102:U107" si="7">IF($P102=Ticker,T102,NA())</f>
        <v>#N/A</v>
      </c>
      <c r="V102" s="549"/>
      <c r="W102" s="154">
        <f t="shared" ref="W102:W107" si="8">INDEX(Pub_Comps_Range,MATCH(W$101,Pub_Comps_Params,0),MATCH($P102,Pub_Comps_Tickers,0))</f>
        <v>19.158319447232014</v>
      </c>
      <c r="X102" s="570" t="e">
        <f t="shared" ref="X102:X107" si="9">IF($P102=Ticker,W102,NA())</f>
        <v>#N/A</v>
      </c>
      <c r="Y102" s="549"/>
      <c r="Z102" s="154">
        <f t="shared" ref="Z102:Z107" si="10">INDEX(Pub_Comps_Range,MATCH(Z$101,Pub_Comps_Params,0),MATCH($P102,Pub_Comps_Tickers,0))</f>
        <v>15.909440173126161</v>
      </c>
      <c r="AA102" s="570" t="e">
        <f t="shared" ref="AA102:AA107" si="11">IF($P102=Ticker,Z102,NA())</f>
        <v>#N/A</v>
      </c>
      <c r="AB102" s="549"/>
      <c r="AC102" s="549"/>
      <c r="AD102" s="549"/>
      <c r="AE102" s="549"/>
      <c r="AF102" s="549"/>
      <c r="AG102" s="549"/>
      <c r="AH102" s="549"/>
      <c r="AI102" s="549"/>
      <c r="AJ102" s="549"/>
    </row>
    <row r="103" spans="16:36" ht="16">
      <c r="P103" s="549" t="str">
        <f>PubComps!C10</f>
        <v>ASML</v>
      </c>
      <c r="Q103" s="640">
        <f t="shared" si="4"/>
        <v>0.13245033112582782</v>
      </c>
      <c r="R103" s="570" t="e">
        <f t="shared" si="5"/>
        <v>#N/A</v>
      </c>
      <c r="S103" s="549"/>
      <c r="T103" s="640">
        <f t="shared" si="6"/>
        <v>0.13245033112582805</v>
      </c>
      <c r="U103" s="570" t="e">
        <f t="shared" si="7"/>
        <v>#N/A</v>
      </c>
      <c r="V103" s="549"/>
      <c r="W103" s="154">
        <f t="shared" si="8"/>
        <v>23.917239424332969</v>
      </c>
      <c r="X103" s="570" t="e">
        <f t="shared" si="9"/>
        <v>#N/A</v>
      </c>
      <c r="Y103" s="549"/>
      <c r="Z103" s="154">
        <f t="shared" si="10"/>
        <v>20.032959706455678</v>
      </c>
      <c r="AA103" s="570" t="e">
        <f t="shared" si="11"/>
        <v>#N/A</v>
      </c>
      <c r="AB103" s="549"/>
      <c r="AC103" s="549"/>
      <c r="AD103" s="549"/>
      <c r="AE103" s="549"/>
      <c r="AF103" s="549"/>
      <c r="AG103" s="549"/>
      <c r="AH103" s="549"/>
      <c r="AI103" s="549"/>
      <c r="AJ103" s="549"/>
    </row>
    <row r="104" spans="16:36" ht="16">
      <c r="P104" s="549" t="str">
        <f>PubComps!C11</f>
        <v>KLAC</v>
      </c>
      <c r="Q104" s="640">
        <f t="shared" si="4"/>
        <v>2.0999999999999908E-2</v>
      </c>
      <c r="R104" s="570" t="e">
        <f t="shared" si="5"/>
        <v>#N/A</v>
      </c>
      <c r="S104" s="549"/>
      <c r="T104" s="640">
        <f t="shared" si="6"/>
        <v>2.0999999999999908E-2</v>
      </c>
      <c r="U104" s="570" t="e">
        <f t="shared" si="7"/>
        <v>#N/A</v>
      </c>
      <c r="V104" s="549"/>
      <c r="W104" s="154">
        <f t="shared" si="8"/>
        <v>17.619692465096605</v>
      </c>
      <c r="X104" s="570" t="e">
        <f t="shared" si="9"/>
        <v>#N/A</v>
      </c>
      <c r="Y104" s="549"/>
      <c r="Z104" s="154">
        <f t="shared" si="10"/>
        <v>19.034560906615475</v>
      </c>
      <c r="AA104" s="570" t="e">
        <f t="shared" si="11"/>
        <v>#N/A</v>
      </c>
      <c r="AB104" s="549"/>
      <c r="AC104" s="549"/>
      <c r="AD104" s="549"/>
      <c r="AE104" s="549"/>
      <c r="AF104" s="549"/>
      <c r="AG104" s="549"/>
      <c r="AH104" s="549"/>
      <c r="AI104" s="549"/>
      <c r="AJ104" s="549"/>
    </row>
    <row r="105" spans="16:36" ht="16">
      <c r="P105" s="549" t="str">
        <f>PubComps!C12</f>
        <v>AVGO</v>
      </c>
      <c r="Q105" s="640">
        <f t="shared" si="4"/>
        <v>0.1140000000000001</v>
      </c>
      <c r="R105" s="570" t="e">
        <f t="shared" si="5"/>
        <v>#N/A</v>
      </c>
      <c r="S105" s="549"/>
      <c r="T105" s="640">
        <f t="shared" si="6"/>
        <v>0.1140000000000001</v>
      </c>
      <c r="U105" s="570" t="e">
        <f t="shared" si="7"/>
        <v>#N/A</v>
      </c>
      <c r="V105" s="549"/>
      <c r="W105" s="154">
        <f t="shared" si="8"/>
        <v>43.261941522914974</v>
      </c>
      <c r="X105" s="570" t="e">
        <f t="shared" si="9"/>
        <v>#N/A</v>
      </c>
      <c r="Y105" s="549"/>
      <c r="Z105" s="154">
        <f t="shared" si="10"/>
        <v>54.131451227041161</v>
      </c>
      <c r="AA105" s="570" t="e">
        <f t="shared" si="11"/>
        <v>#N/A</v>
      </c>
      <c r="AB105" s="549"/>
      <c r="AC105" s="549"/>
      <c r="AD105" s="549"/>
      <c r="AE105" s="549"/>
      <c r="AF105" s="549"/>
      <c r="AG105" s="549"/>
      <c r="AH105" s="549"/>
      <c r="AI105" s="549"/>
      <c r="AJ105" s="549"/>
    </row>
    <row r="106" spans="16:36" ht="16">
      <c r="P106" s="549" t="str">
        <f>PubComps!C13</f>
        <v>QCOM</v>
      </c>
      <c r="Q106" s="640">
        <f t="shared" si="4"/>
        <v>0.1140000000000001</v>
      </c>
      <c r="R106" s="570" t="e">
        <f t="shared" si="5"/>
        <v>#N/A</v>
      </c>
      <c r="S106" s="549"/>
      <c r="T106" s="640">
        <f t="shared" si="6"/>
        <v>0.11400000000000032</v>
      </c>
      <c r="U106" s="570" t="e">
        <f t="shared" si="7"/>
        <v>#N/A</v>
      </c>
      <c r="V106" s="549"/>
      <c r="W106" s="154">
        <f t="shared" si="8"/>
        <v>20.48696854693118</v>
      </c>
      <c r="X106" s="570" t="e">
        <f t="shared" si="9"/>
        <v>#N/A</v>
      </c>
      <c r="Y106" s="549"/>
      <c r="Z106" s="154">
        <f t="shared" si="10"/>
        <v>13.532844905658918</v>
      </c>
      <c r="AA106" s="570" t="e">
        <f t="shared" si="11"/>
        <v>#N/A</v>
      </c>
      <c r="AB106" s="549"/>
      <c r="AC106" s="549"/>
      <c r="AD106" s="549"/>
      <c r="AE106" s="549"/>
      <c r="AF106" s="549"/>
      <c r="AG106" s="549"/>
      <c r="AH106" s="549"/>
      <c r="AI106" s="549"/>
      <c r="AJ106" s="549"/>
    </row>
    <row r="107" spans="16:36" ht="16">
      <c r="P107" s="549" t="s">
        <v>48</v>
      </c>
      <c r="Q107" s="640">
        <f t="shared" si="4"/>
        <v>4.8591820572015276E-2</v>
      </c>
      <c r="R107" s="641">
        <f t="shared" si="5"/>
        <v>4.8591820572015276E-2</v>
      </c>
      <c r="S107" s="549"/>
      <c r="T107" s="640">
        <f t="shared" si="6"/>
        <v>5.1920054095171642E-2</v>
      </c>
      <c r="U107" s="641">
        <f t="shared" si="7"/>
        <v>5.1920054095171642E-2</v>
      </c>
      <c r="V107" s="549"/>
      <c r="W107" s="154">
        <f t="shared" si="8"/>
        <v>19.564595287838202</v>
      </c>
      <c r="X107" s="154">
        <f t="shared" si="9"/>
        <v>19.564595287838202</v>
      </c>
      <c r="Y107" s="549"/>
      <c r="Z107" s="154">
        <f t="shared" si="10"/>
        <v>15.292711622965236</v>
      </c>
      <c r="AA107" s="154">
        <f t="shared" si="11"/>
        <v>15.292711622965236</v>
      </c>
      <c r="AB107" s="549"/>
      <c r="AC107" s="549"/>
      <c r="AD107" s="549"/>
      <c r="AE107" s="549"/>
      <c r="AF107" s="549"/>
      <c r="AG107" s="549"/>
      <c r="AH107" s="549"/>
      <c r="AI107" s="549"/>
      <c r="AJ107" s="549"/>
    </row>
    <row r="108" spans="16:36" ht="16">
      <c r="P108" s="549"/>
      <c r="Q108" s="549"/>
      <c r="R108" s="549"/>
      <c r="S108" s="549"/>
      <c r="T108" s="549"/>
      <c r="U108" s="549"/>
      <c r="V108" s="549"/>
      <c r="W108" s="549"/>
      <c r="X108" s="549"/>
      <c r="Y108" s="549"/>
      <c r="Z108" s="549"/>
      <c r="AA108" s="549"/>
      <c r="AB108" s="549"/>
      <c r="AC108" s="549"/>
      <c r="AD108" s="549"/>
      <c r="AE108" s="549"/>
      <c r="AF108" s="549"/>
      <c r="AG108" s="549"/>
      <c r="AH108" s="549"/>
      <c r="AI108" s="549"/>
      <c r="AJ108" s="549"/>
    </row>
    <row r="109" spans="16:36" ht="16">
      <c r="P109" s="549"/>
      <c r="Q109" s="549"/>
      <c r="R109" s="549"/>
      <c r="S109" s="549"/>
      <c r="T109" s="549"/>
      <c r="U109" s="549"/>
      <c r="V109" s="549"/>
      <c r="W109" s="549"/>
      <c r="X109" s="549"/>
      <c r="Y109" s="549"/>
      <c r="Z109" s="549"/>
      <c r="AA109" s="549"/>
      <c r="AB109" s="549"/>
      <c r="AC109" s="549"/>
      <c r="AD109" s="549"/>
      <c r="AE109" s="549"/>
      <c r="AF109" s="549"/>
      <c r="AG109" s="549"/>
      <c r="AH109" s="549"/>
      <c r="AI109" s="549"/>
      <c r="AJ109" s="549"/>
    </row>
    <row r="110" spans="16:36" ht="16">
      <c r="P110" s="549"/>
      <c r="Q110" s="549"/>
      <c r="R110" s="549"/>
      <c r="S110" s="549"/>
      <c r="T110" s="549"/>
      <c r="U110" s="549"/>
      <c r="V110" s="549"/>
      <c r="W110" s="549"/>
      <c r="X110" s="549"/>
      <c r="Y110" s="549"/>
      <c r="Z110" s="549"/>
      <c r="AA110" s="549"/>
      <c r="AB110" s="549"/>
      <c r="AC110" s="549"/>
      <c r="AD110" s="549"/>
      <c r="AE110" s="549"/>
      <c r="AF110" s="549"/>
      <c r="AG110" s="549"/>
      <c r="AH110" s="549"/>
      <c r="AI110" s="549"/>
      <c r="AJ110" s="549"/>
    </row>
    <row r="111" spans="16:36" ht="16">
      <c r="P111" s="549"/>
      <c r="Q111" s="549"/>
      <c r="R111" s="549"/>
      <c r="S111" s="549"/>
      <c r="T111" s="549"/>
      <c r="U111" s="549"/>
      <c r="V111" s="549"/>
      <c r="W111" s="549"/>
      <c r="X111" s="549"/>
      <c r="Y111" s="549"/>
      <c r="Z111" s="549"/>
      <c r="AA111" s="549"/>
      <c r="AB111" s="549"/>
      <c r="AC111" s="549"/>
      <c r="AD111" s="549"/>
      <c r="AE111" s="549"/>
      <c r="AF111" s="549"/>
      <c r="AG111" s="549"/>
      <c r="AH111" s="549"/>
      <c r="AI111" s="549"/>
      <c r="AJ111" s="549"/>
    </row>
    <row r="112" spans="16:36" ht="16">
      <c r="P112" s="549" t="s">
        <v>399</v>
      </c>
      <c r="Q112" s="549" t="s">
        <v>439</v>
      </c>
      <c r="R112" s="645" t="s">
        <v>440</v>
      </c>
      <c r="S112" s="549"/>
      <c r="T112" s="549"/>
      <c r="U112" s="549"/>
      <c r="V112" s="549"/>
      <c r="W112" s="549"/>
      <c r="X112" s="549"/>
      <c r="Y112" s="549"/>
      <c r="Z112" s="549"/>
      <c r="AA112" s="549"/>
      <c r="AB112" s="549"/>
      <c r="AC112" s="549"/>
      <c r="AD112" s="549"/>
      <c r="AE112" s="549"/>
      <c r="AF112" s="549"/>
      <c r="AG112" s="549"/>
      <c r="AH112" s="549"/>
      <c r="AI112" s="549"/>
      <c r="AJ112" s="549"/>
    </row>
    <row r="113" spans="16:36" ht="16">
      <c r="P113" s="642">
        <v>45623</v>
      </c>
      <c r="Q113" s="643">
        <v>173.2</v>
      </c>
      <c r="R113" s="644">
        <v>4345500</v>
      </c>
      <c r="S113" s="549"/>
      <c r="T113" s="549"/>
      <c r="U113" s="549"/>
      <c r="V113" s="556"/>
      <c r="W113" s="571"/>
      <c r="X113" s="572"/>
      <c r="Y113" s="549"/>
      <c r="Z113" s="549"/>
      <c r="AA113" s="549"/>
      <c r="AB113" s="549"/>
      <c r="AC113" s="549"/>
      <c r="AD113" s="549"/>
      <c r="AE113" s="549"/>
      <c r="AF113" s="549"/>
      <c r="AG113" s="549"/>
      <c r="AH113" s="549"/>
      <c r="AI113" s="549"/>
      <c r="AJ113" s="549"/>
    </row>
    <row r="114" spans="16:36" ht="16">
      <c r="P114" s="642">
        <v>45622</v>
      </c>
      <c r="Q114" s="643">
        <v>175.34</v>
      </c>
      <c r="R114" s="644">
        <v>6517100</v>
      </c>
      <c r="S114" s="549"/>
      <c r="T114" s="549"/>
      <c r="U114" s="549"/>
      <c r="V114" s="556"/>
      <c r="W114" s="573"/>
      <c r="X114" s="572"/>
      <c r="Y114" s="549"/>
      <c r="Z114" s="549"/>
      <c r="AA114" s="549"/>
      <c r="AB114" s="549"/>
      <c r="AC114" s="549"/>
      <c r="AD114" s="549"/>
      <c r="AE114" s="549"/>
      <c r="AF114" s="549"/>
      <c r="AG114" s="549"/>
      <c r="AH114" s="549"/>
      <c r="AI114" s="549"/>
      <c r="AJ114" s="549"/>
    </row>
    <row r="115" spans="16:36" ht="16">
      <c r="P115" s="642">
        <v>45621</v>
      </c>
      <c r="Q115" s="643">
        <v>176.71</v>
      </c>
      <c r="R115" s="644">
        <v>8926500</v>
      </c>
      <c r="S115" s="549"/>
      <c r="T115" s="549"/>
      <c r="U115" s="549"/>
      <c r="V115" s="556"/>
      <c r="W115" s="573"/>
      <c r="X115" s="572"/>
      <c r="Y115" s="549"/>
      <c r="Z115" s="549"/>
      <c r="AA115" s="549"/>
      <c r="AB115" s="549"/>
      <c r="AC115" s="549"/>
      <c r="AD115" s="549"/>
      <c r="AE115" s="549"/>
      <c r="AF115" s="549"/>
      <c r="AG115" s="549"/>
      <c r="AH115" s="549"/>
      <c r="AI115" s="549"/>
      <c r="AJ115" s="549"/>
    </row>
    <row r="116" spans="16:36" ht="16">
      <c r="P116" s="642">
        <v>45618</v>
      </c>
      <c r="Q116" s="643">
        <v>175.12</v>
      </c>
      <c r="R116" s="644">
        <v>4242600</v>
      </c>
      <c r="S116" s="549"/>
      <c r="T116" s="549"/>
      <c r="U116" s="549"/>
      <c r="V116" s="556"/>
      <c r="W116" s="573"/>
      <c r="X116" s="572"/>
      <c r="Y116" s="549"/>
      <c r="Z116" s="549"/>
      <c r="AA116" s="549"/>
      <c r="AB116" s="549"/>
      <c r="AC116" s="549"/>
      <c r="AD116" s="549"/>
      <c r="AE116" s="549"/>
      <c r="AF116" s="549"/>
      <c r="AG116" s="549"/>
      <c r="AH116" s="549"/>
      <c r="AI116" s="549"/>
      <c r="AJ116" s="549"/>
    </row>
    <row r="117" spans="16:36" ht="16">
      <c r="P117" s="642">
        <v>45617</v>
      </c>
      <c r="Q117" s="643">
        <v>171.22</v>
      </c>
      <c r="R117" s="644">
        <v>8917400</v>
      </c>
      <c r="S117" s="549"/>
      <c r="T117" s="549"/>
      <c r="U117" s="549"/>
      <c r="V117" s="556"/>
      <c r="W117" s="573"/>
      <c r="X117" s="572"/>
      <c r="Y117" s="549"/>
      <c r="Z117" s="549"/>
      <c r="AA117" s="549"/>
      <c r="AB117" s="549"/>
      <c r="AC117" s="549"/>
      <c r="AD117" s="549"/>
      <c r="AE117" s="549"/>
      <c r="AF117" s="549"/>
      <c r="AG117" s="549"/>
      <c r="AH117" s="549"/>
      <c r="AI117" s="549"/>
      <c r="AJ117" s="549"/>
    </row>
    <row r="118" spans="16:36" ht="16">
      <c r="P118" s="642">
        <v>45616</v>
      </c>
      <c r="Q118" s="643">
        <v>169.31</v>
      </c>
      <c r="R118" s="644">
        <v>6197300</v>
      </c>
      <c r="S118" s="549"/>
      <c r="T118" s="549"/>
      <c r="U118" s="549"/>
      <c r="V118" s="556"/>
      <c r="W118" s="573"/>
      <c r="X118" s="572"/>
      <c r="Y118" s="549"/>
      <c r="Z118" s="549"/>
      <c r="AA118" s="549"/>
      <c r="AB118" s="549"/>
      <c r="AC118" s="549"/>
      <c r="AD118" s="549"/>
      <c r="AE118" s="549"/>
      <c r="AF118" s="549"/>
      <c r="AG118" s="549"/>
      <c r="AH118" s="549"/>
      <c r="AI118" s="549"/>
      <c r="AJ118" s="549"/>
    </row>
    <row r="119" spans="16:36" ht="16">
      <c r="P119" s="642">
        <v>45615</v>
      </c>
      <c r="Q119" s="643">
        <v>168.34</v>
      </c>
      <c r="R119" s="644">
        <v>8651100</v>
      </c>
      <c r="S119" s="549"/>
      <c r="T119" s="549"/>
      <c r="U119" s="549"/>
      <c r="V119" s="556"/>
      <c r="W119" s="573"/>
      <c r="X119" s="572"/>
      <c r="Y119" s="549"/>
      <c r="Z119" s="549"/>
      <c r="AA119" s="549"/>
      <c r="AB119" s="549"/>
      <c r="AC119" s="549"/>
      <c r="AD119" s="549"/>
      <c r="AE119" s="549"/>
      <c r="AF119" s="549"/>
      <c r="AG119" s="549"/>
      <c r="AH119" s="549"/>
      <c r="AI119" s="549"/>
      <c r="AJ119" s="549"/>
    </row>
    <row r="120" spans="16:36" ht="16">
      <c r="P120" s="642">
        <v>45614</v>
      </c>
      <c r="Q120" s="643">
        <v>167.68</v>
      </c>
      <c r="R120" s="644">
        <v>8331100</v>
      </c>
      <c r="S120" s="549"/>
      <c r="T120" s="549"/>
      <c r="U120" s="549"/>
      <c r="V120" s="556"/>
      <c r="W120" s="573"/>
      <c r="X120" s="572"/>
      <c r="Y120" s="549"/>
      <c r="Z120" s="549"/>
      <c r="AA120" s="549"/>
      <c r="AB120" s="549"/>
      <c r="AC120" s="549"/>
      <c r="AD120" s="549"/>
      <c r="AE120" s="549"/>
      <c r="AF120" s="549"/>
      <c r="AG120" s="549"/>
      <c r="AH120" s="549"/>
      <c r="AI120" s="549"/>
      <c r="AJ120" s="549"/>
    </row>
    <row r="121" spans="16:36" ht="16">
      <c r="P121" s="642">
        <v>45611</v>
      </c>
      <c r="Q121" s="643">
        <v>168.34</v>
      </c>
      <c r="R121" s="644">
        <v>16287500</v>
      </c>
      <c r="S121" s="549"/>
      <c r="T121" s="549"/>
      <c r="U121" s="549"/>
      <c r="V121" s="556"/>
      <c r="W121" s="573"/>
      <c r="X121" s="572"/>
      <c r="Y121" s="549"/>
      <c r="Z121" s="549"/>
      <c r="AA121" s="549"/>
      <c r="AB121" s="549"/>
      <c r="AC121" s="549"/>
      <c r="AD121" s="549"/>
      <c r="AE121" s="549"/>
      <c r="AF121" s="549"/>
      <c r="AG121" s="549"/>
      <c r="AH121" s="549"/>
      <c r="AI121" s="549"/>
      <c r="AJ121" s="549"/>
    </row>
    <row r="122" spans="16:36" ht="16">
      <c r="P122" s="642">
        <v>45610</v>
      </c>
      <c r="Q122" s="643">
        <v>186.78</v>
      </c>
      <c r="R122" s="644">
        <v>11747400</v>
      </c>
      <c r="S122" s="549"/>
      <c r="T122" s="549"/>
      <c r="U122" s="549"/>
      <c r="V122" s="556"/>
      <c r="W122" s="573"/>
      <c r="X122" s="572"/>
      <c r="Y122" s="549"/>
      <c r="Z122" s="549"/>
      <c r="AA122" s="549"/>
      <c r="AB122" s="549"/>
      <c r="AC122" s="549"/>
      <c r="AD122" s="549"/>
      <c r="AE122" s="549"/>
      <c r="AF122" s="549"/>
      <c r="AG122" s="549"/>
      <c r="AH122" s="549"/>
      <c r="AI122" s="549"/>
      <c r="AJ122" s="549"/>
    </row>
    <row r="123" spans="16:36" ht="16">
      <c r="P123" s="642">
        <v>45609</v>
      </c>
      <c r="Q123" s="643">
        <v>184.07</v>
      </c>
      <c r="R123" s="644">
        <v>8634600</v>
      </c>
      <c r="S123" s="549"/>
      <c r="T123" s="549"/>
      <c r="U123" s="549"/>
      <c r="V123" s="556"/>
      <c r="W123" s="573"/>
      <c r="X123" s="572"/>
      <c r="Y123" s="549"/>
      <c r="Z123" s="549"/>
      <c r="AA123" s="549"/>
      <c r="AB123" s="549"/>
      <c r="AC123" s="549"/>
      <c r="AD123" s="549"/>
      <c r="AE123" s="549"/>
      <c r="AF123" s="549"/>
      <c r="AG123" s="549"/>
      <c r="AH123" s="549"/>
      <c r="AI123" s="549"/>
      <c r="AJ123" s="549"/>
    </row>
    <row r="124" spans="16:36" ht="16">
      <c r="P124" s="642">
        <v>45608</v>
      </c>
      <c r="Q124" s="643">
        <v>188.71</v>
      </c>
      <c r="R124" s="644">
        <v>5478400</v>
      </c>
      <c r="S124" s="549"/>
      <c r="T124" s="549"/>
      <c r="U124" s="549"/>
      <c r="V124" s="556"/>
      <c r="W124" s="573"/>
      <c r="X124" s="572"/>
      <c r="Y124" s="549"/>
      <c r="Z124" s="549"/>
      <c r="AA124" s="549"/>
      <c r="AB124" s="549"/>
      <c r="AC124" s="549"/>
      <c r="AD124" s="549"/>
      <c r="AE124" s="549"/>
      <c r="AF124" s="549"/>
      <c r="AG124" s="549"/>
      <c r="AH124" s="549"/>
      <c r="AI124" s="549"/>
      <c r="AJ124" s="549"/>
    </row>
    <row r="125" spans="16:36" ht="16">
      <c r="P125" s="642">
        <v>45607</v>
      </c>
      <c r="Q125" s="643">
        <v>192.31</v>
      </c>
      <c r="R125" s="644">
        <v>5475200</v>
      </c>
      <c r="S125" s="549"/>
      <c r="T125" s="549"/>
      <c r="U125" s="549"/>
      <c r="V125" s="556"/>
      <c r="W125" s="573"/>
      <c r="X125" s="572"/>
      <c r="Y125" s="549"/>
      <c r="Z125" s="549"/>
      <c r="AA125" s="549"/>
      <c r="AB125" s="549"/>
      <c r="AC125" s="549"/>
      <c r="AD125" s="549"/>
      <c r="AE125" s="549"/>
      <c r="AF125" s="549"/>
      <c r="AG125" s="549"/>
      <c r="AH125" s="549"/>
      <c r="AI125" s="549"/>
      <c r="AJ125" s="549"/>
    </row>
    <row r="126" spans="16:36" ht="16">
      <c r="P126" s="642">
        <v>45604</v>
      </c>
      <c r="Q126" s="643">
        <v>192.29</v>
      </c>
      <c r="R126" s="644">
        <v>4767300</v>
      </c>
      <c r="S126" s="549"/>
      <c r="T126" s="549"/>
      <c r="U126" s="549"/>
      <c r="V126" s="556"/>
      <c r="W126" s="573"/>
      <c r="X126" s="572"/>
      <c r="Y126" s="549"/>
      <c r="Z126" s="549"/>
      <c r="AA126" s="549"/>
      <c r="AB126" s="549"/>
      <c r="AC126" s="549"/>
      <c r="AD126" s="549"/>
      <c r="AE126" s="549"/>
      <c r="AF126" s="549"/>
      <c r="AG126" s="549"/>
      <c r="AH126" s="549"/>
      <c r="AI126" s="549"/>
      <c r="AJ126" s="549"/>
    </row>
    <row r="127" spans="16:36" ht="16">
      <c r="P127" s="642">
        <v>45603</v>
      </c>
      <c r="Q127" s="643">
        <v>190.96</v>
      </c>
      <c r="R127" s="644">
        <v>5274700</v>
      </c>
      <c r="S127" s="549"/>
      <c r="T127" s="549"/>
      <c r="U127" s="549"/>
      <c r="V127" s="556"/>
      <c r="W127" s="573"/>
      <c r="X127" s="572"/>
      <c r="Y127" s="549"/>
      <c r="Z127" s="549"/>
      <c r="AA127" s="549"/>
      <c r="AB127" s="549"/>
      <c r="AC127" s="549"/>
      <c r="AD127" s="549"/>
      <c r="AE127" s="549"/>
      <c r="AF127" s="549"/>
      <c r="AG127" s="549"/>
      <c r="AH127" s="549"/>
      <c r="AI127" s="549"/>
      <c r="AJ127" s="549"/>
    </row>
    <row r="128" spans="16:36" ht="16">
      <c r="P128" s="642">
        <v>45602</v>
      </c>
      <c r="Q128" s="643">
        <v>188.96</v>
      </c>
      <c r="R128" s="644">
        <v>6393300</v>
      </c>
      <c r="S128" s="549"/>
      <c r="T128" s="549"/>
      <c r="U128" s="549"/>
      <c r="V128" s="556"/>
      <c r="W128" s="573"/>
      <c r="X128" s="572"/>
      <c r="Y128" s="549"/>
      <c r="Z128" s="549"/>
      <c r="AA128" s="549"/>
      <c r="AB128" s="549"/>
      <c r="AC128" s="549"/>
      <c r="AD128" s="549"/>
      <c r="AE128" s="549"/>
      <c r="AF128" s="549"/>
      <c r="AG128" s="549"/>
      <c r="AH128" s="549"/>
      <c r="AI128" s="549"/>
      <c r="AJ128" s="549"/>
    </row>
    <row r="129" spans="16:36" ht="16">
      <c r="P129" s="642">
        <v>45601</v>
      </c>
      <c r="Q129" s="643">
        <v>183.3</v>
      </c>
      <c r="R129" s="644">
        <v>4053000</v>
      </c>
      <c r="S129" s="549"/>
      <c r="T129" s="549"/>
      <c r="U129" s="549"/>
      <c r="V129" s="556"/>
      <c r="W129" s="573"/>
      <c r="X129" s="572"/>
      <c r="Y129" s="549"/>
      <c r="Z129" s="549"/>
      <c r="AA129" s="549"/>
      <c r="AB129" s="549"/>
      <c r="AC129" s="549"/>
      <c r="AD129" s="549"/>
      <c r="AE129" s="549"/>
      <c r="AF129" s="549"/>
      <c r="AG129" s="549"/>
      <c r="AH129" s="549"/>
      <c r="AI129" s="549"/>
      <c r="AJ129" s="549"/>
    </row>
    <row r="130" spans="16:36" ht="16">
      <c r="P130" s="642">
        <v>45600</v>
      </c>
      <c r="Q130" s="643">
        <v>183.2</v>
      </c>
      <c r="R130" s="644">
        <v>3857600</v>
      </c>
      <c r="S130" s="549"/>
      <c r="T130" s="549"/>
      <c r="U130" s="549"/>
      <c r="V130" s="556"/>
      <c r="W130" s="573"/>
      <c r="X130" s="572"/>
      <c r="Y130" s="549"/>
      <c r="Z130" s="549"/>
      <c r="AA130" s="549"/>
      <c r="AB130" s="549"/>
      <c r="AC130" s="549"/>
      <c r="AD130" s="549"/>
      <c r="AE130" s="549"/>
      <c r="AF130" s="549"/>
      <c r="AG130" s="549"/>
      <c r="AH130" s="549"/>
      <c r="AI130" s="549"/>
      <c r="AJ130" s="549"/>
    </row>
    <row r="131" spans="16:36" ht="16">
      <c r="P131" s="642">
        <v>45597</v>
      </c>
      <c r="Q131" s="643">
        <v>181.83</v>
      </c>
      <c r="R131" s="644">
        <v>6318900</v>
      </c>
      <c r="S131" s="549"/>
      <c r="T131" s="549"/>
      <c r="U131" s="549"/>
      <c r="V131" s="556"/>
      <c r="W131" s="573"/>
      <c r="X131" s="572"/>
      <c r="Y131" s="549"/>
      <c r="Z131" s="549"/>
      <c r="AA131" s="549"/>
      <c r="AB131" s="549"/>
      <c r="AC131" s="549"/>
      <c r="AD131" s="549"/>
      <c r="AE131" s="549"/>
      <c r="AF131" s="549"/>
      <c r="AG131" s="549"/>
      <c r="AH131" s="549"/>
      <c r="AI131" s="549"/>
      <c r="AJ131" s="549"/>
    </row>
    <row r="132" spans="16:36" ht="16">
      <c r="P132" s="642">
        <v>45596</v>
      </c>
      <c r="Q132" s="643">
        <v>185.21</v>
      </c>
      <c r="R132" s="644">
        <v>7307500</v>
      </c>
      <c r="S132" s="549"/>
      <c r="T132" s="549"/>
      <c r="U132" s="549"/>
      <c r="V132" s="556"/>
      <c r="W132" s="573"/>
      <c r="X132" s="572"/>
      <c r="Y132" s="549"/>
      <c r="Z132" s="549"/>
      <c r="AA132" s="549"/>
      <c r="AB132" s="549"/>
      <c r="AC132" s="549"/>
      <c r="AD132" s="549"/>
      <c r="AE132" s="549"/>
      <c r="AF132" s="549"/>
      <c r="AG132" s="549"/>
      <c r="AH132" s="549"/>
      <c r="AI132" s="549"/>
      <c r="AJ132" s="549"/>
    </row>
    <row r="133" spans="16:36" ht="16">
      <c r="P133" s="642">
        <v>45595</v>
      </c>
      <c r="Q133" s="643">
        <v>187</v>
      </c>
      <c r="R133" s="644">
        <v>5851300</v>
      </c>
      <c r="S133" s="549"/>
      <c r="T133" s="549"/>
      <c r="U133" s="549"/>
      <c r="V133" s="556"/>
      <c r="W133" s="573"/>
      <c r="X133" s="572"/>
      <c r="Y133" s="549"/>
      <c r="Z133" s="549"/>
      <c r="AA133" s="549"/>
      <c r="AB133" s="549"/>
      <c r="AC133" s="549"/>
      <c r="AD133" s="549"/>
      <c r="AE133" s="549"/>
      <c r="AF133" s="549"/>
      <c r="AG133" s="549"/>
      <c r="AH133" s="549"/>
      <c r="AI133" s="549"/>
      <c r="AJ133" s="549"/>
    </row>
    <row r="134" spans="16:36" ht="16">
      <c r="P134" s="642">
        <v>45594</v>
      </c>
      <c r="Q134" s="643">
        <v>185.34</v>
      </c>
      <c r="R134" s="644">
        <v>6007400</v>
      </c>
      <c r="S134" s="549"/>
      <c r="T134" s="549"/>
      <c r="U134" s="549"/>
      <c r="V134" s="556"/>
      <c r="W134" s="573"/>
      <c r="X134" s="572"/>
      <c r="Y134" s="549"/>
      <c r="Z134" s="549"/>
      <c r="AA134" s="549"/>
      <c r="AB134" s="549"/>
      <c r="AC134" s="549"/>
      <c r="AD134" s="549"/>
      <c r="AE134" s="549"/>
      <c r="AF134" s="549"/>
      <c r="AG134" s="549"/>
      <c r="AH134" s="549"/>
      <c r="AI134" s="549"/>
      <c r="AJ134" s="549"/>
    </row>
    <row r="135" spans="16:36" ht="16">
      <c r="P135" s="642">
        <v>45593</v>
      </c>
      <c r="Q135" s="643">
        <v>186.52</v>
      </c>
      <c r="R135" s="644">
        <v>4101000</v>
      </c>
      <c r="S135" s="549"/>
      <c r="T135" s="549"/>
      <c r="U135" s="549"/>
      <c r="V135" s="556"/>
      <c r="W135" s="573"/>
      <c r="X135" s="572"/>
      <c r="Y135" s="549"/>
      <c r="Z135" s="549"/>
      <c r="AA135" s="549"/>
      <c r="AB135" s="549"/>
      <c r="AC135" s="549"/>
      <c r="AD135" s="549"/>
      <c r="AE135" s="549"/>
      <c r="AF135" s="549"/>
      <c r="AG135" s="549"/>
      <c r="AH135" s="549"/>
      <c r="AI135" s="549"/>
      <c r="AJ135" s="549"/>
    </row>
    <row r="136" spans="16:36" ht="16">
      <c r="P136" s="642">
        <v>45590</v>
      </c>
      <c r="Q136" s="643">
        <v>186.49</v>
      </c>
      <c r="R136" s="644">
        <v>4794700</v>
      </c>
      <c r="S136" s="549"/>
      <c r="T136" s="549"/>
      <c r="U136" s="549"/>
      <c r="V136" s="556"/>
      <c r="W136" s="573"/>
      <c r="X136" s="572"/>
      <c r="Y136" s="549"/>
      <c r="Z136" s="549"/>
      <c r="AA136" s="549"/>
      <c r="AB136" s="549"/>
      <c r="AC136" s="549"/>
      <c r="AD136" s="549"/>
      <c r="AE136" s="549"/>
      <c r="AF136" s="549"/>
      <c r="AG136" s="549"/>
      <c r="AH136" s="549"/>
      <c r="AI136" s="549"/>
      <c r="AJ136" s="549"/>
    </row>
    <row r="137" spans="16:36" ht="16">
      <c r="P137" s="642">
        <v>45589</v>
      </c>
      <c r="Q137" s="643">
        <v>186.88</v>
      </c>
      <c r="R137" s="644">
        <v>6122100</v>
      </c>
      <c r="S137" s="549"/>
      <c r="T137" s="549"/>
      <c r="U137" s="549"/>
      <c r="V137" s="556"/>
      <c r="W137" s="573"/>
      <c r="X137" s="572"/>
      <c r="Y137" s="549"/>
      <c r="Z137" s="549"/>
      <c r="AA137" s="549"/>
      <c r="AB137" s="549"/>
      <c r="AC137" s="549"/>
      <c r="AD137" s="549"/>
      <c r="AE137" s="549"/>
      <c r="AF137" s="549"/>
      <c r="AG137" s="549"/>
      <c r="AH137" s="549"/>
      <c r="AI137" s="549"/>
      <c r="AJ137" s="549"/>
    </row>
    <row r="138" spans="16:36" ht="16">
      <c r="P138" s="642">
        <v>45588</v>
      </c>
      <c r="Q138" s="643">
        <v>181.95</v>
      </c>
      <c r="R138" s="644">
        <v>6015200</v>
      </c>
      <c r="S138" s="549"/>
      <c r="T138" s="549"/>
      <c r="U138" s="549"/>
      <c r="V138" s="556"/>
      <c r="W138" s="573"/>
      <c r="X138" s="572"/>
      <c r="Y138" s="549"/>
      <c r="Z138" s="549"/>
      <c r="AA138" s="549"/>
      <c r="AB138" s="549"/>
      <c r="AC138" s="549"/>
      <c r="AD138" s="549"/>
      <c r="AE138" s="549"/>
      <c r="AF138" s="549"/>
      <c r="AG138" s="549"/>
      <c r="AH138" s="549"/>
      <c r="AI138" s="549"/>
      <c r="AJ138" s="549"/>
    </row>
    <row r="139" spans="16:36" ht="16">
      <c r="P139" s="642">
        <v>45587</v>
      </c>
      <c r="Q139" s="643">
        <v>184.6</v>
      </c>
      <c r="R139" s="644">
        <v>6753600</v>
      </c>
      <c r="S139" s="549"/>
      <c r="T139" s="549"/>
      <c r="U139" s="549"/>
      <c r="V139" s="556"/>
      <c r="W139" s="573"/>
      <c r="X139" s="572"/>
      <c r="Y139" s="549"/>
      <c r="Z139" s="549"/>
      <c r="AA139" s="549"/>
      <c r="AB139" s="549"/>
      <c r="AC139" s="549"/>
      <c r="AD139" s="549"/>
      <c r="AE139" s="549"/>
      <c r="AF139" s="549"/>
      <c r="AG139" s="549"/>
      <c r="AH139" s="549"/>
      <c r="AI139" s="549"/>
      <c r="AJ139" s="549"/>
    </row>
    <row r="140" spans="16:36" ht="16">
      <c r="P140" s="642">
        <v>45586</v>
      </c>
      <c r="Q140" s="643">
        <v>186.16</v>
      </c>
      <c r="R140" s="644">
        <v>4918100</v>
      </c>
      <c r="S140" s="549"/>
      <c r="T140" s="549"/>
      <c r="U140" s="549"/>
      <c r="V140" s="556"/>
      <c r="W140" s="573"/>
      <c r="X140" s="572"/>
      <c r="Y140" s="549"/>
      <c r="Z140" s="549"/>
      <c r="AA140" s="549"/>
      <c r="AB140" s="549"/>
      <c r="AC140" s="549"/>
      <c r="AD140" s="549"/>
      <c r="AE140" s="549"/>
      <c r="AF140" s="549"/>
      <c r="AG140" s="549"/>
      <c r="AH140" s="549"/>
      <c r="AI140" s="549"/>
      <c r="AJ140" s="549"/>
    </row>
    <row r="141" spans="16:36" ht="16">
      <c r="P141" s="642">
        <v>45583</v>
      </c>
      <c r="Q141" s="643">
        <v>186.28</v>
      </c>
      <c r="R141" s="644">
        <v>5758600</v>
      </c>
      <c r="S141" s="549"/>
      <c r="T141" s="549"/>
      <c r="U141" s="549"/>
      <c r="V141" s="556"/>
      <c r="W141" s="573"/>
      <c r="X141" s="572"/>
      <c r="Y141" s="549"/>
      <c r="Z141" s="549"/>
      <c r="AA141" s="549"/>
      <c r="AB141" s="549"/>
      <c r="AC141" s="549"/>
      <c r="AD141" s="549"/>
      <c r="AE141" s="549"/>
      <c r="AF141" s="549"/>
      <c r="AG141" s="549"/>
      <c r="AH141" s="549"/>
      <c r="AI141" s="549"/>
      <c r="AJ141" s="549"/>
    </row>
    <row r="142" spans="16:36" ht="16">
      <c r="P142" s="642">
        <v>45582</v>
      </c>
      <c r="Q142" s="643">
        <v>190</v>
      </c>
      <c r="R142" s="644">
        <v>9727100</v>
      </c>
      <c r="S142" s="549"/>
      <c r="T142" s="549"/>
      <c r="U142" s="549"/>
      <c r="V142" s="556"/>
      <c r="W142" s="573"/>
      <c r="X142" s="572"/>
      <c r="Y142" s="549"/>
      <c r="Z142" s="549"/>
      <c r="AA142" s="549"/>
      <c r="AB142" s="549"/>
      <c r="AC142" s="549"/>
      <c r="AD142" s="549"/>
      <c r="AE142" s="549"/>
      <c r="AF142" s="549"/>
      <c r="AG142" s="549"/>
      <c r="AH142" s="549"/>
      <c r="AI142" s="549"/>
      <c r="AJ142" s="549"/>
    </row>
    <row r="143" spans="16:36" ht="16">
      <c r="P143" s="642">
        <v>45581</v>
      </c>
      <c r="Q143" s="643">
        <v>193.22</v>
      </c>
      <c r="R143" s="644">
        <v>10972600</v>
      </c>
      <c r="S143" s="549"/>
      <c r="T143" s="549"/>
      <c r="U143" s="549"/>
      <c r="V143" s="556"/>
      <c r="W143" s="573"/>
      <c r="X143" s="572"/>
      <c r="Y143" s="549"/>
      <c r="Z143" s="549"/>
      <c r="AA143" s="549"/>
      <c r="AB143" s="549"/>
      <c r="AC143" s="549"/>
      <c r="AD143" s="549"/>
      <c r="AE143" s="549"/>
      <c r="AF143" s="549"/>
      <c r="AG143" s="549"/>
      <c r="AH143" s="549"/>
      <c r="AI143" s="549"/>
      <c r="AJ143" s="549"/>
    </row>
    <row r="144" spans="16:36" ht="16">
      <c r="P144" s="642">
        <v>45580</v>
      </c>
      <c r="Q144" s="643">
        <v>213.68</v>
      </c>
      <c r="R144" s="644">
        <v>16613200</v>
      </c>
      <c r="S144" s="549"/>
      <c r="T144" s="549"/>
      <c r="U144" s="549"/>
      <c r="V144" s="556"/>
      <c r="W144" s="573"/>
      <c r="X144" s="572"/>
      <c r="Y144" s="549"/>
      <c r="Z144" s="549"/>
      <c r="AA144" s="549"/>
      <c r="AB144" s="549"/>
      <c r="AC144" s="549"/>
      <c r="AD144" s="549"/>
      <c r="AE144" s="549"/>
      <c r="AF144" s="549"/>
      <c r="AG144" s="549"/>
      <c r="AH144" s="549"/>
      <c r="AI144" s="549"/>
      <c r="AJ144" s="549"/>
    </row>
    <row r="145" spans="16:36" ht="16">
      <c r="P145" s="642">
        <v>45579</v>
      </c>
      <c r="Q145" s="643">
        <v>206.96</v>
      </c>
      <c r="R145" s="644">
        <v>5239300</v>
      </c>
      <c r="S145" s="549"/>
      <c r="T145" s="549"/>
      <c r="U145" s="549"/>
      <c r="V145" s="556"/>
      <c r="W145" s="573"/>
      <c r="X145" s="572"/>
      <c r="Y145" s="549"/>
      <c r="Z145" s="549"/>
      <c r="AA145" s="549"/>
      <c r="AB145" s="549"/>
      <c r="AC145" s="549"/>
      <c r="AD145" s="549"/>
      <c r="AE145" s="549"/>
      <c r="AF145" s="549"/>
      <c r="AG145" s="549"/>
      <c r="AH145" s="549"/>
      <c r="AI145" s="549"/>
      <c r="AJ145" s="549"/>
    </row>
    <row r="146" spans="16:36" ht="16">
      <c r="P146" s="642">
        <v>45576</v>
      </c>
      <c r="Q146" s="643">
        <v>202.14</v>
      </c>
      <c r="R146" s="644">
        <v>2604100</v>
      </c>
      <c r="S146" s="549"/>
      <c r="T146" s="549"/>
      <c r="U146" s="549"/>
      <c r="V146" s="556"/>
      <c r="W146" s="573"/>
      <c r="X146" s="572"/>
      <c r="Y146" s="549"/>
      <c r="Z146" s="549"/>
      <c r="AA146" s="549"/>
      <c r="AB146" s="549"/>
      <c r="AC146" s="549"/>
      <c r="AD146" s="549"/>
      <c r="AE146" s="549"/>
      <c r="AF146" s="549"/>
      <c r="AG146" s="549"/>
      <c r="AH146" s="549"/>
      <c r="AI146" s="549"/>
      <c r="AJ146" s="549"/>
    </row>
    <row r="147" spans="16:36" ht="16">
      <c r="P147" s="642">
        <v>45575</v>
      </c>
      <c r="Q147" s="643">
        <v>201.02</v>
      </c>
      <c r="R147" s="644">
        <v>3796800</v>
      </c>
      <c r="S147" s="549"/>
      <c r="T147" s="549"/>
      <c r="U147" s="549"/>
      <c r="V147" s="556"/>
      <c r="W147" s="573"/>
      <c r="X147" s="572"/>
      <c r="Y147" s="549"/>
      <c r="Z147" s="549"/>
      <c r="AA147" s="549"/>
      <c r="AB147" s="549"/>
      <c r="AC147" s="549"/>
      <c r="AD147" s="549"/>
      <c r="AE147" s="549"/>
      <c r="AF147" s="549"/>
      <c r="AG147" s="549"/>
      <c r="AH147" s="549"/>
      <c r="AI147" s="549"/>
      <c r="AJ147" s="549"/>
    </row>
    <row r="148" spans="16:36" ht="16">
      <c r="P148" s="642">
        <v>45574</v>
      </c>
      <c r="Q148" s="643">
        <v>201.4</v>
      </c>
      <c r="R148" s="644">
        <v>4141600</v>
      </c>
      <c r="S148" s="549"/>
      <c r="T148" s="549"/>
      <c r="U148" s="549"/>
      <c r="V148" s="556"/>
      <c r="W148" s="573"/>
      <c r="X148" s="572"/>
      <c r="Y148" s="549"/>
      <c r="Z148" s="549"/>
      <c r="AA148" s="549"/>
      <c r="AB148" s="549"/>
      <c r="AC148" s="549"/>
      <c r="AD148" s="549"/>
      <c r="AE148" s="549"/>
      <c r="AF148" s="549"/>
      <c r="AG148" s="549"/>
      <c r="AH148" s="549"/>
      <c r="AI148" s="549"/>
      <c r="AJ148" s="549"/>
    </row>
    <row r="149" spans="16:36" ht="16">
      <c r="P149" s="642">
        <v>45573</v>
      </c>
      <c r="Q149" s="643">
        <v>200.13</v>
      </c>
      <c r="R149" s="644">
        <v>3616100</v>
      </c>
      <c r="S149" s="549"/>
      <c r="T149" s="549"/>
      <c r="U149" s="549"/>
      <c r="V149" s="556"/>
      <c r="W149" s="573"/>
      <c r="X149" s="572"/>
      <c r="Y149" s="549"/>
      <c r="Z149" s="549"/>
      <c r="AA149" s="549"/>
      <c r="AB149" s="549"/>
      <c r="AC149" s="549"/>
      <c r="AD149" s="549"/>
      <c r="AE149" s="549"/>
      <c r="AF149" s="549"/>
      <c r="AG149" s="549"/>
      <c r="AH149" s="549"/>
      <c r="AI149" s="549"/>
      <c r="AJ149" s="549"/>
    </row>
    <row r="150" spans="16:36" ht="16">
      <c r="P150" s="642">
        <v>45572</v>
      </c>
      <c r="Q150" s="643">
        <v>199.38</v>
      </c>
      <c r="R150" s="644">
        <v>3711100</v>
      </c>
      <c r="S150" s="549"/>
      <c r="T150" s="549"/>
      <c r="U150" s="549"/>
      <c r="V150" s="556"/>
      <c r="W150" s="573"/>
      <c r="X150" s="572"/>
      <c r="Y150" s="549"/>
      <c r="Z150" s="549"/>
      <c r="AA150" s="549"/>
      <c r="AB150" s="549"/>
      <c r="AC150" s="549"/>
      <c r="AD150" s="549"/>
      <c r="AE150" s="549"/>
      <c r="AF150" s="549"/>
      <c r="AG150" s="549"/>
      <c r="AH150" s="549"/>
      <c r="AI150" s="549"/>
      <c r="AJ150" s="549"/>
    </row>
    <row r="151" spans="16:36" ht="16">
      <c r="P151" s="642">
        <v>45569</v>
      </c>
      <c r="Q151" s="643">
        <v>204.62</v>
      </c>
      <c r="R151" s="644">
        <v>4131100</v>
      </c>
      <c r="S151" s="549"/>
      <c r="T151" s="549"/>
      <c r="U151" s="549"/>
      <c r="V151" s="556"/>
      <c r="W151" s="573"/>
      <c r="X151" s="572"/>
      <c r="Y151" s="549"/>
      <c r="Z151" s="549"/>
      <c r="AA151" s="549"/>
      <c r="AB151" s="549"/>
      <c r="AC151" s="549"/>
      <c r="AD151" s="549"/>
      <c r="AE151" s="549"/>
      <c r="AF151" s="549"/>
      <c r="AG151" s="549"/>
      <c r="AH151" s="549"/>
      <c r="AI151" s="549"/>
      <c r="AJ151" s="549"/>
    </row>
    <row r="152" spans="16:36" ht="16">
      <c r="P152" s="642">
        <v>45568</v>
      </c>
      <c r="Q152" s="643">
        <v>197.71</v>
      </c>
      <c r="R152" s="644">
        <v>3813300</v>
      </c>
      <c r="S152" s="549"/>
      <c r="T152" s="549"/>
      <c r="U152" s="549"/>
      <c r="V152" s="556"/>
      <c r="W152" s="573"/>
      <c r="X152" s="572"/>
      <c r="Y152" s="549"/>
      <c r="Z152" s="549"/>
      <c r="AA152" s="549"/>
      <c r="AB152" s="549"/>
      <c r="AC152" s="549"/>
      <c r="AD152" s="549"/>
      <c r="AE152" s="549"/>
      <c r="AF152" s="549"/>
      <c r="AG152" s="549"/>
      <c r="AH152" s="549"/>
      <c r="AI152" s="549"/>
      <c r="AJ152" s="549"/>
    </row>
    <row r="153" spans="16:36" ht="16">
      <c r="P153" s="642">
        <v>45567</v>
      </c>
      <c r="Q153" s="643">
        <v>197.83</v>
      </c>
      <c r="R153" s="644">
        <v>5536600</v>
      </c>
      <c r="S153" s="549"/>
      <c r="T153" s="549"/>
      <c r="U153" s="549"/>
      <c r="V153" s="556"/>
      <c r="W153" s="573"/>
      <c r="X153" s="572"/>
      <c r="Y153" s="549"/>
      <c r="Z153" s="549"/>
      <c r="AA153" s="549"/>
      <c r="AB153" s="549"/>
      <c r="AC153" s="549"/>
      <c r="AD153" s="549"/>
      <c r="AE153" s="549"/>
      <c r="AF153" s="549"/>
      <c r="AG153" s="549"/>
      <c r="AH153" s="549"/>
      <c r="AI153" s="549"/>
      <c r="AJ153" s="549"/>
    </row>
    <row r="154" spans="16:36" ht="16">
      <c r="P154" s="642">
        <v>45566</v>
      </c>
      <c r="Q154" s="643">
        <v>203.41</v>
      </c>
      <c r="R154" s="644">
        <v>6930100</v>
      </c>
      <c r="S154" s="549"/>
      <c r="T154" s="549"/>
      <c r="U154" s="549"/>
      <c r="V154" s="556"/>
      <c r="W154" s="573"/>
      <c r="X154" s="572"/>
      <c r="Y154" s="549"/>
      <c r="Z154" s="549"/>
      <c r="AA154" s="549"/>
      <c r="AB154" s="549"/>
      <c r="AC154" s="549"/>
      <c r="AD154" s="549"/>
      <c r="AE154" s="549"/>
      <c r="AF154" s="549"/>
      <c r="AG154" s="549"/>
      <c r="AH154" s="549"/>
      <c r="AI154" s="549"/>
      <c r="AJ154" s="549"/>
    </row>
    <row r="155" spans="16:36" ht="16">
      <c r="P155" s="642">
        <v>45565</v>
      </c>
      <c r="Q155" s="643">
        <v>201</v>
      </c>
      <c r="R155" s="644">
        <v>5746000</v>
      </c>
      <c r="S155" s="549"/>
      <c r="T155" s="549"/>
      <c r="U155" s="549"/>
      <c r="V155" s="556"/>
      <c r="W155" s="573"/>
      <c r="X155" s="572"/>
      <c r="Y155" s="549"/>
      <c r="Z155" s="549"/>
      <c r="AA155" s="549"/>
      <c r="AB155" s="549"/>
      <c r="AC155" s="549"/>
      <c r="AD155" s="549"/>
      <c r="AE155" s="549"/>
      <c r="AF155" s="549"/>
      <c r="AG155" s="549"/>
      <c r="AH155" s="549"/>
      <c r="AI155" s="549"/>
      <c r="AJ155" s="549"/>
    </row>
    <row r="156" spans="16:36" ht="16">
      <c r="P156" s="642">
        <v>45562</v>
      </c>
      <c r="Q156" s="643">
        <v>211.08</v>
      </c>
      <c r="R156" s="644">
        <v>4524800</v>
      </c>
      <c r="S156" s="549"/>
      <c r="T156" s="549"/>
      <c r="U156" s="549"/>
      <c r="V156" s="556"/>
      <c r="W156" s="573"/>
      <c r="X156" s="572"/>
      <c r="Y156" s="549"/>
      <c r="Z156" s="549"/>
      <c r="AA156" s="549"/>
      <c r="AB156" s="549"/>
      <c r="AC156" s="549"/>
      <c r="AD156" s="549"/>
      <c r="AE156" s="549"/>
      <c r="AF156" s="549"/>
      <c r="AG156" s="549"/>
      <c r="AH156" s="549"/>
      <c r="AI156" s="549"/>
      <c r="AJ156" s="549"/>
    </row>
    <row r="157" spans="16:36" ht="16">
      <c r="P157" s="642">
        <v>45561</v>
      </c>
      <c r="Q157" s="643">
        <v>210.82</v>
      </c>
      <c r="R157" s="644">
        <v>7849800</v>
      </c>
      <c r="S157" s="549"/>
      <c r="T157" s="549"/>
      <c r="U157" s="549"/>
      <c r="V157" s="556"/>
      <c r="W157" s="573"/>
      <c r="X157" s="572"/>
      <c r="Y157" s="549"/>
      <c r="Z157" s="549"/>
      <c r="AA157" s="549"/>
      <c r="AB157" s="549"/>
      <c r="AC157" s="549"/>
      <c r="AD157" s="549"/>
      <c r="AE157" s="549"/>
      <c r="AF157" s="549"/>
      <c r="AG157" s="549"/>
      <c r="AH157" s="549"/>
      <c r="AI157" s="549"/>
      <c r="AJ157" s="549"/>
    </row>
    <row r="158" spans="16:36" ht="16">
      <c r="P158" s="642">
        <v>45560</v>
      </c>
      <c r="Q158" s="643">
        <v>195.29</v>
      </c>
      <c r="R158" s="644">
        <v>5060100</v>
      </c>
      <c r="S158" s="549"/>
      <c r="T158" s="549"/>
      <c r="U158" s="549"/>
      <c r="V158" s="556"/>
      <c r="W158" s="573"/>
      <c r="X158" s="572"/>
      <c r="Y158" s="549"/>
      <c r="Z158" s="549"/>
      <c r="AA158" s="549"/>
      <c r="AB158" s="549"/>
      <c r="AC158" s="549"/>
      <c r="AD158" s="549"/>
      <c r="AE158" s="549"/>
      <c r="AF158" s="549"/>
      <c r="AG158" s="549"/>
      <c r="AH158" s="549"/>
      <c r="AI158" s="549"/>
      <c r="AJ158" s="549"/>
    </row>
    <row r="159" spans="16:36" ht="16">
      <c r="P159" s="642">
        <v>45559</v>
      </c>
      <c r="Q159" s="643">
        <v>196.51</v>
      </c>
      <c r="R159" s="644">
        <v>4849700</v>
      </c>
      <c r="S159" s="549"/>
      <c r="T159" s="549"/>
      <c r="U159" s="549"/>
      <c r="V159" s="556"/>
      <c r="W159" s="573"/>
      <c r="X159" s="572"/>
      <c r="Y159" s="549"/>
      <c r="Z159" s="549"/>
      <c r="AA159" s="549"/>
      <c r="AB159" s="549"/>
      <c r="AC159" s="549"/>
      <c r="AD159" s="549"/>
      <c r="AE159" s="549"/>
      <c r="AF159" s="549"/>
      <c r="AG159" s="549"/>
      <c r="AH159" s="549"/>
      <c r="AI159" s="549"/>
      <c r="AJ159" s="549"/>
    </row>
    <row r="160" spans="16:36" ht="16">
      <c r="P160" s="642">
        <v>45558</v>
      </c>
      <c r="Q160" s="643">
        <v>194.42</v>
      </c>
      <c r="R160" s="644">
        <v>4457900</v>
      </c>
      <c r="S160" s="549"/>
      <c r="T160" s="549"/>
      <c r="U160" s="549"/>
      <c r="V160" s="556"/>
      <c r="W160" s="573"/>
      <c r="X160" s="572"/>
      <c r="Y160" s="549"/>
      <c r="Z160" s="549"/>
      <c r="AA160" s="549"/>
      <c r="AB160" s="549"/>
      <c r="AC160" s="549"/>
      <c r="AD160" s="549"/>
      <c r="AE160" s="549"/>
      <c r="AF160" s="549"/>
      <c r="AG160" s="549"/>
      <c r="AH160" s="549"/>
      <c r="AI160" s="549"/>
      <c r="AJ160" s="549"/>
    </row>
    <row r="161" spans="16:36" ht="16">
      <c r="P161" s="642">
        <v>45555</v>
      </c>
      <c r="Q161" s="643">
        <v>194.35</v>
      </c>
      <c r="R161" s="644">
        <v>14306900</v>
      </c>
      <c r="S161" s="549"/>
      <c r="T161" s="549"/>
      <c r="U161" s="549"/>
      <c r="V161" s="556"/>
      <c r="W161" s="573"/>
      <c r="X161" s="572"/>
      <c r="Y161" s="549"/>
      <c r="Z161" s="549"/>
      <c r="AA161" s="549"/>
      <c r="AB161" s="549"/>
      <c r="AC161" s="549"/>
      <c r="AD161" s="549"/>
      <c r="AE161" s="549"/>
      <c r="AF161" s="549"/>
      <c r="AG161" s="549"/>
      <c r="AH161" s="549"/>
      <c r="AI161" s="549"/>
      <c r="AJ161" s="549"/>
    </row>
    <row r="162" spans="16:36" ht="16">
      <c r="P162" s="642">
        <v>45554</v>
      </c>
      <c r="Q162" s="643">
        <v>194.55</v>
      </c>
      <c r="R162" s="644">
        <v>7326100</v>
      </c>
      <c r="S162" s="549"/>
      <c r="T162" s="549"/>
      <c r="U162" s="549"/>
      <c r="V162" s="556"/>
      <c r="W162" s="573"/>
      <c r="X162" s="572"/>
      <c r="Y162" s="549"/>
      <c r="Z162" s="549"/>
      <c r="AA162" s="549"/>
      <c r="AB162" s="549"/>
      <c r="AC162" s="549"/>
      <c r="AD162" s="549"/>
      <c r="AE162" s="549"/>
      <c r="AF162" s="549"/>
      <c r="AG162" s="549"/>
      <c r="AH162" s="549"/>
      <c r="AI162" s="549"/>
      <c r="AJ162" s="549"/>
    </row>
    <row r="163" spans="16:36" ht="16">
      <c r="P163" s="642">
        <v>45553</v>
      </c>
      <c r="Q163" s="643">
        <v>190.76</v>
      </c>
      <c r="R163" s="644">
        <v>4266900</v>
      </c>
      <c r="S163" s="549"/>
      <c r="T163" s="549"/>
      <c r="U163" s="549"/>
      <c r="V163" s="556"/>
      <c r="W163" s="573"/>
      <c r="X163" s="572"/>
      <c r="Y163" s="549"/>
      <c r="Z163" s="549"/>
      <c r="AA163" s="549"/>
      <c r="AB163" s="549"/>
      <c r="AC163" s="549"/>
      <c r="AD163" s="549"/>
      <c r="AE163" s="549"/>
      <c r="AF163" s="549"/>
      <c r="AG163" s="549"/>
      <c r="AH163" s="549"/>
      <c r="AI163" s="549"/>
      <c r="AJ163" s="549"/>
    </row>
    <row r="164" spans="16:36" ht="16">
      <c r="P164" s="642">
        <v>45552</v>
      </c>
      <c r="Q164" s="643">
        <v>189.5</v>
      </c>
      <c r="R164" s="644">
        <v>4026100</v>
      </c>
      <c r="S164" s="549"/>
      <c r="T164" s="549"/>
      <c r="U164" s="549"/>
      <c r="V164" s="556"/>
      <c r="W164" s="573"/>
      <c r="X164" s="572"/>
      <c r="Y164" s="549"/>
      <c r="Z164" s="549"/>
      <c r="AA164" s="549"/>
      <c r="AB164" s="549"/>
      <c r="AC164" s="549"/>
      <c r="AD164" s="549"/>
      <c r="AE164" s="549"/>
      <c r="AF164" s="549"/>
      <c r="AG164" s="549"/>
      <c r="AH164" s="549"/>
      <c r="AI164" s="549"/>
      <c r="AJ164" s="549"/>
    </row>
    <row r="165" spans="16:36" ht="16">
      <c r="P165" s="642">
        <v>45551</v>
      </c>
      <c r="Q165" s="643">
        <v>185</v>
      </c>
      <c r="R165" s="644">
        <v>5915800</v>
      </c>
      <c r="S165" s="549"/>
      <c r="T165" s="549"/>
      <c r="U165" s="549"/>
      <c r="V165" s="556"/>
      <c r="W165" s="573"/>
      <c r="X165" s="572"/>
      <c r="Y165" s="549"/>
      <c r="Z165" s="549"/>
      <c r="AA165" s="549"/>
      <c r="AB165" s="549"/>
      <c r="AC165" s="549"/>
      <c r="AD165" s="549"/>
      <c r="AE165" s="549"/>
      <c r="AF165" s="549"/>
      <c r="AG165" s="549"/>
      <c r="AH165" s="549"/>
      <c r="AI165" s="549"/>
      <c r="AJ165" s="549"/>
    </row>
    <row r="166" spans="16:36" ht="16">
      <c r="P166" s="642">
        <v>45548</v>
      </c>
      <c r="Q166" s="643">
        <v>185.3</v>
      </c>
      <c r="R166" s="644">
        <v>4851300</v>
      </c>
      <c r="S166" s="549"/>
      <c r="T166" s="549"/>
      <c r="U166" s="549"/>
      <c r="V166" s="556"/>
      <c r="W166" s="573"/>
      <c r="X166" s="572"/>
      <c r="Y166" s="549"/>
      <c r="Z166" s="549"/>
      <c r="AA166" s="549"/>
      <c r="AB166" s="549"/>
      <c r="AC166" s="549"/>
      <c r="AD166" s="549"/>
      <c r="AE166" s="549"/>
      <c r="AF166" s="549"/>
      <c r="AG166" s="549"/>
      <c r="AH166" s="549"/>
      <c r="AI166" s="549"/>
      <c r="AJ166" s="549"/>
    </row>
    <row r="167" spans="16:36" ht="16">
      <c r="P167" s="642">
        <v>45547</v>
      </c>
      <c r="Q167" s="643">
        <v>184.36</v>
      </c>
      <c r="R167" s="644">
        <v>8013000</v>
      </c>
      <c r="S167" s="549"/>
      <c r="T167" s="549"/>
      <c r="U167" s="549"/>
      <c r="V167" s="556"/>
      <c r="W167" s="573"/>
      <c r="X167" s="572"/>
      <c r="Y167" s="549"/>
      <c r="Z167" s="549"/>
      <c r="AA167" s="549"/>
      <c r="AB167" s="549"/>
      <c r="AC167" s="549"/>
      <c r="AD167" s="549"/>
      <c r="AE167" s="549"/>
      <c r="AF167" s="549"/>
      <c r="AG167" s="549"/>
      <c r="AH167" s="549"/>
      <c r="AI167" s="549"/>
      <c r="AJ167" s="549"/>
    </row>
    <row r="168" spans="16:36" ht="16">
      <c r="P168" s="642">
        <v>45546</v>
      </c>
      <c r="Q168" s="643">
        <v>180.24</v>
      </c>
      <c r="R168" s="644">
        <v>8187100</v>
      </c>
      <c r="S168" s="549"/>
      <c r="T168" s="549"/>
      <c r="U168" s="549"/>
      <c r="V168" s="556"/>
      <c r="W168" s="573"/>
      <c r="X168" s="572"/>
      <c r="Y168" s="549"/>
      <c r="Z168" s="549"/>
      <c r="AA168" s="549"/>
      <c r="AB168" s="549"/>
      <c r="AC168" s="549"/>
      <c r="AD168" s="549"/>
      <c r="AE168" s="549"/>
      <c r="AF168" s="549"/>
      <c r="AG168" s="549"/>
      <c r="AH168" s="549"/>
      <c r="AI168" s="549"/>
      <c r="AJ168" s="549"/>
    </row>
    <row r="169" spans="16:36" ht="16">
      <c r="P169" s="642">
        <v>45545</v>
      </c>
      <c r="Q169" s="643">
        <v>177.97</v>
      </c>
      <c r="R169" s="644">
        <v>5367900</v>
      </c>
      <c r="S169" s="549"/>
      <c r="T169" s="549"/>
      <c r="U169" s="549"/>
      <c r="V169" s="556"/>
      <c r="W169" s="573"/>
      <c r="X169" s="572"/>
      <c r="Y169" s="549"/>
      <c r="Z169" s="549"/>
      <c r="AA169" s="549"/>
      <c r="AB169" s="549"/>
      <c r="AC169" s="549"/>
      <c r="AD169" s="549"/>
      <c r="AE169" s="549"/>
      <c r="AF169" s="549"/>
      <c r="AG169" s="549"/>
      <c r="AH169" s="549"/>
      <c r="AI169" s="549"/>
      <c r="AJ169" s="549"/>
    </row>
    <row r="170" spans="16:36" ht="16">
      <c r="P170" s="642">
        <v>45544</v>
      </c>
      <c r="Q170" s="643">
        <v>177.1</v>
      </c>
      <c r="R170" s="644">
        <v>7492500</v>
      </c>
      <c r="S170" s="549"/>
      <c r="T170" s="549"/>
      <c r="U170" s="549"/>
      <c r="V170" s="556"/>
      <c r="W170" s="573"/>
      <c r="X170" s="572"/>
      <c r="Y170" s="549"/>
      <c r="Z170" s="549"/>
      <c r="AA170" s="549"/>
      <c r="AB170" s="549"/>
      <c r="AC170" s="549"/>
      <c r="AD170" s="549"/>
      <c r="AE170" s="549"/>
      <c r="AF170" s="549"/>
      <c r="AG170" s="549"/>
      <c r="AH170" s="549"/>
      <c r="AI170" s="549"/>
      <c r="AJ170" s="549"/>
    </row>
    <row r="171" spans="16:36" ht="16">
      <c r="P171" s="642">
        <v>45541</v>
      </c>
      <c r="Q171" s="643">
        <v>179.5</v>
      </c>
      <c r="R171" s="644">
        <v>8887900</v>
      </c>
      <c r="S171" s="549"/>
      <c r="T171" s="549"/>
      <c r="U171" s="549"/>
      <c r="V171" s="556"/>
      <c r="W171" s="573"/>
      <c r="X171" s="572"/>
      <c r="Y171" s="549"/>
      <c r="Z171" s="549"/>
      <c r="AA171" s="549"/>
      <c r="AB171" s="549"/>
      <c r="AC171" s="549"/>
      <c r="AD171" s="549"/>
      <c r="AE171" s="549"/>
      <c r="AF171" s="549"/>
      <c r="AG171" s="549"/>
      <c r="AH171" s="549"/>
      <c r="AI171" s="549"/>
      <c r="AJ171" s="549"/>
    </row>
    <row r="172" spans="16:36" ht="16">
      <c r="P172" s="642">
        <v>45540</v>
      </c>
      <c r="Q172" s="643">
        <v>179.04</v>
      </c>
      <c r="R172" s="644">
        <v>6495000</v>
      </c>
      <c r="S172" s="549"/>
      <c r="T172" s="549"/>
      <c r="U172" s="549"/>
      <c r="V172" s="556"/>
      <c r="W172" s="573"/>
      <c r="X172" s="572"/>
      <c r="Y172" s="549"/>
      <c r="Z172" s="549"/>
      <c r="AA172" s="549"/>
      <c r="AB172" s="549"/>
      <c r="AC172" s="549"/>
      <c r="AD172" s="549"/>
      <c r="AE172" s="549"/>
      <c r="AF172" s="549"/>
      <c r="AG172" s="549"/>
      <c r="AH172" s="549"/>
      <c r="AI172" s="549"/>
      <c r="AJ172" s="549"/>
    </row>
    <row r="173" spans="16:36" ht="16">
      <c r="P173" s="642">
        <v>45539</v>
      </c>
      <c r="Q173" s="643">
        <v>179.99</v>
      </c>
      <c r="R173" s="644">
        <v>6378100</v>
      </c>
      <c r="S173" s="549"/>
      <c r="T173" s="549"/>
      <c r="U173" s="549"/>
      <c r="V173" s="556"/>
      <c r="W173" s="573"/>
      <c r="X173" s="572"/>
      <c r="Y173" s="549"/>
      <c r="Z173" s="549"/>
      <c r="AA173" s="549"/>
      <c r="AB173" s="549"/>
      <c r="AC173" s="549"/>
      <c r="AD173" s="549"/>
      <c r="AE173" s="549"/>
      <c r="AF173" s="549"/>
      <c r="AG173" s="549"/>
      <c r="AH173" s="549"/>
      <c r="AI173" s="549"/>
      <c r="AJ173" s="549"/>
    </row>
    <row r="174" spans="16:36" ht="16">
      <c r="P174" s="642">
        <v>45538</v>
      </c>
      <c r="Q174" s="643">
        <v>193.08</v>
      </c>
      <c r="R174" s="644">
        <v>12163400</v>
      </c>
      <c r="S174" s="549"/>
      <c r="T174" s="549"/>
      <c r="U174" s="549"/>
      <c r="V174" s="556"/>
      <c r="W174" s="573"/>
      <c r="X174" s="572"/>
      <c r="Y174" s="549"/>
      <c r="Z174" s="549"/>
      <c r="AA174" s="549"/>
      <c r="AB174" s="549"/>
      <c r="AC174" s="549"/>
      <c r="AD174" s="549"/>
      <c r="AE174" s="549"/>
      <c r="AF174" s="549"/>
      <c r="AG174" s="549"/>
      <c r="AH174" s="549"/>
      <c r="AI174" s="549"/>
      <c r="AJ174" s="549"/>
    </row>
    <row r="175" spans="16:36" ht="16">
      <c r="P175" s="642">
        <v>45534</v>
      </c>
      <c r="Q175" s="643">
        <v>197.53</v>
      </c>
      <c r="R175" s="644">
        <v>7313800</v>
      </c>
      <c r="S175" s="549"/>
      <c r="T175" s="549"/>
      <c r="U175" s="549"/>
      <c r="V175" s="556"/>
      <c r="W175" s="573"/>
      <c r="X175" s="572"/>
      <c r="Y175" s="549"/>
      <c r="Z175" s="549"/>
      <c r="AA175" s="549"/>
      <c r="AB175" s="549"/>
      <c r="AC175" s="549"/>
      <c r="AD175" s="549"/>
      <c r="AE175" s="549"/>
      <c r="AF175" s="549"/>
      <c r="AG175" s="549"/>
      <c r="AH175" s="549"/>
      <c r="AI175" s="549"/>
      <c r="AJ175" s="549"/>
    </row>
    <row r="176" spans="16:36" ht="16">
      <c r="P176" s="642">
        <v>45533</v>
      </c>
      <c r="Q176" s="643">
        <v>196.67</v>
      </c>
      <c r="R176" s="644">
        <v>6730300</v>
      </c>
      <c r="S176" s="549"/>
      <c r="T176" s="549"/>
      <c r="U176" s="549"/>
      <c r="V176" s="556"/>
      <c r="W176" s="573"/>
      <c r="X176" s="572"/>
      <c r="Y176" s="549"/>
      <c r="Z176" s="549"/>
      <c r="AA176" s="549"/>
      <c r="AB176" s="549"/>
      <c r="AC176" s="549"/>
      <c r="AD176" s="549"/>
      <c r="AE176" s="549"/>
      <c r="AF176" s="549"/>
      <c r="AG176" s="549"/>
      <c r="AH176" s="549"/>
      <c r="AI176" s="549"/>
      <c r="AJ176" s="549"/>
    </row>
    <row r="177" spans="16:36" ht="16">
      <c r="P177" s="642">
        <v>45532</v>
      </c>
      <c r="Q177" s="643">
        <v>194.68</v>
      </c>
      <c r="R177" s="644">
        <v>6412500</v>
      </c>
      <c r="S177" s="549"/>
      <c r="T177" s="549"/>
      <c r="U177" s="549"/>
      <c r="V177" s="556"/>
      <c r="W177" s="573"/>
      <c r="X177" s="572"/>
      <c r="Y177" s="549"/>
      <c r="Z177" s="549"/>
      <c r="AA177" s="549"/>
      <c r="AB177" s="549"/>
      <c r="AC177" s="549"/>
      <c r="AD177" s="549"/>
      <c r="AE177" s="549"/>
      <c r="AF177" s="549"/>
      <c r="AG177" s="549"/>
      <c r="AH177" s="549"/>
      <c r="AI177" s="549"/>
      <c r="AJ177" s="549"/>
    </row>
    <row r="178" spans="16:36" ht="16">
      <c r="P178" s="642">
        <v>45531</v>
      </c>
      <c r="Q178" s="643">
        <v>194.78</v>
      </c>
      <c r="R178" s="644">
        <v>6632500</v>
      </c>
      <c r="S178" s="549"/>
      <c r="T178" s="549"/>
      <c r="U178" s="549"/>
      <c r="V178" s="556"/>
      <c r="W178" s="573"/>
      <c r="X178" s="572"/>
      <c r="Y178" s="549"/>
      <c r="Z178" s="549"/>
      <c r="AA178" s="549"/>
      <c r="AB178" s="549"/>
      <c r="AC178" s="549"/>
      <c r="AD178" s="549"/>
      <c r="AE178" s="549"/>
      <c r="AF178" s="549"/>
      <c r="AG178" s="549"/>
      <c r="AH178" s="549"/>
      <c r="AI178" s="549"/>
      <c r="AJ178" s="549"/>
    </row>
    <row r="179" spans="16:36" ht="16">
      <c r="P179" s="642">
        <v>45530</v>
      </c>
      <c r="Q179" s="643">
        <v>200.67</v>
      </c>
      <c r="R179" s="644">
        <v>7333900</v>
      </c>
      <c r="S179" s="549"/>
      <c r="T179" s="549"/>
      <c r="U179" s="549"/>
      <c r="V179" s="556"/>
      <c r="W179" s="573"/>
      <c r="X179" s="572"/>
      <c r="Y179" s="549"/>
      <c r="Z179" s="549"/>
      <c r="AA179" s="549"/>
      <c r="AB179" s="549"/>
      <c r="AC179" s="549"/>
      <c r="AD179" s="549"/>
      <c r="AE179" s="549"/>
      <c r="AF179" s="549"/>
      <c r="AG179" s="549"/>
      <c r="AH179" s="549"/>
      <c r="AI179" s="549"/>
      <c r="AJ179" s="549"/>
    </row>
    <row r="180" spans="16:36" ht="16">
      <c r="P180" s="642">
        <v>45527</v>
      </c>
      <c r="Q180" s="643">
        <v>202.16</v>
      </c>
      <c r="R180" s="644">
        <v>5296400</v>
      </c>
      <c r="S180" s="549"/>
      <c r="T180" s="549"/>
      <c r="U180" s="549"/>
      <c r="V180" s="556"/>
      <c r="W180" s="573"/>
      <c r="X180" s="572"/>
      <c r="Y180" s="549"/>
      <c r="Z180" s="549"/>
      <c r="AA180" s="549"/>
      <c r="AB180" s="549"/>
      <c r="AC180" s="549"/>
      <c r="AD180" s="549"/>
      <c r="AE180" s="549"/>
      <c r="AF180" s="549"/>
      <c r="AG180" s="549"/>
      <c r="AH180" s="549"/>
      <c r="AI180" s="549"/>
      <c r="AJ180" s="549"/>
    </row>
    <row r="181" spans="16:36" ht="16">
      <c r="P181" s="642">
        <v>45526</v>
      </c>
      <c r="Q181" s="643">
        <v>208.63</v>
      </c>
      <c r="R181" s="644">
        <v>6621900</v>
      </c>
      <c r="S181" s="549"/>
      <c r="T181" s="549"/>
      <c r="U181" s="549"/>
      <c r="V181" s="556"/>
      <c r="W181" s="573"/>
      <c r="X181" s="572"/>
      <c r="Y181" s="549"/>
      <c r="Z181" s="549"/>
      <c r="AA181" s="549"/>
      <c r="AB181" s="549"/>
      <c r="AC181" s="549"/>
      <c r="AD181" s="549"/>
      <c r="AE181" s="549"/>
      <c r="AF181" s="549"/>
      <c r="AG181" s="549"/>
      <c r="AH181" s="549"/>
      <c r="AI181" s="549"/>
      <c r="AJ181" s="549"/>
    </row>
    <row r="182" spans="16:36" ht="16">
      <c r="P182" s="642">
        <v>45525</v>
      </c>
      <c r="Q182" s="643">
        <v>208.05</v>
      </c>
      <c r="R182" s="644">
        <v>4460500</v>
      </c>
      <c r="S182" s="549"/>
      <c r="T182" s="549"/>
      <c r="U182" s="549"/>
      <c r="V182" s="556"/>
      <c r="W182" s="573"/>
      <c r="X182" s="572"/>
      <c r="Y182" s="549"/>
      <c r="Z182" s="549"/>
      <c r="AA182" s="549"/>
      <c r="AB182" s="549"/>
      <c r="AC182" s="549"/>
      <c r="AD182" s="549"/>
      <c r="AE182" s="549"/>
      <c r="AF182" s="549"/>
      <c r="AG182" s="549"/>
      <c r="AH182" s="549"/>
      <c r="AI182" s="549"/>
      <c r="AJ182" s="549"/>
    </row>
    <row r="183" spans="16:36" ht="16">
      <c r="P183" s="642">
        <v>45524</v>
      </c>
      <c r="Q183" s="643">
        <v>209.29</v>
      </c>
      <c r="R183" s="644">
        <v>4860300</v>
      </c>
      <c r="S183" s="549"/>
      <c r="T183" s="549"/>
      <c r="U183" s="549"/>
      <c r="V183" s="556"/>
      <c r="W183" s="573"/>
      <c r="X183" s="572"/>
      <c r="Y183" s="549"/>
      <c r="Z183" s="549"/>
      <c r="AA183" s="549"/>
      <c r="AB183" s="549"/>
      <c r="AC183" s="549"/>
      <c r="AD183" s="549"/>
      <c r="AE183" s="549"/>
      <c r="AF183" s="549"/>
      <c r="AG183" s="549"/>
      <c r="AH183" s="549"/>
      <c r="AI183" s="549"/>
      <c r="AJ183" s="549"/>
    </row>
    <row r="184" spans="16:36" ht="16">
      <c r="P184" s="642">
        <v>45523</v>
      </c>
      <c r="Q184" s="643">
        <v>207</v>
      </c>
      <c r="R184" s="644">
        <v>5285400</v>
      </c>
      <c r="S184" s="549"/>
      <c r="T184" s="549"/>
      <c r="U184" s="549"/>
      <c r="V184" s="556"/>
      <c r="W184" s="573"/>
      <c r="X184" s="572"/>
      <c r="Y184" s="549"/>
      <c r="Z184" s="549"/>
      <c r="AA184" s="549"/>
      <c r="AB184" s="549"/>
      <c r="AC184" s="549"/>
      <c r="AD184" s="549"/>
      <c r="AE184" s="549"/>
      <c r="AF184" s="549"/>
      <c r="AG184" s="549"/>
      <c r="AH184" s="549"/>
      <c r="AI184" s="549"/>
      <c r="AJ184" s="549"/>
    </row>
    <row r="185" spans="16:36" ht="16">
      <c r="P185" s="642">
        <v>45520</v>
      </c>
      <c r="Q185" s="643">
        <v>204.95</v>
      </c>
      <c r="R185" s="644">
        <v>11644600</v>
      </c>
      <c r="S185" s="549"/>
      <c r="T185" s="549"/>
      <c r="U185" s="549"/>
      <c r="V185" s="556"/>
      <c r="W185" s="573"/>
      <c r="X185" s="572"/>
      <c r="Y185" s="549"/>
      <c r="Z185" s="549"/>
      <c r="AA185" s="549"/>
      <c r="AB185" s="549"/>
      <c r="AC185" s="549"/>
      <c r="AD185" s="549"/>
      <c r="AE185" s="549"/>
      <c r="AF185" s="549"/>
      <c r="AG185" s="549"/>
      <c r="AH185" s="549"/>
      <c r="AI185" s="549"/>
      <c r="AJ185" s="549"/>
    </row>
    <row r="186" spans="16:36" ht="16">
      <c r="P186" s="642">
        <v>45519</v>
      </c>
      <c r="Q186" s="643">
        <v>207.31</v>
      </c>
      <c r="R186" s="644">
        <v>12073500</v>
      </c>
      <c r="S186" s="549"/>
      <c r="T186" s="549"/>
      <c r="U186" s="549"/>
      <c r="V186" s="556"/>
      <c r="W186" s="573"/>
      <c r="X186" s="572"/>
      <c r="Y186" s="549"/>
      <c r="Z186" s="549"/>
      <c r="AA186" s="549"/>
      <c r="AB186" s="549"/>
      <c r="AC186" s="549"/>
      <c r="AD186" s="549"/>
      <c r="AE186" s="549"/>
      <c r="AF186" s="549"/>
      <c r="AG186" s="549"/>
      <c r="AH186" s="549"/>
      <c r="AI186" s="549"/>
      <c r="AJ186" s="549"/>
    </row>
    <row r="187" spans="16:36" ht="16">
      <c r="P187" s="642">
        <v>45518</v>
      </c>
      <c r="Q187" s="643">
        <v>202.69</v>
      </c>
      <c r="R187" s="644">
        <v>5377900</v>
      </c>
      <c r="S187" s="549"/>
      <c r="T187" s="549"/>
      <c r="U187" s="549"/>
      <c r="V187" s="556"/>
      <c r="W187" s="573"/>
      <c r="X187" s="572"/>
      <c r="Y187" s="549"/>
      <c r="Z187" s="549"/>
      <c r="AA187" s="549"/>
      <c r="AB187" s="549"/>
      <c r="AC187" s="549"/>
      <c r="AD187" s="549"/>
      <c r="AE187" s="549"/>
      <c r="AF187" s="549"/>
      <c r="AG187" s="549"/>
      <c r="AH187" s="549"/>
      <c r="AI187" s="549"/>
      <c r="AJ187" s="549"/>
    </row>
    <row r="188" spans="16:36" ht="16">
      <c r="P188" s="642">
        <v>45517</v>
      </c>
      <c r="Q188" s="643">
        <v>196.44</v>
      </c>
      <c r="R188" s="644">
        <v>6198900</v>
      </c>
      <c r="S188" s="549"/>
      <c r="T188" s="549"/>
      <c r="U188" s="549"/>
      <c r="V188" s="556"/>
      <c r="W188" s="573"/>
      <c r="X188" s="572"/>
      <c r="Y188" s="549"/>
      <c r="Z188" s="549"/>
      <c r="AA188" s="549"/>
      <c r="AB188" s="549"/>
      <c r="AC188" s="549"/>
      <c r="AD188" s="549"/>
      <c r="AE188" s="549"/>
      <c r="AF188" s="549"/>
      <c r="AG188" s="549"/>
      <c r="AH188" s="549"/>
      <c r="AI188" s="549"/>
      <c r="AJ188" s="549"/>
    </row>
    <row r="189" spans="16:36" ht="16">
      <c r="P189" s="642">
        <v>45516</v>
      </c>
      <c r="Q189" s="643">
        <v>191.5</v>
      </c>
      <c r="R189" s="644">
        <v>5568100</v>
      </c>
      <c r="S189" s="549"/>
      <c r="T189" s="549"/>
      <c r="U189" s="549"/>
      <c r="V189" s="556"/>
      <c r="W189" s="573"/>
      <c r="X189" s="572"/>
      <c r="Y189" s="549"/>
      <c r="Z189" s="549"/>
      <c r="AA189" s="549"/>
      <c r="AB189" s="549"/>
      <c r="AC189" s="549"/>
      <c r="AD189" s="549"/>
      <c r="AE189" s="549"/>
      <c r="AF189" s="549"/>
      <c r="AG189" s="549"/>
      <c r="AH189" s="549"/>
      <c r="AI189" s="549"/>
      <c r="AJ189" s="549"/>
    </row>
    <row r="190" spans="16:36" ht="16">
      <c r="P190" s="642">
        <v>45513</v>
      </c>
      <c r="Q190" s="643">
        <v>190.01</v>
      </c>
      <c r="R190" s="644">
        <v>5050800</v>
      </c>
      <c r="S190" s="549"/>
      <c r="T190" s="549"/>
      <c r="U190" s="549"/>
      <c r="V190" s="556"/>
      <c r="W190" s="573"/>
      <c r="X190" s="572"/>
      <c r="Y190" s="549"/>
      <c r="Z190" s="549"/>
      <c r="AA190" s="549"/>
      <c r="AB190" s="549"/>
      <c r="AC190" s="549"/>
      <c r="AD190" s="549"/>
      <c r="AE190" s="549"/>
      <c r="AF190" s="549"/>
      <c r="AG190" s="549"/>
      <c r="AH190" s="549"/>
      <c r="AI190" s="549"/>
      <c r="AJ190" s="549"/>
    </row>
    <row r="191" spans="16:36" ht="16">
      <c r="P191" s="642">
        <v>45512</v>
      </c>
      <c r="Q191" s="643">
        <v>185.26</v>
      </c>
      <c r="R191" s="644">
        <v>8637100</v>
      </c>
      <c r="S191" s="549"/>
      <c r="T191" s="549"/>
      <c r="U191" s="549"/>
      <c r="V191" s="556"/>
      <c r="W191" s="573"/>
      <c r="X191" s="572"/>
      <c r="Y191" s="549"/>
      <c r="Z191" s="549"/>
      <c r="AA191" s="549"/>
      <c r="AB191" s="549"/>
      <c r="AC191" s="549"/>
      <c r="AD191" s="549"/>
      <c r="AE191" s="549"/>
      <c r="AF191" s="549"/>
      <c r="AG191" s="549"/>
      <c r="AH191" s="549"/>
      <c r="AI191" s="549"/>
      <c r="AJ191" s="549"/>
    </row>
    <row r="192" spans="16:36" ht="16">
      <c r="P192" s="642">
        <v>45511</v>
      </c>
      <c r="Q192" s="643">
        <v>190</v>
      </c>
      <c r="R192" s="644">
        <v>6652100</v>
      </c>
      <c r="S192" s="549"/>
      <c r="T192" s="549"/>
      <c r="U192" s="549"/>
      <c r="V192" s="556"/>
      <c r="W192" s="573"/>
      <c r="X192" s="572"/>
      <c r="Y192" s="549"/>
      <c r="Z192" s="549"/>
      <c r="AA192" s="549"/>
      <c r="AB192" s="549"/>
      <c r="AC192" s="549"/>
      <c r="AD192" s="549"/>
      <c r="AE192" s="549"/>
      <c r="AF192" s="549"/>
      <c r="AG192" s="549"/>
      <c r="AH192" s="549"/>
      <c r="AI192" s="549"/>
      <c r="AJ192" s="549"/>
    </row>
    <row r="193" spans="16:36" ht="16">
      <c r="P193" s="642">
        <v>45510</v>
      </c>
      <c r="Q193" s="643">
        <v>183.32</v>
      </c>
      <c r="R193" s="644">
        <v>5803900</v>
      </c>
      <c r="S193" s="549"/>
      <c r="T193" s="549"/>
      <c r="U193" s="549"/>
      <c r="V193" s="556"/>
      <c r="W193" s="573"/>
      <c r="X193" s="572"/>
      <c r="Y193" s="549"/>
      <c r="Z193" s="549"/>
      <c r="AA193" s="549"/>
      <c r="AB193" s="549"/>
      <c r="AC193" s="549"/>
      <c r="AD193" s="549"/>
      <c r="AE193" s="549"/>
      <c r="AF193" s="549"/>
      <c r="AG193" s="549"/>
      <c r="AH193" s="549"/>
      <c r="AI193" s="549"/>
      <c r="AJ193" s="549"/>
    </row>
    <row r="194" spans="16:36" ht="16">
      <c r="P194" s="642">
        <v>45509</v>
      </c>
      <c r="Q194" s="643">
        <v>175.16</v>
      </c>
      <c r="R194" s="644">
        <v>10079100</v>
      </c>
      <c r="S194" s="549"/>
      <c r="T194" s="549"/>
      <c r="U194" s="549"/>
      <c r="V194" s="556"/>
      <c r="W194" s="573"/>
      <c r="X194" s="572"/>
      <c r="Y194" s="549"/>
      <c r="Z194" s="549"/>
      <c r="AA194" s="549"/>
      <c r="AB194" s="549"/>
      <c r="AC194" s="549"/>
      <c r="AD194" s="549"/>
      <c r="AE194" s="549"/>
      <c r="AF194" s="549"/>
      <c r="AG194" s="549"/>
      <c r="AH194" s="549"/>
      <c r="AI194" s="549"/>
      <c r="AJ194" s="549"/>
    </row>
    <row r="195" spans="16:36" ht="16">
      <c r="P195" s="642">
        <v>45506</v>
      </c>
      <c r="Q195" s="643">
        <v>187.87</v>
      </c>
      <c r="R195" s="644">
        <v>12991600</v>
      </c>
      <c r="S195" s="549"/>
      <c r="T195" s="549"/>
      <c r="U195" s="549"/>
      <c r="V195" s="556"/>
      <c r="W195" s="573"/>
      <c r="X195" s="572"/>
      <c r="Y195" s="549"/>
      <c r="Z195" s="549"/>
      <c r="AA195" s="549"/>
      <c r="AB195" s="549"/>
      <c r="AC195" s="549"/>
      <c r="AD195" s="549"/>
      <c r="AE195" s="549"/>
      <c r="AF195" s="549"/>
      <c r="AG195" s="549"/>
      <c r="AH195" s="549"/>
      <c r="AI195" s="549"/>
      <c r="AJ195" s="549"/>
    </row>
    <row r="196" spans="16:36" ht="16">
      <c r="P196" s="642">
        <v>45505</v>
      </c>
      <c r="Q196" s="643">
        <v>204.13</v>
      </c>
      <c r="R196" s="644">
        <v>11268300</v>
      </c>
      <c r="S196" s="549"/>
      <c r="T196" s="549"/>
      <c r="U196" s="549"/>
      <c r="V196" s="556"/>
      <c r="W196" s="573"/>
      <c r="X196" s="572"/>
      <c r="Y196" s="549"/>
      <c r="Z196" s="549"/>
      <c r="AA196" s="549"/>
      <c r="AB196" s="549"/>
      <c r="AC196" s="549"/>
      <c r="AD196" s="549"/>
      <c r="AE196" s="549"/>
      <c r="AF196" s="549"/>
      <c r="AG196" s="549"/>
      <c r="AH196" s="549"/>
      <c r="AI196" s="549"/>
      <c r="AJ196" s="549"/>
    </row>
    <row r="197" spans="16:36" ht="16">
      <c r="P197" s="642">
        <v>45504</v>
      </c>
      <c r="Q197" s="643">
        <v>206.1</v>
      </c>
      <c r="R197" s="644">
        <v>11123700</v>
      </c>
      <c r="S197" s="549"/>
      <c r="T197" s="549"/>
      <c r="U197" s="549"/>
      <c r="V197" s="556"/>
      <c r="W197" s="573"/>
      <c r="X197" s="572"/>
      <c r="Y197" s="549"/>
      <c r="Z197" s="549"/>
      <c r="AA197" s="549"/>
      <c r="AB197" s="549"/>
      <c r="AC197" s="549"/>
      <c r="AD197" s="549"/>
      <c r="AE197" s="549"/>
      <c r="AF197" s="549"/>
      <c r="AG197" s="549"/>
      <c r="AH197" s="549"/>
      <c r="AI197" s="549"/>
      <c r="AJ197" s="549"/>
    </row>
    <row r="198" spans="16:36" ht="16">
      <c r="P198" s="642">
        <v>45503</v>
      </c>
      <c r="Q198" s="643">
        <v>208.26</v>
      </c>
      <c r="R198" s="644">
        <v>7652600</v>
      </c>
      <c r="S198" s="549"/>
      <c r="T198" s="549"/>
      <c r="U198" s="549"/>
      <c r="V198" s="556"/>
      <c r="W198" s="573"/>
      <c r="X198" s="572"/>
      <c r="Y198" s="549"/>
      <c r="Z198" s="549"/>
      <c r="AA198" s="549"/>
      <c r="AB198" s="549"/>
      <c r="AC198" s="549"/>
      <c r="AD198" s="549"/>
      <c r="AE198" s="549"/>
      <c r="AF198" s="549"/>
      <c r="AG198" s="549"/>
      <c r="AH198" s="549"/>
      <c r="AI198" s="549"/>
      <c r="AJ198" s="549"/>
    </row>
    <row r="199" spans="16:36" ht="16">
      <c r="P199" s="642">
        <v>45502</v>
      </c>
      <c r="Q199" s="643">
        <v>208.3</v>
      </c>
      <c r="R199" s="644">
        <v>4199200</v>
      </c>
      <c r="S199" s="549"/>
      <c r="T199" s="549"/>
      <c r="U199" s="549"/>
      <c r="V199" s="556"/>
      <c r="W199" s="573"/>
      <c r="X199" s="572"/>
      <c r="Y199" s="549"/>
      <c r="Z199" s="549"/>
      <c r="AA199" s="549"/>
      <c r="AB199" s="549"/>
      <c r="AC199" s="549"/>
      <c r="AD199" s="549"/>
      <c r="AE199" s="549"/>
      <c r="AF199" s="549"/>
      <c r="AG199" s="549"/>
      <c r="AH199" s="549"/>
      <c r="AI199" s="549"/>
      <c r="AJ199" s="549"/>
    </row>
    <row r="200" spans="16:36" ht="16">
      <c r="P200" s="642">
        <v>45499</v>
      </c>
      <c r="Q200" s="643">
        <v>206.99</v>
      </c>
      <c r="R200" s="644">
        <v>5209000</v>
      </c>
      <c r="S200" s="549"/>
      <c r="T200" s="549"/>
      <c r="U200" s="549"/>
      <c r="V200" s="556"/>
      <c r="W200" s="573"/>
      <c r="X200" s="572"/>
      <c r="Y200" s="549"/>
      <c r="Z200" s="549"/>
      <c r="AA200" s="549"/>
      <c r="AB200" s="549"/>
      <c r="AC200" s="549"/>
      <c r="AD200" s="549"/>
      <c r="AE200" s="549"/>
      <c r="AF200" s="549"/>
      <c r="AG200" s="549"/>
      <c r="AH200" s="549"/>
      <c r="AI200" s="549"/>
      <c r="AJ200" s="549"/>
    </row>
    <row r="201" spans="16:36" ht="16">
      <c r="P201" s="642">
        <v>45498</v>
      </c>
      <c r="Q201" s="643">
        <v>207.15</v>
      </c>
      <c r="R201" s="644">
        <v>9961400</v>
      </c>
      <c r="S201" s="549"/>
      <c r="T201" s="549"/>
      <c r="U201" s="549"/>
      <c r="V201" s="556"/>
      <c r="W201" s="573"/>
      <c r="X201" s="572"/>
      <c r="Y201" s="549"/>
      <c r="Z201" s="549"/>
      <c r="AA201" s="549"/>
      <c r="AB201" s="549"/>
      <c r="AC201" s="549"/>
      <c r="AD201" s="549"/>
      <c r="AE201" s="549"/>
      <c r="AF201" s="549"/>
      <c r="AG201" s="549"/>
      <c r="AH201" s="549"/>
      <c r="AI201" s="549"/>
      <c r="AJ201" s="549"/>
    </row>
    <row r="202" spans="16:36" ht="16">
      <c r="P202" s="642">
        <v>45497</v>
      </c>
      <c r="Q202" s="643">
        <v>217.37</v>
      </c>
      <c r="R202" s="644">
        <v>9263400</v>
      </c>
      <c r="S202" s="549"/>
      <c r="T202" s="549"/>
      <c r="U202" s="549"/>
      <c r="V202" s="556"/>
      <c r="W202" s="573"/>
      <c r="X202" s="572"/>
      <c r="Y202" s="549"/>
      <c r="Z202" s="549"/>
      <c r="AA202" s="549"/>
      <c r="AB202" s="549"/>
      <c r="AC202" s="549"/>
      <c r="AD202" s="549"/>
      <c r="AE202" s="549"/>
      <c r="AF202" s="549"/>
      <c r="AG202" s="549"/>
      <c r="AH202" s="549"/>
      <c r="AI202" s="549"/>
      <c r="AJ202" s="549"/>
    </row>
    <row r="203" spans="16:36" ht="16">
      <c r="P203" s="642">
        <v>45496</v>
      </c>
      <c r="Q203" s="643">
        <v>220.45</v>
      </c>
      <c r="R203" s="644">
        <v>3635300</v>
      </c>
      <c r="S203" s="549"/>
      <c r="T203" s="549"/>
      <c r="U203" s="549"/>
      <c r="V203" s="556"/>
      <c r="W203" s="573"/>
      <c r="X203" s="572"/>
      <c r="Y203" s="549"/>
      <c r="Z203" s="549"/>
      <c r="AA203" s="549"/>
      <c r="AB203" s="549"/>
      <c r="AC203" s="549"/>
      <c r="AD203" s="549"/>
      <c r="AE203" s="549"/>
      <c r="AF203" s="549"/>
      <c r="AG203" s="549"/>
      <c r="AH203" s="549"/>
      <c r="AI203" s="549"/>
      <c r="AJ203" s="549"/>
    </row>
    <row r="204" spans="16:36" ht="16">
      <c r="P204" s="642">
        <v>45495</v>
      </c>
      <c r="Q204" s="643">
        <v>216.23</v>
      </c>
      <c r="R204" s="644">
        <v>7515600</v>
      </c>
      <c r="S204" s="549"/>
      <c r="T204" s="549"/>
      <c r="U204" s="549"/>
      <c r="V204" s="556"/>
      <c r="W204" s="573"/>
      <c r="X204" s="572"/>
      <c r="Y204" s="549"/>
      <c r="Z204" s="549"/>
      <c r="AA204" s="549"/>
      <c r="AB204" s="549"/>
      <c r="AC204" s="549"/>
      <c r="AD204" s="549"/>
      <c r="AE204" s="549"/>
      <c r="AF204" s="549"/>
      <c r="AG204" s="549"/>
      <c r="AH204" s="549"/>
      <c r="AI204" s="549"/>
      <c r="AJ204" s="549"/>
    </row>
    <row r="205" spans="16:36" ht="16">
      <c r="P205" s="642">
        <v>45492</v>
      </c>
      <c r="Q205" s="643">
        <v>217.5</v>
      </c>
      <c r="R205" s="644">
        <v>6517100</v>
      </c>
      <c r="S205" s="549"/>
      <c r="T205" s="549"/>
      <c r="U205" s="549"/>
      <c r="V205" s="556"/>
      <c r="W205" s="573"/>
      <c r="X205" s="572"/>
      <c r="Y205" s="549"/>
      <c r="Z205" s="549"/>
      <c r="AA205" s="549"/>
      <c r="AB205" s="549"/>
      <c r="AC205" s="549"/>
      <c r="AD205" s="549"/>
      <c r="AE205" s="549"/>
      <c r="AF205" s="549"/>
      <c r="AG205" s="549"/>
      <c r="AH205" s="549"/>
      <c r="AI205" s="549"/>
      <c r="AJ205" s="549"/>
    </row>
    <row r="206" spans="16:36" ht="16">
      <c r="P206" s="642">
        <v>45491</v>
      </c>
      <c r="Q206" s="643">
        <v>222.15</v>
      </c>
      <c r="R206" s="644">
        <v>7715800</v>
      </c>
      <c r="S206" s="549"/>
      <c r="T206" s="549"/>
      <c r="U206" s="549"/>
      <c r="V206" s="556"/>
      <c r="W206" s="573"/>
      <c r="X206" s="572"/>
      <c r="Y206" s="549"/>
      <c r="Z206" s="549"/>
      <c r="AA206" s="549"/>
      <c r="AB206" s="549"/>
      <c r="AC206" s="549"/>
      <c r="AD206" s="549"/>
      <c r="AE206" s="549"/>
      <c r="AF206" s="549"/>
      <c r="AG206" s="549"/>
      <c r="AH206" s="549"/>
      <c r="AI206" s="549"/>
      <c r="AJ206" s="549"/>
    </row>
    <row r="207" spans="16:36" ht="16">
      <c r="P207" s="642">
        <v>45490</v>
      </c>
      <c r="Q207" s="643">
        <v>231.24</v>
      </c>
      <c r="R207" s="644">
        <v>10538900</v>
      </c>
      <c r="S207" s="549"/>
      <c r="T207" s="549"/>
      <c r="U207" s="549"/>
      <c r="V207" s="556"/>
      <c r="W207" s="573"/>
      <c r="X207" s="572"/>
      <c r="Y207" s="549"/>
      <c r="Z207" s="549"/>
      <c r="AA207" s="549"/>
      <c r="AB207" s="549"/>
      <c r="AC207" s="549"/>
      <c r="AD207" s="549"/>
      <c r="AE207" s="549"/>
      <c r="AF207" s="549"/>
      <c r="AG207" s="549"/>
      <c r="AH207" s="549"/>
      <c r="AI207" s="549"/>
      <c r="AJ207" s="549"/>
    </row>
    <row r="208" spans="16:36" ht="16">
      <c r="P208" s="642">
        <v>45489</v>
      </c>
      <c r="Q208" s="643">
        <v>246.96</v>
      </c>
      <c r="R208" s="644">
        <v>4124800</v>
      </c>
      <c r="S208" s="549"/>
      <c r="T208" s="549"/>
      <c r="U208" s="549"/>
      <c r="V208" s="556"/>
      <c r="W208" s="573"/>
      <c r="X208" s="572"/>
      <c r="Y208" s="549"/>
      <c r="Z208" s="549"/>
      <c r="AA208" s="549"/>
      <c r="AB208" s="549"/>
      <c r="AC208" s="549"/>
      <c r="AD208" s="549"/>
      <c r="AE208" s="549"/>
      <c r="AF208" s="549"/>
      <c r="AG208" s="549"/>
      <c r="AH208" s="549"/>
      <c r="AI208" s="549"/>
      <c r="AJ208" s="549"/>
    </row>
    <row r="209" spans="16:36" ht="16">
      <c r="P209" s="642">
        <v>45488</v>
      </c>
      <c r="Q209" s="643">
        <v>244.52</v>
      </c>
      <c r="R209" s="644">
        <v>3674300</v>
      </c>
      <c r="S209" s="549"/>
      <c r="T209" s="549"/>
      <c r="U209" s="549"/>
      <c r="V209" s="556"/>
      <c r="W209" s="573"/>
      <c r="X209" s="572"/>
      <c r="Y209" s="549"/>
      <c r="Z209" s="549"/>
      <c r="AA209" s="549"/>
      <c r="AB209" s="549"/>
      <c r="AC209" s="549"/>
      <c r="AD209" s="549"/>
      <c r="AE209" s="549"/>
      <c r="AF209" s="549"/>
      <c r="AG209" s="549"/>
      <c r="AH209" s="549"/>
      <c r="AI209" s="549"/>
      <c r="AJ209" s="549"/>
    </row>
    <row r="210" spans="16:36" ht="16">
      <c r="P210" s="642">
        <v>45485</v>
      </c>
      <c r="Q210" s="643">
        <v>241.61</v>
      </c>
      <c r="R210" s="644">
        <v>5396300</v>
      </c>
      <c r="S210" s="549"/>
      <c r="T210" s="549"/>
      <c r="U210" s="549"/>
      <c r="V210" s="556"/>
      <c r="W210" s="573"/>
      <c r="X210" s="572"/>
      <c r="Y210" s="549"/>
      <c r="Z210" s="549"/>
      <c r="AA210" s="549"/>
      <c r="AB210" s="549"/>
      <c r="AC210" s="549"/>
      <c r="AD210" s="549"/>
      <c r="AE210" s="549"/>
      <c r="AF210" s="549"/>
      <c r="AG210" s="549"/>
      <c r="AH210" s="549"/>
      <c r="AI210" s="549"/>
      <c r="AJ210" s="549"/>
    </row>
    <row r="211" spans="16:36" ht="16">
      <c r="P211" s="642">
        <v>45484</v>
      </c>
      <c r="Q211" s="643">
        <v>255.57</v>
      </c>
      <c r="R211" s="644">
        <v>5623800</v>
      </c>
      <c r="S211" s="549"/>
      <c r="T211" s="549"/>
      <c r="U211" s="549"/>
      <c r="V211" s="556"/>
      <c r="W211" s="573"/>
      <c r="X211" s="572"/>
      <c r="Y211" s="549"/>
      <c r="Z211" s="549"/>
      <c r="AA211" s="549"/>
      <c r="AB211" s="549"/>
      <c r="AC211" s="549"/>
      <c r="AD211" s="549"/>
      <c r="AE211" s="549"/>
      <c r="AF211" s="549"/>
      <c r="AG211" s="549"/>
      <c r="AH211" s="549"/>
      <c r="AI211" s="549"/>
      <c r="AJ211" s="549"/>
    </row>
    <row r="212" spans="16:36" ht="16">
      <c r="P212" s="642">
        <v>45483</v>
      </c>
      <c r="Q212" s="643">
        <v>253</v>
      </c>
      <c r="R212" s="644">
        <v>4258100</v>
      </c>
      <c r="S212" s="549"/>
      <c r="T212" s="549"/>
      <c r="U212" s="549"/>
      <c r="V212" s="556"/>
      <c r="W212" s="573"/>
      <c r="X212" s="572"/>
      <c r="Y212" s="549"/>
      <c r="Z212" s="549"/>
      <c r="AA212" s="549"/>
      <c r="AB212" s="549"/>
      <c r="AC212" s="549"/>
      <c r="AD212" s="549"/>
      <c r="AE212" s="549"/>
      <c r="AF212" s="549"/>
      <c r="AG212" s="549"/>
      <c r="AH212" s="549"/>
      <c r="AI212" s="549"/>
      <c r="AJ212" s="549"/>
    </row>
    <row r="213" spans="16:36" ht="16">
      <c r="P213" s="642">
        <v>45482</v>
      </c>
      <c r="Q213" s="643">
        <v>248</v>
      </c>
      <c r="R213" s="644">
        <v>4889900</v>
      </c>
      <c r="S213" s="549"/>
      <c r="T213" s="549"/>
      <c r="U213" s="549"/>
      <c r="V213" s="556"/>
      <c r="W213" s="573"/>
      <c r="X213" s="572"/>
      <c r="Y213" s="549"/>
      <c r="Z213" s="549"/>
      <c r="AA213" s="549"/>
      <c r="AB213" s="549"/>
      <c r="AC213" s="549"/>
      <c r="AD213" s="549"/>
      <c r="AE213" s="549"/>
      <c r="AF213" s="549"/>
      <c r="AG213" s="549"/>
      <c r="AH213" s="549"/>
      <c r="AI213" s="549"/>
      <c r="AJ213" s="549"/>
    </row>
    <row r="214" spans="16:36" ht="16">
      <c r="P214" s="642">
        <v>45481</v>
      </c>
      <c r="Q214" s="643">
        <v>243.11</v>
      </c>
      <c r="R214" s="644">
        <v>3782100</v>
      </c>
      <c r="S214" s="549"/>
      <c r="T214" s="549"/>
      <c r="U214" s="549"/>
      <c r="V214" s="556"/>
      <c r="W214" s="573"/>
      <c r="X214" s="572"/>
      <c r="Y214" s="549"/>
      <c r="Z214" s="549"/>
      <c r="AA214" s="549"/>
      <c r="AB214" s="549"/>
      <c r="AC214" s="549"/>
      <c r="AD214" s="549"/>
      <c r="AE214" s="549"/>
      <c r="AF214" s="549"/>
      <c r="AG214" s="549"/>
      <c r="AH214" s="549"/>
      <c r="AI214" s="549"/>
      <c r="AJ214" s="549"/>
    </row>
    <row r="215" spans="16:36" ht="16">
      <c r="P215" s="642">
        <v>45478</v>
      </c>
      <c r="Q215" s="643">
        <v>244.69</v>
      </c>
      <c r="R215" s="644">
        <v>4076200</v>
      </c>
      <c r="S215" s="549"/>
      <c r="T215" s="549"/>
      <c r="U215" s="549"/>
      <c r="V215" s="556"/>
      <c r="W215" s="573"/>
      <c r="X215" s="572"/>
      <c r="Y215" s="549"/>
      <c r="Z215" s="549"/>
      <c r="AA215" s="549"/>
      <c r="AB215" s="549"/>
      <c r="AC215" s="549"/>
      <c r="AD215" s="549"/>
      <c r="AE215" s="549"/>
      <c r="AF215" s="549"/>
      <c r="AG215" s="549"/>
      <c r="AH215" s="549"/>
      <c r="AI215" s="549"/>
      <c r="AJ215" s="549"/>
    </row>
    <row r="216" spans="16:36" ht="16">
      <c r="P216" s="642">
        <v>45476</v>
      </c>
      <c r="Q216" s="643">
        <v>241.64</v>
      </c>
      <c r="R216" s="644">
        <v>2768800</v>
      </c>
      <c r="S216" s="549"/>
      <c r="T216" s="549"/>
      <c r="U216" s="549"/>
      <c r="V216" s="556"/>
      <c r="W216" s="573"/>
      <c r="X216" s="572"/>
      <c r="Y216" s="549"/>
      <c r="Z216" s="549"/>
      <c r="AA216" s="549"/>
      <c r="AB216" s="549"/>
      <c r="AC216" s="549"/>
      <c r="AD216" s="549"/>
      <c r="AE216" s="549"/>
      <c r="AF216" s="549"/>
      <c r="AG216" s="549"/>
      <c r="AH216" s="549"/>
      <c r="AI216" s="549"/>
      <c r="AJ216" s="549"/>
    </row>
    <row r="217" spans="16:36" ht="16">
      <c r="P217" s="642">
        <v>45475</v>
      </c>
      <c r="Q217" s="643">
        <v>235.02</v>
      </c>
      <c r="R217" s="644">
        <v>3510600</v>
      </c>
      <c r="S217" s="549"/>
      <c r="T217" s="549"/>
      <c r="U217" s="549"/>
      <c r="V217" s="556"/>
      <c r="W217" s="573"/>
      <c r="X217" s="572"/>
      <c r="Y217" s="549"/>
      <c r="Z217" s="549"/>
      <c r="AA217" s="549"/>
      <c r="AB217" s="549"/>
      <c r="AC217" s="549"/>
      <c r="AD217" s="549"/>
      <c r="AE217" s="549"/>
      <c r="AF217" s="549"/>
      <c r="AG217" s="549"/>
      <c r="AH217" s="549"/>
      <c r="AI217" s="549"/>
      <c r="AJ217" s="549"/>
    </row>
    <row r="218" spans="16:36" ht="16">
      <c r="P218" s="642">
        <v>45474</v>
      </c>
      <c r="Q218" s="643">
        <v>236.86</v>
      </c>
      <c r="R218" s="644">
        <v>4239600</v>
      </c>
      <c r="S218" s="549"/>
      <c r="T218" s="549"/>
      <c r="U218" s="549"/>
      <c r="V218" s="556"/>
      <c r="W218" s="573"/>
      <c r="X218" s="572"/>
      <c r="Y218" s="549"/>
      <c r="Z218" s="549"/>
      <c r="AA218" s="549"/>
      <c r="AB218" s="549"/>
      <c r="AC218" s="549"/>
      <c r="AD218" s="549"/>
      <c r="AE218" s="549"/>
      <c r="AF218" s="549"/>
      <c r="AG218" s="549"/>
      <c r="AH218" s="549"/>
      <c r="AI218" s="549"/>
      <c r="AJ218" s="549"/>
    </row>
    <row r="219" spans="16:36" ht="16">
      <c r="P219" s="642">
        <v>45471</v>
      </c>
      <c r="Q219" s="643">
        <v>235.35</v>
      </c>
      <c r="R219" s="644">
        <v>6387400</v>
      </c>
      <c r="S219" s="549"/>
      <c r="T219" s="549"/>
      <c r="U219" s="549"/>
      <c r="V219" s="556"/>
      <c r="W219" s="573"/>
      <c r="X219" s="572"/>
      <c r="Y219" s="549"/>
      <c r="Z219" s="549"/>
      <c r="AA219" s="549"/>
      <c r="AB219" s="549"/>
      <c r="AC219" s="549"/>
      <c r="AD219" s="549"/>
      <c r="AE219" s="549"/>
      <c r="AF219" s="549"/>
      <c r="AG219" s="549"/>
      <c r="AH219" s="549"/>
      <c r="AI219" s="549"/>
      <c r="AJ219" s="549"/>
    </row>
    <row r="220" spans="16:36" ht="16">
      <c r="P220" s="642">
        <v>45470</v>
      </c>
      <c r="Q220" s="643">
        <v>237.5</v>
      </c>
      <c r="R220" s="644">
        <v>4309600</v>
      </c>
      <c r="S220" s="549"/>
      <c r="T220" s="549"/>
      <c r="U220" s="549"/>
      <c r="V220" s="556"/>
      <c r="W220" s="573"/>
      <c r="X220" s="572"/>
      <c r="Y220" s="549"/>
      <c r="Z220" s="549"/>
      <c r="AA220" s="549"/>
      <c r="AB220" s="549"/>
      <c r="AC220" s="549"/>
      <c r="AD220" s="549"/>
      <c r="AE220" s="549"/>
      <c r="AF220" s="549"/>
      <c r="AG220" s="549"/>
      <c r="AH220" s="549"/>
      <c r="AI220" s="549"/>
      <c r="AJ220" s="549"/>
    </row>
    <row r="221" spans="16:36" ht="16">
      <c r="P221" s="642">
        <v>45469</v>
      </c>
      <c r="Q221" s="643">
        <v>235</v>
      </c>
      <c r="R221" s="644">
        <v>4818700</v>
      </c>
      <c r="S221" s="549"/>
      <c r="T221" s="549"/>
      <c r="U221" s="549"/>
      <c r="V221" s="556"/>
      <c r="W221" s="573"/>
      <c r="X221" s="572"/>
      <c r="Y221" s="549"/>
      <c r="Z221" s="549"/>
      <c r="AA221" s="549"/>
      <c r="AB221" s="549"/>
      <c r="AC221" s="549"/>
      <c r="AD221" s="549"/>
      <c r="AE221" s="549"/>
      <c r="AF221" s="549"/>
      <c r="AG221" s="549"/>
      <c r="AH221" s="549"/>
      <c r="AI221" s="549"/>
      <c r="AJ221" s="549"/>
    </row>
    <row r="222" spans="16:36" ht="16">
      <c r="P222" s="642">
        <v>45468</v>
      </c>
      <c r="Q222" s="643">
        <v>231.04</v>
      </c>
      <c r="R222" s="644">
        <v>4779000</v>
      </c>
      <c r="S222" s="549"/>
      <c r="T222" s="549"/>
      <c r="U222" s="549"/>
      <c r="V222" s="556"/>
      <c r="W222" s="573"/>
      <c r="X222" s="572"/>
      <c r="Y222" s="549"/>
      <c r="Z222" s="549"/>
      <c r="AA222" s="549"/>
      <c r="AB222" s="549"/>
      <c r="AC222" s="549"/>
      <c r="AD222" s="549"/>
      <c r="AE222" s="549"/>
      <c r="AF222" s="549"/>
      <c r="AG222" s="549"/>
      <c r="AH222" s="549"/>
      <c r="AI222" s="549"/>
      <c r="AJ222" s="549"/>
    </row>
    <row r="223" spans="16:36" ht="16">
      <c r="P223" s="642">
        <v>45467</v>
      </c>
      <c r="Q223" s="643">
        <v>233</v>
      </c>
      <c r="R223" s="644">
        <v>5928700</v>
      </c>
      <c r="S223" s="549"/>
      <c r="T223" s="549"/>
      <c r="U223" s="549"/>
      <c r="V223" s="556"/>
      <c r="W223" s="573"/>
      <c r="X223" s="572"/>
      <c r="Y223" s="549"/>
      <c r="Z223" s="549"/>
      <c r="AA223" s="549"/>
      <c r="AB223" s="549"/>
      <c r="AC223" s="549"/>
      <c r="AD223" s="549"/>
      <c r="AE223" s="549"/>
      <c r="AF223" s="549"/>
      <c r="AG223" s="549"/>
      <c r="AH223" s="549"/>
      <c r="AI223" s="549"/>
      <c r="AJ223" s="549"/>
    </row>
    <row r="224" spans="16:36" ht="16">
      <c r="P224" s="642">
        <v>45464</v>
      </c>
      <c r="Q224" s="643">
        <v>238.32</v>
      </c>
      <c r="R224" s="644">
        <v>15389100</v>
      </c>
      <c r="S224" s="549"/>
      <c r="T224" s="549"/>
      <c r="U224" s="549"/>
      <c r="V224" s="556"/>
      <c r="W224" s="573"/>
      <c r="X224" s="572"/>
      <c r="Y224" s="549"/>
      <c r="Z224" s="549"/>
      <c r="AA224" s="549"/>
      <c r="AB224" s="549"/>
      <c r="AC224" s="549"/>
      <c r="AD224" s="549"/>
      <c r="AE224" s="549"/>
      <c r="AF224" s="549"/>
      <c r="AG224" s="549"/>
      <c r="AH224" s="549"/>
      <c r="AI224" s="549"/>
      <c r="AJ224" s="549"/>
    </row>
    <row r="225" spans="16:36" ht="16">
      <c r="P225" s="642">
        <v>45463</v>
      </c>
      <c r="Q225" s="643">
        <v>247</v>
      </c>
      <c r="R225" s="644">
        <v>7045000</v>
      </c>
      <c r="S225" s="549"/>
      <c r="T225" s="549"/>
      <c r="U225" s="549"/>
      <c r="V225" s="556"/>
      <c r="W225" s="573"/>
      <c r="X225" s="572"/>
      <c r="Y225" s="549"/>
      <c r="Z225" s="549"/>
      <c r="AA225" s="549"/>
      <c r="AB225" s="549"/>
      <c r="AC225" s="549"/>
      <c r="AD225" s="549"/>
      <c r="AE225" s="549"/>
      <c r="AF225" s="549"/>
      <c r="AG225" s="549"/>
      <c r="AH225" s="549"/>
      <c r="AI225" s="549"/>
      <c r="AJ225" s="549"/>
    </row>
    <row r="226" spans="16:36" ht="16">
      <c r="P226" s="642">
        <v>45461</v>
      </c>
      <c r="Q226" s="643">
        <v>242.78</v>
      </c>
      <c r="R226" s="644">
        <v>5256900</v>
      </c>
      <c r="S226" s="549"/>
      <c r="T226" s="549"/>
      <c r="U226" s="549"/>
      <c r="V226" s="556"/>
      <c r="W226" s="573"/>
      <c r="X226" s="572"/>
      <c r="Y226" s="549"/>
      <c r="Z226" s="549"/>
      <c r="AA226" s="549"/>
      <c r="AB226" s="549"/>
      <c r="AC226" s="549"/>
      <c r="AD226" s="549"/>
      <c r="AE226" s="549"/>
      <c r="AF226" s="549"/>
      <c r="AG226" s="549"/>
      <c r="AH226" s="549"/>
      <c r="AI226" s="549"/>
      <c r="AJ226" s="549"/>
    </row>
    <row r="227" spans="16:36" ht="16">
      <c r="P227" s="642">
        <v>45460</v>
      </c>
      <c r="Q227" s="643">
        <v>236.67</v>
      </c>
      <c r="R227" s="644">
        <v>4974600</v>
      </c>
      <c r="S227" s="549"/>
      <c r="T227" s="549"/>
      <c r="U227" s="549"/>
      <c r="V227" s="556"/>
      <c r="W227" s="573"/>
      <c r="X227" s="572"/>
      <c r="Y227" s="549"/>
      <c r="Z227" s="549"/>
      <c r="AA227" s="549"/>
      <c r="AB227" s="549"/>
      <c r="AC227" s="549"/>
      <c r="AD227" s="549"/>
      <c r="AE227" s="549"/>
      <c r="AF227" s="549"/>
      <c r="AG227" s="549"/>
      <c r="AH227" s="549"/>
      <c r="AI227" s="549"/>
      <c r="AJ227" s="549"/>
    </row>
    <row r="228" spans="16:36" ht="16">
      <c r="P228" s="642">
        <v>45457</v>
      </c>
      <c r="Q228" s="643">
        <v>234.08</v>
      </c>
      <c r="R228" s="644">
        <v>3306500</v>
      </c>
      <c r="S228" s="549"/>
      <c r="T228" s="549"/>
      <c r="U228" s="549"/>
      <c r="V228" s="556"/>
      <c r="W228" s="573"/>
      <c r="X228" s="572"/>
      <c r="Y228" s="549"/>
      <c r="Z228" s="549"/>
      <c r="AA228" s="549"/>
      <c r="AB228" s="549"/>
      <c r="AC228" s="549"/>
      <c r="AD228" s="549"/>
      <c r="AE228" s="549"/>
      <c r="AF228" s="549"/>
      <c r="AG228" s="549"/>
      <c r="AH228" s="549"/>
      <c r="AI228" s="549"/>
      <c r="AJ228" s="549"/>
    </row>
    <row r="229" spans="16:36" ht="16">
      <c r="P229" s="642">
        <v>45456</v>
      </c>
      <c r="Q229" s="643">
        <v>231.47</v>
      </c>
      <c r="R229" s="644">
        <v>3682400</v>
      </c>
      <c r="S229" s="549"/>
      <c r="T229" s="549"/>
      <c r="U229" s="549"/>
      <c r="V229" s="556"/>
      <c r="W229" s="573"/>
      <c r="X229" s="572"/>
      <c r="Y229" s="549"/>
      <c r="Z229" s="549"/>
      <c r="AA229" s="549"/>
      <c r="AB229" s="549"/>
      <c r="AC229" s="549"/>
      <c r="AD229" s="549"/>
      <c r="AE229" s="549"/>
      <c r="AF229" s="549"/>
      <c r="AG229" s="549"/>
      <c r="AH229" s="549"/>
      <c r="AI229" s="549"/>
      <c r="AJ229" s="549"/>
    </row>
    <row r="230" spans="16:36" ht="16">
      <c r="P230" s="642">
        <v>45455</v>
      </c>
      <c r="Q230" s="643">
        <v>231.43</v>
      </c>
      <c r="R230" s="644">
        <v>5573500</v>
      </c>
      <c r="S230" s="549"/>
      <c r="T230" s="549"/>
      <c r="U230" s="549"/>
      <c r="V230" s="556"/>
      <c r="W230" s="573"/>
      <c r="X230" s="572"/>
      <c r="Y230" s="549"/>
      <c r="Z230" s="549"/>
      <c r="AA230" s="549"/>
      <c r="AB230" s="549"/>
      <c r="AC230" s="549"/>
      <c r="AD230" s="549"/>
      <c r="AE230" s="549"/>
      <c r="AF230" s="549"/>
      <c r="AG230" s="549"/>
      <c r="AH230" s="549"/>
      <c r="AI230" s="549"/>
      <c r="AJ230" s="549"/>
    </row>
    <row r="231" spans="16:36" ht="16">
      <c r="P231" s="642">
        <v>45454</v>
      </c>
      <c r="Q231" s="643">
        <v>227.27</v>
      </c>
      <c r="R231" s="644">
        <v>4768600</v>
      </c>
      <c r="S231" s="549"/>
      <c r="T231" s="549"/>
      <c r="U231" s="549"/>
      <c r="V231" s="556"/>
      <c r="W231" s="573"/>
      <c r="X231" s="572"/>
      <c r="Y231" s="549"/>
      <c r="Z231" s="549"/>
      <c r="AA231" s="549"/>
      <c r="AB231" s="549"/>
      <c r="AC231" s="549"/>
      <c r="AD231" s="549"/>
      <c r="AE231" s="549"/>
      <c r="AF231" s="549"/>
      <c r="AG231" s="549"/>
      <c r="AH231" s="549"/>
      <c r="AI231" s="549"/>
      <c r="AJ231" s="549"/>
    </row>
    <row r="232" spans="16:36" ht="16">
      <c r="P232" s="642">
        <v>45453</v>
      </c>
      <c r="Q232" s="643">
        <v>219.71</v>
      </c>
      <c r="R232" s="644">
        <v>4797900</v>
      </c>
      <c r="S232" s="549"/>
      <c r="T232" s="549"/>
      <c r="U232" s="549"/>
      <c r="V232" s="556"/>
      <c r="W232" s="573"/>
      <c r="X232" s="572"/>
      <c r="Y232" s="549"/>
      <c r="Z232" s="549"/>
      <c r="AA232" s="549"/>
      <c r="AB232" s="549"/>
      <c r="AC232" s="549"/>
      <c r="AD232" s="549"/>
      <c r="AE232" s="549"/>
      <c r="AF232" s="549"/>
      <c r="AG232" s="549"/>
      <c r="AH232" s="549"/>
      <c r="AI232" s="549"/>
      <c r="AJ232" s="549"/>
    </row>
    <row r="233" spans="16:36" ht="16">
      <c r="P233" s="642">
        <v>45450</v>
      </c>
      <c r="Q233" s="643">
        <v>224.21</v>
      </c>
      <c r="R233" s="644">
        <v>3627200</v>
      </c>
      <c r="S233" s="549"/>
      <c r="T233" s="549"/>
      <c r="U233" s="549"/>
      <c r="V233" s="556"/>
      <c r="W233" s="573"/>
      <c r="X233" s="572"/>
      <c r="Y233" s="549"/>
      <c r="Z233" s="549"/>
      <c r="AA233" s="549"/>
      <c r="AB233" s="549"/>
      <c r="AC233" s="549"/>
      <c r="AD233" s="549"/>
      <c r="AE233" s="549"/>
      <c r="AF233" s="549"/>
      <c r="AG233" s="549"/>
      <c r="AH233" s="549"/>
      <c r="AI233" s="549"/>
      <c r="AJ233" s="549"/>
    </row>
    <row r="234" spans="16:36" ht="16">
      <c r="P234" s="642">
        <v>45449</v>
      </c>
      <c r="Q234" s="643">
        <v>221.67</v>
      </c>
      <c r="R234" s="644">
        <v>3951200</v>
      </c>
      <c r="S234" s="549"/>
      <c r="T234" s="549"/>
      <c r="U234" s="549"/>
      <c r="V234" s="556"/>
      <c r="W234" s="573"/>
      <c r="X234" s="572"/>
      <c r="Y234" s="549"/>
      <c r="Z234" s="549"/>
      <c r="AA234" s="549"/>
      <c r="AB234" s="549"/>
      <c r="AC234" s="549"/>
      <c r="AD234" s="549"/>
      <c r="AE234" s="549"/>
      <c r="AF234" s="549"/>
      <c r="AG234" s="549"/>
      <c r="AH234" s="549"/>
      <c r="AI234" s="549"/>
      <c r="AJ234" s="549"/>
    </row>
    <row r="235" spans="16:36" ht="16">
      <c r="P235" s="642">
        <v>45448</v>
      </c>
      <c r="Q235" s="643">
        <v>219.6</v>
      </c>
      <c r="R235" s="644">
        <v>7887900</v>
      </c>
      <c r="S235" s="549"/>
      <c r="T235" s="549"/>
      <c r="U235" s="549"/>
      <c r="V235" s="556"/>
      <c r="W235" s="573"/>
      <c r="X235" s="572"/>
      <c r="Y235" s="549"/>
      <c r="Z235" s="549"/>
      <c r="AA235" s="549"/>
      <c r="AB235" s="549"/>
      <c r="AC235" s="549"/>
      <c r="AD235" s="549"/>
      <c r="AE235" s="549"/>
      <c r="AF235" s="549"/>
      <c r="AG235" s="549"/>
      <c r="AH235" s="549"/>
      <c r="AI235" s="549"/>
      <c r="AJ235" s="549"/>
    </row>
    <row r="236" spans="16:36" ht="16">
      <c r="P236" s="642">
        <v>45447</v>
      </c>
      <c r="Q236" s="643">
        <v>213.8</v>
      </c>
      <c r="R236" s="644">
        <v>4379600</v>
      </c>
      <c r="S236" s="549"/>
      <c r="T236" s="549"/>
      <c r="U236" s="549"/>
      <c r="V236" s="556"/>
      <c r="W236" s="573"/>
      <c r="X236" s="572"/>
      <c r="Y236" s="549"/>
      <c r="Z236" s="549"/>
      <c r="AA236" s="549"/>
      <c r="AB236" s="549"/>
      <c r="AC236" s="549"/>
      <c r="AD236" s="549"/>
      <c r="AE236" s="549"/>
      <c r="AF236" s="549"/>
      <c r="AG236" s="549"/>
      <c r="AH236" s="549"/>
      <c r="AI236" s="549"/>
      <c r="AJ236" s="549"/>
    </row>
    <row r="237" spans="16:36" ht="16">
      <c r="P237" s="642">
        <v>45446</v>
      </c>
      <c r="Q237" s="643">
        <v>218.33</v>
      </c>
      <c r="R237" s="644">
        <v>3828100</v>
      </c>
      <c r="S237" s="549"/>
      <c r="T237" s="549"/>
      <c r="U237" s="549"/>
      <c r="V237" s="556"/>
      <c r="W237" s="573"/>
      <c r="X237" s="572"/>
      <c r="Y237" s="549"/>
      <c r="Z237" s="549"/>
      <c r="AA237" s="549"/>
      <c r="AB237" s="549"/>
      <c r="AC237" s="549"/>
      <c r="AD237" s="549"/>
      <c r="AE237" s="549"/>
      <c r="AF237" s="549"/>
      <c r="AG237" s="549"/>
      <c r="AH237" s="549"/>
      <c r="AI237" s="549"/>
      <c r="AJ237" s="549"/>
    </row>
    <row r="238" spans="16:36" ht="16">
      <c r="P238" s="642">
        <v>45443</v>
      </c>
      <c r="Q238" s="643">
        <v>216.75</v>
      </c>
      <c r="R238" s="644">
        <v>13548700</v>
      </c>
      <c r="S238" s="549"/>
      <c r="T238" s="549"/>
      <c r="U238" s="549"/>
      <c r="V238" s="556"/>
      <c r="W238" s="573"/>
      <c r="X238" s="572"/>
      <c r="Y238" s="549"/>
      <c r="Z238" s="549"/>
      <c r="AA238" s="549"/>
      <c r="AB238" s="549"/>
      <c r="AC238" s="549"/>
      <c r="AD238" s="549"/>
      <c r="AE238" s="549"/>
      <c r="AF238" s="549"/>
      <c r="AG238" s="549"/>
      <c r="AH238" s="549"/>
      <c r="AI238" s="549"/>
      <c r="AJ238" s="549"/>
    </row>
    <row r="239" spans="16:36" ht="16">
      <c r="P239" s="642">
        <v>45442</v>
      </c>
      <c r="Q239" s="643">
        <v>217.97</v>
      </c>
      <c r="R239" s="644">
        <v>4062500</v>
      </c>
      <c r="S239" s="549"/>
      <c r="T239" s="549"/>
      <c r="U239" s="549"/>
      <c r="V239" s="556"/>
      <c r="W239" s="573"/>
      <c r="X239" s="572"/>
      <c r="Y239" s="549"/>
      <c r="Z239" s="549"/>
      <c r="AA239" s="549"/>
      <c r="AB239" s="549"/>
      <c r="AC239" s="549"/>
      <c r="AD239" s="549"/>
      <c r="AE239" s="549"/>
      <c r="AF239" s="549"/>
      <c r="AG239" s="549"/>
      <c r="AH239" s="549"/>
      <c r="AI239" s="549"/>
      <c r="AJ239" s="549"/>
    </row>
    <row r="240" spans="16:36" ht="16">
      <c r="P240" s="642">
        <v>45441</v>
      </c>
      <c r="Q240" s="643">
        <v>217.59</v>
      </c>
      <c r="R240" s="644">
        <v>4718800</v>
      </c>
      <c r="S240" s="549"/>
      <c r="T240" s="549"/>
      <c r="U240" s="549"/>
      <c r="V240" s="556"/>
      <c r="W240" s="573"/>
      <c r="X240" s="572"/>
      <c r="Y240" s="549"/>
      <c r="Z240" s="549"/>
      <c r="AA240" s="549"/>
      <c r="AB240" s="549"/>
      <c r="AC240" s="549"/>
      <c r="AD240" s="549"/>
      <c r="AE240" s="549"/>
      <c r="AF240" s="549"/>
      <c r="AG240" s="549"/>
      <c r="AH240" s="549"/>
      <c r="AI240" s="549"/>
      <c r="AJ240" s="549"/>
    </row>
    <row r="241" spans="16:36" ht="16">
      <c r="P241" s="642">
        <v>45440</v>
      </c>
      <c r="Q241" s="643">
        <v>222.15</v>
      </c>
      <c r="R241" s="644">
        <v>5509400</v>
      </c>
      <c r="S241" s="549"/>
      <c r="T241" s="549"/>
      <c r="U241" s="549"/>
      <c r="V241" s="556"/>
      <c r="W241" s="573"/>
      <c r="X241" s="572"/>
      <c r="Y241" s="549"/>
      <c r="Z241" s="549"/>
      <c r="AA241" s="549"/>
      <c r="AB241" s="549"/>
      <c r="AC241" s="549"/>
      <c r="AD241" s="549"/>
      <c r="AE241" s="549"/>
      <c r="AF241" s="549"/>
      <c r="AG241" s="549"/>
      <c r="AH241" s="549"/>
      <c r="AI241" s="549"/>
      <c r="AJ241" s="549"/>
    </row>
    <row r="242" spans="16:36" ht="16">
      <c r="P242" s="642">
        <v>45436</v>
      </c>
      <c r="Q242" s="643">
        <v>220.2</v>
      </c>
      <c r="R242" s="644">
        <v>3793700</v>
      </c>
      <c r="S242" s="549"/>
      <c r="T242" s="549"/>
      <c r="U242" s="549"/>
      <c r="V242" s="556"/>
      <c r="W242" s="573"/>
      <c r="X242" s="572"/>
      <c r="Y242" s="549"/>
      <c r="Z242" s="549"/>
      <c r="AA242" s="549"/>
      <c r="AB242" s="549"/>
      <c r="AC242" s="549"/>
      <c r="AD242" s="549"/>
      <c r="AE242" s="549"/>
      <c r="AF242" s="549"/>
      <c r="AG242" s="549"/>
      <c r="AH242" s="549"/>
      <c r="AI242" s="549"/>
      <c r="AJ242" s="549"/>
    </row>
    <row r="243" spans="16:36" ht="16">
      <c r="P243" s="642">
        <v>45435</v>
      </c>
      <c r="Q243" s="643">
        <v>225</v>
      </c>
      <c r="R243" s="644">
        <v>5806600</v>
      </c>
      <c r="S243" s="549"/>
      <c r="T243" s="549"/>
      <c r="U243" s="549"/>
      <c r="V243" s="556"/>
      <c r="W243" s="573"/>
      <c r="X243" s="572"/>
      <c r="Y243" s="549"/>
      <c r="Z243" s="549"/>
      <c r="AA243" s="549"/>
      <c r="AB243" s="549"/>
      <c r="AC243" s="549"/>
      <c r="AD243" s="549"/>
      <c r="AE243" s="549"/>
      <c r="AF243" s="549"/>
      <c r="AG243" s="549"/>
      <c r="AH243" s="549"/>
      <c r="AI243" s="549"/>
      <c r="AJ243" s="549"/>
    </row>
    <row r="244" spans="16:36" ht="16">
      <c r="P244" s="642">
        <v>45434</v>
      </c>
      <c r="Q244" s="643">
        <v>220.52</v>
      </c>
      <c r="R244" s="644">
        <v>5047000</v>
      </c>
      <c r="S244" s="549"/>
      <c r="T244" s="549"/>
      <c r="U244" s="549"/>
      <c r="V244" s="556"/>
      <c r="W244" s="573"/>
      <c r="X244" s="572"/>
      <c r="Y244" s="549"/>
      <c r="Z244" s="549"/>
      <c r="AA244" s="549"/>
      <c r="AB244" s="549"/>
      <c r="AC244" s="549"/>
      <c r="AD244" s="549"/>
      <c r="AE244" s="549"/>
      <c r="AF244" s="549"/>
      <c r="AG244" s="549"/>
      <c r="AH244" s="549"/>
      <c r="AI244" s="549"/>
      <c r="AJ244" s="549"/>
    </row>
    <row r="245" spans="16:36" ht="16">
      <c r="P245" s="642">
        <v>45433</v>
      </c>
      <c r="Q245" s="643">
        <v>218</v>
      </c>
      <c r="R245" s="644">
        <v>3918200</v>
      </c>
      <c r="S245" s="549"/>
      <c r="T245" s="549"/>
      <c r="U245" s="549"/>
      <c r="V245" s="556"/>
      <c r="W245" s="573"/>
      <c r="X245" s="572"/>
      <c r="Y245" s="549"/>
      <c r="Z245" s="549"/>
      <c r="AA245" s="549"/>
      <c r="AB245" s="549"/>
      <c r="AC245" s="549"/>
      <c r="AD245" s="549"/>
      <c r="AE245" s="549"/>
      <c r="AF245" s="549"/>
      <c r="AG245" s="549"/>
      <c r="AH245" s="549"/>
      <c r="AI245" s="549"/>
      <c r="AJ245" s="549"/>
    </row>
    <row r="246" spans="16:36" ht="16">
      <c r="P246" s="642">
        <v>45432</v>
      </c>
      <c r="Q246" s="643">
        <v>212.15</v>
      </c>
      <c r="R246" s="644">
        <v>5954500</v>
      </c>
      <c r="S246" s="549"/>
      <c r="T246" s="549"/>
      <c r="U246" s="549"/>
      <c r="V246" s="556"/>
      <c r="W246" s="573"/>
      <c r="X246" s="572"/>
      <c r="Y246" s="549"/>
      <c r="Z246" s="549"/>
      <c r="AA246" s="549"/>
      <c r="AB246" s="549"/>
      <c r="AC246" s="549"/>
      <c r="AD246" s="549"/>
      <c r="AE246" s="549"/>
      <c r="AF246" s="549"/>
      <c r="AG246" s="549"/>
      <c r="AH246" s="549"/>
      <c r="AI246" s="549"/>
      <c r="AJ246" s="549"/>
    </row>
    <row r="247" spans="16:36" ht="16">
      <c r="P247" s="642">
        <v>45429</v>
      </c>
      <c r="Q247" s="643">
        <v>216.4</v>
      </c>
      <c r="R247" s="644">
        <v>8031800</v>
      </c>
      <c r="S247" s="549"/>
      <c r="T247" s="549"/>
      <c r="U247" s="549"/>
      <c r="V247" s="556"/>
      <c r="W247" s="573"/>
      <c r="X247" s="572"/>
      <c r="Y247" s="549"/>
      <c r="Z247" s="549"/>
      <c r="AA247" s="549"/>
      <c r="AB247" s="549"/>
      <c r="AC247" s="549"/>
      <c r="AD247" s="549"/>
      <c r="AE247" s="549"/>
      <c r="AF247" s="549"/>
      <c r="AG247" s="549"/>
      <c r="AH247" s="549"/>
      <c r="AI247" s="549"/>
      <c r="AJ247" s="549"/>
    </row>
    <row r="248" spans="16:36" ht="16">
      <c r="P248" s="642">
        <v>45428</v>
      </c>
      <c r="Q248" s="643">
        <v>218.22</v>
      </c>
      <c r="R248" s="644">
        <v>7977900</v>
      </c>
      <c r="S248" s="549"/>
      <c r="T248" s="549"/>
      <c r="U248" s="549"/>
      <c r="V248" s="556"/>
      <c r="W248" s="573"/>
      <c r="X248" s="572"/>
      <c r="Y248" s="549"/>
      <c r="Z248" s="549"/>
      <c r="AA248" s="549"/>
      <c r="AB248" s="549"/>
      <c r="AC248" s="549"/>
      <c r="AD248" s="549"/>
      <c r="AE248" s="549"/>
      <c r="AF248" s="549"/>
      <c r="AG248" s="549"/>
      <c r="AH248" s="549"/>
      <c r="AI248" s="549"/>
      <c r="AJ248" s="549"/>
    </row>
    <row r="249" spans="16:36" ht="16">
      <c r="P249" s="642">
        <v>45427</v>
      </c>
      <c r="Q249" s="643">
        <v>212.5</v>
      </c>
      <c r="R249" s="644">
        <v>5820900</v>
      </c>
      <c r="S249" s="549"/>
      <c r="T249" s="549"/>
      <c r="U249" s="549"/>
      <c r="V249" s="556"/>
      <c r="W249" s="573"/>
      <c r="X249" s="572"/>
      <c r="Y249" s="549"/>
      <c r="Z249" s="549"/>
      <c r="AA249" s="549"/>
      <c r="AB249" s="549"/>
      <c r="AC249" s="549"/>
      <c r="AD249" s="549"/>
      <c r="AE249" s="549"/>
      <c r="AF249" s="549"/>
      <c r="AG249" s="549"/>
      <c r="AH249" s="549"/>
      <c r="AI249" s="549"/>
      <c r="AJ249" s="549"/>
    </row>
    <row r="250" spans="16:36" ht="16">
      <c r="P250" s="642">
        <v>45426</v>
      </c>
      <c r="Q250" s="643">
        <v>205.84</v>
      </c>
      <c r="R250" s="644">
        <v>3442200</v>
      </c>
      <c r="S250" s="549"/>
      <c r="T250" s="549"/>
      <c r="U250" s="549"/>
      <c r="V250" s="556"/>
      <c r="W250" s="573"/>
      <c r="X250" s="572"/>
      <c r="Y250" s="549"/>
      <c r="Z250" s="549"/>
      <c r="AA250" s="549"/>
      <c r="AB250" s="549"/>
      <c r="AC250" s="549"/>
      <c r="AD250" s="549"/>
      <c r="AE250" s="549"/>
      <c r="AF250" s="549"/>
      <c r="AG250" s="549"/>
      <c r="AH250" s="549"/>
      <c r="AI250" s="549"/>
      <c r="AJ250" s="549"/>
    </row>
    <row r="251" spans="16:36" ht="16">
      <c r="P251" s="642">
        <v>45425</v>
      </c>
      <c r="Q251" s="643">
        <v>208.4</v>
      </c>
      <c r="R251" s="644">
        <v>3526900</v>
      </c>
      <c r="S251" s="549"/>
      <c r="T251" s="549"/>
      <c r="U251" s="549"/>
      <c r="V251" s="556"/>
      <c r="W251" s="573"/>
      <c r="X251" s="572"/>
      <c r="Y251" s="549"/>
      <c r="Z251" s="549"/>
      <c r="AA251" s="549"/>
      <c r="AB251" s="549"/>
      <c r="AC251" s="549"/>
      <c r="AD251" s="549"/>
      <c r="AE251" s="549"/>
      <c r="AF251" s="549"/>
      <c r="AG251" s="549"/>
      <c r="AH251" s="549"/>
      <c r="AI251" s="549"/>
      <c r="AJ251" s="549"/>
    </row>
    <row r="252" spans="16:36" ht="16">
      <c r="P252" s="642">
        <v>45422</v>
      </c>
      <c r="Q252" s="643">
        <v>208.8</v>
      </c>
      <c r="R252" s="644">
        <v>3502900</v>
      </c>
      <c r="S252" s="549"/>
      <c r="T252" s="549"/>
      <c r="U252" s="549"/>
      <c r="V252" s="556"/>
      <c r="W252" s="573"/>
      <c r="X252" s="572"/>
      <c r="Y252" s="549"/>
      <c r="Z252" s="549"/>
      <c r="AA252" s="549"/>
      <c r="AB252" s="549"/>
      <c r="AC252" s="549"/>
      <c r="AD252" s="549"/>
      <c r="AE252" s="549"/>
      <c r="AF252" s="549"/>
      <c r="AG252" s="549"/>
      <c r="AH252" s="549"/>
      <c r="AI252" s="549"/>
      <c r="AJ252" s="549"/>
    </row>
    <row r="253" spans="16:36" ht="16">
      <c r="P253" s="642">
        <v>45421</v>
      </c>
      <c r="Q253" s="643">
        <v>207.36</v>
      </c>
      <c r="R253" s="644">
        <v>2758200</v>
      </c>
      <c r="S253" s="549"/>
      <c r="T253" s="549"/>
      <c r="U253" s="549"/>
      <c r="V253" s="556"/>
      <c r="W253" s="573"/>
      <c r="X253" s="572"/>
      <c r="Y253" s="549"/>
      <c r="Z253" s="549"/>
      <c r="AA253" s="549"/>
      <c r="AB253" s="549"/>
      <c r="AC253" s="549"/>
      <c r="AD253" s="549"/>
      <c r="AE253" s="549"/>
      <c r="AF253" s="549"/>
      <c r="AG253" s="549"/>
      <c r="AH253" s="549"/>
      <c r="AI253" s="549"/>
      <c r="AJ253" s="549"/>
    </row>
    <row r="254" spans="16:36" ht="16">
      <c r="P254" s="642">
        <v>45420</v>
      </c>
      <c r="Q254" s="643">
        <v>205.91</v>
      </c>
      <c r="R254" s="644">
        <v>2932300</v>
      </c>
      <c r="S254" s="549"/>
      <c r="T254" s="549"/>
      <c r="U254" s="549"/>
      <c r="V254" s="556"/>
      <c r="W254" s="573"/>
      <c r="X254" s="572"/>
      <c r="Y254" s="549"/>
      <c r="Z254" s="549"/>
      <c r="AA254" s="549"/>
      <c r="AB254" s="549"/>
      <c r="AC254" s="549"/>
      <c r="AD254" s="549"/>
      <c r="AE254" s="549"/>
      <c r="AF254" s="549"/>
      <c r="AG254" s="549"/>
      <c r="AH254" s="549"/>
      <c r="AI254" s="549"/>
      <c r="AJ254" s="549"/>
    </row>
    <row r="255" spans="16:36" ht="16">
      <c r="P255" s="642">
        <v>45419</v>
      </c>
      <c r="Q255" s="643">
        <v>209.24</v>
      </c>
      <c r="R255" s="644">
        <v>3200900</v>
      </c>
      <c r="S255" s="549"/>
      <c r="T255" s="549"/>
      <c r="U255" s="549"/>
      <c r="V255" s="556"/>
      <c r="W255" s="573"/>
      <c r="X255" s="572"/>
      <c r="Y255" s="549"/>
      <c r="Z255" s="549"/>
      <c r="AA255" s="549"/>
      <c r="AB255" s="549"/>
      <c r="AC255" s="549"/>
      <c r="AD255" s="549"/>
      <c r="AE255" s="549"/>
      <c r="AF255" s="549"/>
      <c r="AG255" s="549"/>
      <c r="AH255" s="549"/>
      <c r="AI255" s="549"/>
      <c r="AJ255" s="549"/>
    </row>
    <row r="256" spans="16:36" ht="16">
      <c r="P256" s="642">
        <v>45418</v>
      </c>
      <c r="Q256" s="643">
        <v>205.31</v>
      </c>
      <c r="R256" s="644">
        <v>3638500</v>
      </c>
      <c r="S256" s="549"/>
      <c r="T256" s="549"/>
      <c r="U256" s="549"/>
      <c r="V256" s="556"/>
      <c r="W256" s="573"/>
      <c r="X256" s="572"/>
      <c r="Y256" s="549"/>
      <c r="Z256" s="549"/>
      <c r="AA256" s="549"/>
      <c r="AB256" s="549"/>
      <c r="AC256" s="549"/>
      <c r="AD256" s="549"/>
      <c r="AE256" s="549"/>
      <c r="AF256" s="549"/>
      <c r="AG256" s="549"/>
      <c r="AH256" s="549"/>
      <c r="AI256" s="549"/>
      <c r="AJ256" s="549"/>
    </row>
    <row r="257" spans="16:36" ht="16">
      <c r="P257" s="642">
        <v>45415</v>
      </c>
      <c r="Q257" s="643">
        <v>202</v>
      </c>
      <c r="R257" s="644">
        <v>3818500</v>
      </c>
      <c r="S257" s="549"/>
      <c r="T257" s="549"/>
      <c r="U257" s="549"/>
      <c r="V257" s="556"/>
      <c r="W257" s="573"/>
      <c r="X257" s="572"/>
      <c r="Y257" s="549"/>
      <c r="Z257" s="549"/>
      <c r="AA257" s="549"/>
      <c r="AB257" s="549"/>
      <c r="AC257" s="549"/>
      <c r="AD257" s="549"/>
      <c r="AE257" s="549"/>
      <c r="AF257" s="549"/>
      <c r="AG257" s="549"/>
      <c r="AH257" s="549"/>
      <c r="AI257" s="549"/>
      <c r="AJ257" s="549"/>
    </row>
    <row r="258" spans="16:36" ht="16">
      <c r="P258" s="642">
        <v>45414</v>
      </c>
      <c r="Q258" s="643">
        <v>196.26</v>
      </c>
      <c r="R258" s="644">
        <v>3523200</v>
      </c>
      <c r="S258" s="549"/>
      <c r="T258" s="549"/>
      <c r="U258" s="549"/>
      <c r="V258" s="556"/>
      <c r="W258" s="573"/>
      <c r="X258" s="572"/>
      <c r="Y258" s="549"/>
      <c r="Z258" s="549"/>
      <c r="AA258" s="549"/>
      <c r="AB258" s="549"/>
      <c r="AC258" s="549"/>
      <c r="AD258" s="549"/>
      <c r="AE258" s="549"/>
      <c r="AF258" s="549"/>
      <c r="AG258" s="549"/>
      <c r="AH258" s="549"/>
      <c r="AI258" s="549"/>
      <c r="AJ258" s="549"/>
    </row>
    <row r="259" spans="16:36" ht="16">
      <c r="P259" s="642">
        <v>45413</v>
      </c>
      <c r="Q259" s="643">
        <v>196.08</v>
      </c>
      <c r="R259" s="644">
        <v>5815500</v>
      </c>
      <c r="S259" s="549"/>
      <c r="T259" s="549"/>
      <c r="U259" s="549"/>
      <c r="V259" s="556"/>
      <c r="W259" s="573"/>
      <c r="X259" s="572"/>
      <c r="Y259" s="549"/>
      <c r="Z259" s="549"/>
      <c r="AA259" s="549"/>
      <c r="AB259" s="549"/>
      <c r="AC259" s="549"/>
      <c r="AD259" s="549"/>
      <c r="AE259" s="549"/>
      <c r="AF259" s="549"/>
      <c r="AG259" s="549"/>
      <c r="AH259" s="549"/>
      <c r="AI259" s="549"/>
      <c r="AJ259" s="549"/>
    </row>
    <row r="260" spans="16:36" ht="16">
      <c r="P260" s="642">
        <v>45412</v>
      </c>
      <c r="Q260" s="643">
        <v>203.67</v>
      </c>
      <c r="R260" s="644">
        <v>3898200</v>
      </c>
      <c r="S260" s="549"/>
      <c r="T260" s="549"/>
      <c r="U260" s="549"/>
      <c r="V260" s="556"/>
      <c r="W260" s="573"/>
      <c r="X260" s="572"/>
      <c r="Y260" s="549"/>
      <c r="Z260" s="549"/>
      <c r="AA260" s="549"/>
      <c r="AB260" s="549"/>
      <c r="AC260" s="549"/>
      <c r="AD260" s="549"/>
      <c r="AE260" s="549"/>
      <c r="AF260" s="549"/>
      <c r="AG260" s="549"/>
      <c r="AH260" s="549"/>
      <c r="AI260" s="549"/>
      <c r="AJ260" s="549"/>
    </row>
    <row r="261" spans="16:36" ht="16">
      <c r="P261" s="642">
        <v>45411</v>
      </c>
      <c r="Q261" s="643">
        <v>203.51</v>
      </c>
      <c r="R261" s="644">
        <v>2789200</v>
      </c>
      <c r="S261" s="549"/>
      <c r="T261" s="549"/>
      <c r="U261" s="549"/>
      <c r="V261" s="556"/>
      <c r="W261" s="573"/>
      <c r="X261" s="572"/>
      <c r="Y261" s="549"/>
      <c r="Z261" s="549"/>
      <c r="AA261" s="549"/>
      <c r="AB261" s="549"/>
      <c r="AC261" s="549"/>
      <c r="AD261" s="549"/>
      <c r="AE261" s="549"/>
      <c r="AF261" s="549"/>
      <c r="AG261" s="549"/>
      <c r="AH261" s="549"/>
      <c r="AI261" s="549"/>
      <c r="AJ261" s="549"/>
    </row>
    <row r="262" spans="16:36" ht="16">
      <c r="P262" s="642">
        <v>45408</v>
      </c>
      <c r="Q262" s="643">
        <v>197.03</v>
      </c>
      <c r="R262" s="644">
        <v>3933500</v>
      </c>
      <c r="S262" s="549"/>
      <c r="T262" s="549"/>
      <c r="U262" s="549"/>
      <c r="V262" s="556"/>
      <c r="W262" s="573"/>
      <c r="X262" s="572"/>
      <c r="Y262" s="549"/>
      <c r="Z262" s="549"/>
      <c r="AA262" s="549"/>
      <c r="AB262" s="549"/>
      <c r="AC262" s="549"/>
      <c r="AD262" s="549"/>
      <c r="AE262" s="549"/>
      <c r="AF262" s="549"/>
      <c r="AG262" s="549"/>
      <c r="AH262" s="549"/>
      <c r="AI262" s="549"/>
      <c r="AJ262" s="549"/>
    </row>
    <row r="263" spans="16:36" ht="16">
      <c r="P263" s="642">
        <v>45407</v>
      </c>
      <c r="Q263" s="643">
        <v>196.28</v>
      </c>
      <c r="R263" s="644">
        <v>4238300</v>
      </c>
      <c r="S263" s="549"/>
      <c r="T263" s="549"/>
      <c r="U263" s="549"/>
      <c r="V263" s="556"/>
      <c r="W263" s="573"/>
      <c r="X263" s="572"/>
      <c r="Y263" s="549"/>
      <c r="Z263" s="549"/>
      <c r="AA263" s="549"/>
      <c r="AB263" s="549"/>
      <c r="AC263" s="549"/>
      <c r="AD263" s="549"/>
      <c r="AE263" s="549"/>
      <c r="AF263" s="549"/>
      <c r="AG263" s="549"/>
      <c r="AH263" s="549"/>
      <c r="AI263" s="549"/>
      <c r="AJ263" s="549"/>
    </row>
    <row r="264" spans="16:36" ht="16">
      <c r="P264" s="642">
        <v>45406</v>
      </c>
      <c r="Q264" s="643">
        <v>197.99</v>
      </c>
      <c r="R264" s="644">
        <v>4609400</v>
      </c>
      <c r="S264" s="549"/>
      <c r="T264" s="549"/>
      <c r="U264" s="549"/>
      <c r="V264" s="556"/>
      <c r="W264" s="573"/>
      <c r="X264" s="572"/>
      <c r="Y264" s="549"/>
      <c r="Z264" s="549"/>
      <c r="AA264" s="549"/>
      <c r="AB264" s="549"/>
      <c r="AC264" s="549"/>
      <c r="AD264" s="549"/>
      <c r="AE264" s="549"/>
      <c r="AF264" s="549"/>
      <c r="AG264" s="549"/>
      <c r="AH264" s="549"/>
      <c r="AI264" s="549"/>
      <c r="AJ264" s="549"/>
    </row>
    <row r="265" spans="16:36" ht="16">
      <c r="P265" s="642">
        <v>45405</v>
      </c>
      <c r="Q265" s="643">
        <v>190.25</v>
      </c>
      <c r="R265" s="644">
        <v>4425900</v>
      </c>
      <c r="S265" s="549"/>
      <c r="T265" s="549"/>
      <c r="U265" s="549"/>
      <c r="V265" s="556"/>
      <c r="W265" s="573"/>
      <c r="X265" s="572"/>
      <c r="Y265" s="549"/>
      <c r="Z265" s="549"/>
      <c r="AA265" s="549"/>
      <c r="AB265" s="549"/>
      <c r="AC265" s="549"/>
      <c r="AD265" s="549"/>
      <c r="AE265" s="549"/>
      <c r="AF265" s="549"/>
      <c r="AG265" s="549"/>
      <c r="AH265" s="549"/>
      <c r="AI265" s="549"/>
      <c r="AJ265" s="549"/>
    </row>
    <row r="266" spans="16:36" ht="16">
      <c r="P266" s="642">
        <v>45404</v>
      </c>
      <c r="Q266" s="643">
        <v>191.55</v>
      </c>
      <c r="R266" s="644">
        <v>7149800</v>
      </c>
      <c r="S266" s="549"/>
      <c r="T266" s="549"/>
      <c r="U266" s="549"/>
      <c r="V266" s="556"/>
      <c r="W266" s="573"/>
      <c r="X266" s="572"/>
      <c r="Y266" s="549"/>
      <c r="Z266" s="549"/>
      <c r="AA266" s="549"/>
      <c r="AB266" s="549"/>
      <c r="AC266" s="549"/>
      <c r="AD266" s="549"/>
      <c r="AE266" s="549"/>
      <c r="AF266" s="549"/>
      <c r="AG266" s="549"/>
      <c r="AH266" s="549"/>
      <c r="AI266" s="549"/>
      <c r="AJ266" s="549"/>
    </row>
    <row r="267" spans="16:36" ht="16">
      <c r="P267" s="642">
        <v>45401</v>
      </c>
      <c r="Q267" s="643">
        <v>194.26</v>
      </c>
      <c r="R267" s="644">
        <v>6493500</v>
      </c>
      <c r="S267" s="549"/>
      <c r="T267" s="549"/>
      <c r="U267" s="549"/>
      <c r="V267" s="556"/>
      <c r="W267" s="573"/>
      <c r="X267" s="572"/>
      <c r="Y267" s="549"/>
      <c r="Z267" s="549"/>
      <c r="AA267" s="549"/>
      <c r="AB267" s="549"/>
      <c r="AC267" s="549"/>
      <c r="AD267" s="549"/>
      <c r="AE267" s="549"/>
      <c r="AF267" s="549"/>
      <c r="AG267" s="549"/>
      <c r="AH267" s="549"/>
      <c r="AI267" s="549"/>
      <c r="AJ267" s="549"/>
    </row>
    <row r="268" spans="16:36" ht="16">
      <c r="P268" s="642">
        <v>45400</v>
      </c>
      <c r="Q268" s="643">
        <v>197.47</v>
      </c>
      <c r="R268" s="644">
        <v>6219400</v>
      </c>
      <c r="S268" s="549"/>
      <c r="T268" s="549"/>
      <c r="U268" s="549"/>
      <c r="V268" s="556"/>
      <c r="W268" s="573"/>
      <c r="X268" s="572"/>
      <c r="Y268" s="549"/>
      <c r="Z268" s="549"/>
      <c r="AA268" s="549"/>
      <c r="AB268" s="549"/>
      <c r="AC268" s="549"/>
      <c r="AD268" s="549"/>
      <c r="AE268" s="549"/>
      <c r="AF268" s="549"/>
      <c r="AG268" s="549"/>
      <c r="AH268" s="549"/>
      <c r="AI268" s="549"/>
      <c r="AJ268" s="549"/>
    </row>
    <row r="269" spans="16:36" ht="16">
      <c r="P269" s="642">
        <v>45399</v>
      </c>
      <c r="Q269" s="643">
        <v>206.09</v>
      </c>
      <c r="R269" s="644">
        <v>6350300</v>
      </c>
      <c r="S269" s="549"/>
      <c r="T269" s="549"/>
      <c r="U269" s="549"/>
      <c r="V269" s="556"/>
      <c r="W269" s="573"/>
      <c r="X269" s="572"/>
      <c r="Y269" s="549"/>
      <c r="Z269" s="549"/>
      <c r="AA269" s="549"/>
      <c r="AB269" s="549"/>
      <c r="AC269" s="549"/>
      <c r="AD269" s="549"/>
      <c r="AE269" s="549"/>
      <c r="AF269" s="549"/>
      <c r="AG269" s="549"/>
      <c r="AH269" s="549"/>
      <c r="AI269" s="549"/>
      <c r="AJ269" s="549"/>
    </row>
    <row r="270" spans="16:36" ht="16">
      <c r="P270" s="642">
        <v>45398</v>
      </c>
      <c r="Q270" s="643">
        <v>206.34</v>
      </c>
      <c r="R270" s="644">
        <v>3749200</v>
      </c>
      <c r="S270" s="549"/>
      <c r="T270" s="549"/>
      <c r="U270" s="549"/>
      <c r="V270" s="556"/>
      <c r="W270" s="573"/>
      <c r="X270" s="572"/>
      <c r="Y270" s="549"/>
      <c r="Z270" s="549"/>
      <c r="AA270" s="549"/>
      <c r="AB270" s="549"/>
      <c r="AC270" s="549"/>
      <c r="AD270" s="549"/>
      <c r="AE270" s="549"/>
      <c r="AF270" s="549"/>
      <c r="AG270" s="549"/>
      <c r="AH270" s="549"/>
      <c r="AI270" s="549"/>
      <c r="AJ270" s="549"/>
    </row>
    <row r="271" spans="16:36" ht="16">
      <c r="P271" s="642">
        <v>45397</v>
      </c>
      <c r="Q271" s="643">
        <v>211.9</v>
      </c>
      <c r="R271" s="644">
        <v>4492500</v>
      </c>
      <c r="S271" s="549"/>
      <c r="T271" s="549"/>
      <c r="U271" s="549"/>
      <c r="V271" s="556"/>
      <c r="W271" s="573"/>
      <c r="X271" s="572"/>
      <c r="Y271" s="549"/>
      <c r="Z271" s="549"/>
      <c r="AA271" s="549"/>
      <c r="AB271" s="549"/>
      <c r="AC271" s="549"/>
      <c r="AD271" s="549"/>
      <c r="AE271" s="549"/>
      <c r="AF271" s="549"/>
      <c r="AG271" s="549"/>
      <c r="AH271" s="549"/>
      <c r="AI271" s="549"/>
      <c r="AJ271" s="549"/>
    </row>
    <row r="272" spans="16:36" ht="16">
      <c r="P272" s="642">
        <v>45394</v>
      </c>
      <c r="Q272" s="643">
        <v>208</v>
      </c>
      <c r="R272" s="644">
        <v>5852400</v>
      </c>
      <c r="S272" s="549"/>
      <c r="T272" s="549"/>
      <c r="U272" s="549"/>
      <c r="V272" s="556"/>
      <c r="W272" s="573"/>
      <c r="X272" s="572"/>
      <c r="Y272" s="549"/>
      <c r="Z272" s="549"/>
      <c r="AA272" s="549"/>
      <c r="AB272" s="549"/>
      <c r="AC272" s="549"/>
      <c r="AD272" s="549"/>
      <c r="AE272" s="549"/>
      <c r="AF272" s="549"/>
      <c r="AG272" s="549"/>
      <c r="AH272" s="549"/>
      <c r="AI272" s="549"/>
      <c r="AJ272" s="549"/>
    </row>
    <row r="273" spans="16:36" ht="16">
      <c r="P273" s="642">
        <v>45393</v>
      </c>
      <c r="Q273" s="643">
        <v>209.46</v>
      </c>
      <c r="R273" s="644">
        <v>4291600</v>
      </c>
      <c r="S273" s="549"/>
      <c r="T273" s="549"/>
      <c r="U273" s="549"/>
      <c r="V273" s="556"/>
      <c r="W273" s="573"/>
      <c r="X273" s="572"/>
      <c r="Y273" s="549"/>
      <c r="Z273" s="549"/>
      <c r="AA273" s="549"/>
      <c r="AB273" s="549"/>
      <c r="AC273" s="549"/>
      <c r="AD273" s="549"/>
      <c r="AE273" s="549"/>
      <c r="AF273" s="549"/>
      <c r="AG273" s="549"/>
      <c r="AH273" s="549"/>
      <c r="AI273" s="549"/>
      <c r="AJ273" s="549"/>
    </row>
    <row r="274" spans="16:36" ht="16">
      <c r="P274" s="642">
        <v>45392</v>
      </c>
      <c r="Q274" s="643">
        <v>208.89</v>
      </c>
      <c r="R274" s="644">
        <v>4645300</v>
      </c>
      <c r="S274" s="549"/>
      <c r="T274" s="549"/>
      <c r="U274" s="549"/>
      <c r="V274" s="556"/>
      <c r="W274" s="573"/>
      <c r="X274" s="572"/>
      <c r="Y274" s="549"/>
      <c r="Z274" s="549"/>
      <c r="AA274" s="549"/>
      <c r="AB274" s="549"/>
      <c r="AC274" s="549"/>
      <c r="AD274" s="549"/>
      <c r="AE274" s="549"/>
      <c r="AF274" s="549"/>
      <c r="AG274" s="549"/>
      <c r="AH274" s="549"/>
      <c r="AI274" s="549"/>
      <c r="AJ274" s="549"/>
    </row>
    <row r="275" spans="16:36" ht="16">
      <c r="P275" s="642">
        <v>45391</v>
      </c>
      <c r="Q275" s="643">
        <v>211.35</v>
      </c>
      <c r="R275" s="644">
        <v>3660100</v>
      </c>
      <c r="S275" s="549"/>
      <c r="T275" s="549"/>
      <c r="U275" s="549"/>
      <c r="V275" s="556"/>
      <c r="W275" s="573"/>
      <c r="X275" s="572"/>
      <c r="Y275" s="549"/>
      <c r="Z275" s="549"/>
      <c r="AA275" s="549"/>
      <c r="AB275" s="549"/>
      <c r="AC275" s="549"/>
      <c r="AD275" s="549"/>
      <c r="AE275" s="549"/>
      <c r="AF275" s="549"/>
      <c r="AG275" s="549"/>
      <c r="AH275" s="549"/>
      <c r="AI275" s="549"/>
      <c r="AJ275" s="549"/>
    </row>
    <row r="276" spans="16:36" ht="16">
      <c r="P276" s="642">
        <v>45390</v>
      </c>
      <c r="Q276" s="643">
        <v>212.86</v>
      </c>
      <c r="R276" s="644">
        <v>4435500</v>
      </c>
      <c r="S276" s="549"/>
      <c r="T276" s="549"/>
      <c r="U276" s="549"/>
      <c r="V276" s="556"/>
      <c r="W276" s="573"/>
      <c r="X276" s="572"/>
      <c r="Y276" s="549"/>
      <c r="Z276" s="549"/>
      <c r="AA276" s="549"/>
      <c r="AB276" s="549"/>
      <c r="AC276" s="549"/>
      <c r="AD276" s="549"/>
      <c r="AE276" s="549"/>
      <c r="AF276" s="549"/>
      <c r="AG276" s="549"/>
      <c r="AH276" s="549"/>
      <c r="AI276" s="549"/>
      <c r="AJ276" s="549"/>
    </row>
    <row r="277" spans="16:36" ht="16">
      <c r="P277" s="642">
        <v>45387</v>
      </c>
      <c r="Q277" s="643">
        <v>204.9</v>
      </c>
      <c r="R277" s="644">
        <v>3330100</v>
      </c>
      <c r="S277" s="549"/>
      <c r="T277" s="549"/>
      <c r="U277" s="549"/>
      <c r="V277" s="556"/>
      <c r="W277" s="573"/>
      <c r="X277" s="572"/>
      <c r="Y277" s="549"/>
      <c r="Z277" s="549"/>
      <c r="AA277" s="549"/>
      <c r="AB277" s="549"/>
      <c r="AC277" s="549"/>
      <c r="AD277" s="549"/>
      <c r="AE277" s="549"/>
      <c r="AF277" s="549"/>
      <c r="AG277" s="549"/>
      <c r="AH277" s="549"/>
      <c r="AI277" s="549"/>
      <c r="AJ277" s="549"/>
    </row>
    <row r="278" spans="16:36" ht="16">
      <c r="P278" s="642">
        <v>45386</v>
      </c>
      <c r="Q278" s="643">
        <v>211.61</v>
      </c>
      <c r="R278" s="644">
        <v>6242800</v>
      </c>
      <c r="S278" s="549"/>
      <c r="T278" s="549"/>
      <c r="U278" s="549"/>
      <c r="V278" s="556"/>
      <c r="W278" s="573"/>
      <c r="X278" s="572"/>
      <c r="Y278" s="549"/>
      <c r="Z278" s="549"/>
      <c r="AA278" s="549"/>
      <c r="AB278" s="549"/>
      <c r="AC278" s="549"/>
      <c r="AD278" s="549"/>
      <c r="AE278" s="549"/>
      <c r="AF278" s="549"/>
      <c r="AG278" s="549"/>
      <c r="AH278" s="549"/>
      <c r="AI278" s="549"/>
      <c r="AJ278" s="549"/>
    </row>
    <row r="279" spans="16:36" ht="16">
      <c r="P279" s="642">
        <v>45385</v>
      </c>
      <c r="Q279" s="643">
        <v>203.6</v>
      </c>
      <c r="R279" s="644">
        <v>3375600</v>
      </c>
      <c r="S279" s="549"/>
      <c r="T279" s="549"/>
      <c r="U279" s="549"/>
      <c r="V279" s="556"/>
      <c r="W279" s="573"/>
      <c r="X279" s="572"/>
      <c r="Y279" s="549"/>
      <c r="Z279" s="549"/>
      <c r="AA279" s="549"/>
      <c r="AB279" s="549"/>
      <c r="AC279" s="549"/>
      <c r="AD279" s="549"/>
      <c r="AE279" s="549"/>
      <c r="AF279" s="549"/>
      <c r="AG279" s="549"/>
      <c r="AH279" s="549"/>
      <c r="AI279" s="549"/>
      <c r="AJ279" s="549"/>
    </row>
    <row r="280" spans="16:36" ht="16">
      <c r="P280" s="642">
        <v>45384</v>
      </c>
      <c r="Q280" s="643">
        <v>206.58</v>
      </c>
      <c r="R280" s="644">
        <v>4311400</v>
      </c>
      <c r="S280" s="549"/>
      <c r="T280" s="549"/>
      <c r="U280" s="549"/>
      <c r="V280" s="556"/>
      <c r="W280" s="573"/>
      <c r="X280" s="572"/>
      <c r="Y280" s="549"/>
      <c r="Z280" s="549"/>
      <c r="AA280" s="549"/>
      <c r="AB280" s="549"/>
      <c r="AC280" s="549"/>
      <c r="AD280" s="549"/>
      <c r="AE280" s="549"/>
      <c r="AF280" s="549"/>
      <c r="AG280" s="549"/>
      <c r="AH280" s="549"/>
      <c r="AI280" s="549"/>
      <c r="AJ280" s="549"/>
    </row>
    <row r="281" spans="16:36" ht="16">
      <c r="P281" s="642">
        <v>45383</v>
      </c>
      <c r="Q281" s="643">
        <v>206.93</v>
      </c>
      <c r="R281" s="644">
        <v>3189700</v>
      </c>
      <c r="S281" s="549"/>
      <c r="T281" s="549"/>
      <c r="U281" s="549"/>
      <c r="V281" s="556"/>
      <c r="W281" s="573"/>
      <c r="X281" s="572"/>
      <c r="Y281" s="549"/>
      <c r="Z281" s="549"/>
      <c r="AA281" s="549"/>
      <c r="AB281" s="549"/>
      <c r="AC281" s="549"/>
      <c r="AD281" s="549"/>
      <c r="AE281" s="549"/>
      <c r="AF281" s="549"/>
      <c r="AG281" s="549"/>
      <c r="AH281" s="549"/>
      <c r="AI281" s="549"/>
      <c r="AJ281" s="549"/>
    </row>
    <row r="282" spans="16:36" ht="16">
      <c r="P282" s="642">
        <v>45379</v>
      </c>
      <c r="Q282" s="643">
        <v>207.56</v>
      </c>
      <c r="R282" s="644">
        <v>5750100</v>
      </c>
      <c r="S282" s="549"/>
      <c r="T282" s="549"/>
      <c r="U282" s="549"/>
      <c r="V282" s="556"/>
      <c r="W282" s="573"/>
      <c r="X282" s="572"/>
      <c r="Y282" s="549"/>
      <c r="Z282" s="549"/>
      <c r="AA282" s="549"/>
      <c r="AB282" s="549"/>
      <c r="AC282" s="549"/>
      <c r="AD282" s="549"/>
      <c r="AE282" s="549"/>
      <c r="AF282" s="549"/>
      <c r="AG282" s="549"/>
      <c r="AH282" s="549"/>
      <c r="AI282" s="549"/>
      <c r="AJ282" s="549"/>
    </row>
    <row r="283" spans="16:36" ht="16">
      <c r="P283" s="642">
        <v>45378</v>
      </c>
      <c r="Q283" s="643">
        <v>208.04</v>
      </c>
      <c r="R283" s="644">
        <v>3123900</v>
      </c>
      <c r="S283" s="549"/>
      <c r="T283" s="549"/>
      <c r="U283" s="549"/>
      <c r="V283" s="556"/>
      <c r="W283" s="573"/>
      <c r="X283" s="572"/>
      <c r="Y283" s="549"/>
      <c r="Z283" s="549"/>
      <c r="AA283" s="549"/>
      <c r="AB283" s="549"/>
      <c r="AC283" s="549"/>
      <c r="AD283" s="549"/>
      <c r="AE283" s="549"/>
      <c r="AF283" s="549"/>
      <c r="AG283" s="549"/>
      <c r="AH283" s="549"/>
      <c r="AI283" s="549"/>
      <c r="AJ283" s="549"/>
    </row>
    <row r="284" spans="16:36" ht="16">
      <c r="P284" s="642">
        <v>45377</v>
      </c>
      <c r="Q284" s="643">
        <v>209.79</v>
      </c>
      <c r="R284" s="644">
        <v>3607400</v>
      </c>
      <c r="S284" s="549"/>
      <c r="T284" s="549"/>
      <c r="U284" s="549"/>
      <c r="V284" s="556"/>
      <c r="W284" s="573"/>
      <c r="X284" s="572"/>
      <c r="Y284" s="549"/>
      <c r="Z284" s="549"/>
      <c r="AA284" s="549"/>
      <c r="AB284" s="549"/>
      <c r="AC284" s="549"/>
      <c r="AD284" s="549"/>
      <c r="AE284" s="549"/>
      <c r="AF284" s="549"/>
      <c r="AG284" s="549"/>
      <c r="AH284" s="549"/>
      <c r="AI284" s="549"/>
      <c r="AJ284" s="549"/>
    </row>
    <row r="285" spans="16:36" ht="16">
      <c r="P285" s="642">
        <v>45376</v>
      </c>
      <c r="Q285" s="643">
        <v>207.63</v>
      </c>
      <c r="R285" s="644">
        <v>3137600</v>
      </c>
      <c r="S285" s="549"/>
      <c r="T285" s="549"/>
      <c r="U285" s="549"/>
      <c r="V285" s="556"/>
      <c r="W285" s="573"/>
      <c r="X285" s="572"/>
      <c r="Y285" s="549"/>
      <c r="Z285" s="549"/>
      <c r="AA285" s="549"/>
      <c r="AB285" s="549"/>
      <c r="AC285" s="549"/>
      <c r="AD285" s="549"/>
      <c r="AE285" s="549"/>
      <c r="AF285" s="549"/>
      <c r="AG285" s="549"/>
      <c r="AH285" s="549"/>
      <c r="AI285" s="549"/>
      <c r="AJ285" s="549"/>
    </row>
    <row r="286" spans="16:36" ht="16">
      <c r="P286" s="642">
        <v>45373</v>
      </c>
      <c r="Q286" s="643">
        <v>208.51</v>
      </c>
      <c r="R286" s="644">
        <v>3829200</v>
      </c>
      <c r="S286" s="549"/>
      <c r="T286" s="549"/>
      <c r="U286" s="549"/>
      <c r="V286" s="556"/>
      <c r="W286" s="573"/>
      <c r="X286" s="572"/>
      <c r="Y286" s="549"/>
      <c r="Z286" s="549"/>
      <c r="AA286" s="549"/>
      <c r="AB286" s="549"/>
      <c r="AC286" s="549"/>
      <c r="AD286" s="549"/>
      <c r="AE286" s="549"/>
      <c r="AF286" s="549"/>
      <c r="AG286" s="549"/>
      <c r="AH286" s="549"/>
      <c r="AI286" s="549"/>
      <c r="AJ286" s="549"/>
    </row>
    <row r="287" spans="16:36" ht="16">
      <c r="P287" s="642">
        <v>45372</v>
      </c>
      <c r="Q287" s="643">
        <v>213.37</v>
      </c>
      <c r="R287" s="644">
        <v>6145200</v>
      </c>
      <c r="S287" s="549"/>
      <c r="T287" s="549"/>
      <c r="U287" s="549"/>
      <c r="V287" s="556"/>
      <c r="W287" s="573"/>
      <c r="X287" s="572"/>
      <c r="Y287" s="549"/>
      <c r="Z287" s="549"/>
      <c r="AA287" s="549"/>
      <c r="AB287" s="549"/>
      <c r="AC287" s="549"/>
      <c r="AD287" s="549"/>
      <c r="AE287" s="549"/>
      <c r="AF287" s="549"/>
      <c r="AG287" s="549"/>
      <c r="AH287" s="549"/>
      <c r="AI287" s="549"/>
      <c r="AJ287" s="549"/>
    </row>
    <row r="288" spans="16:36" ht="16">
      <c r="P288" s="642">
        <v>45371</v>
      </c>
      <c r="Q288" s="643">
        <v>201</v>
      </c>
      <c r="R288" s="644">
        <v>4278000</v>
      </c>
      <c r="S288" s="549"/>
      <c r="T288" s="549"/>
      <c r="U288" s="549"/>
      <c r="V288" s="556"/>
      <c r="W288" s="573"/>
      <c r="X288" s="572"/>
      <c r="Y288" s="549"/>
      <c r="Z288" s="549"/>
      <c r="AA288" s="549"/>
      <c r="AB288" s="549"/>
      <c r="AC288" s="549"/>
      <c r="AD288" s="549"/>
      <c r="AE288" s="549"/>
      <c r="AF288" s="549"/>
      <c r="AG288" s="549"/>
      <c r="AH288" s="549"/>
      <c r="AI288" s="549"/>
      <c r="AJ288" s="549"/>
    </row>
    <row r="289" spans="16:36" ht="16">
      <c r="P289" s="642">
        <v>45370</v>
      </c>
      <c r="Q289" s="643">
        <v>199.18</v>
      </c>
      <c r="R289" s="644">
        <v>4624500</v>
      </c>
      <c r="S289" s="549"/>
      <c r="T289" s="549"/>
      <c r="U289" s="549"/>
      <c r="V289" s="556"/>
      <c r="W289" s="573"/>
      <c r="X289" s="572"/>
      <c r="Y289" s="549"/>
      <c r="Z289" s="549"/>
      <c r="AA289" s="549"/>
      <c r="AB289" s="549"/>
      <c r="AC289" s="549"/>
      <c r="AD289" s="549"/>
      <c r="AE289" s="549"/>
      <c r="AF289" s="549"/>
      <c r="AG289" s="549"/>
      <c r="AH289" s="549"/>
      <c r="AI289" s="549"/>
      <c r="AJ289" s="549"/>
    </row>
    <row r="290" spans="16:36" ht="16">
      <c r="P290" s="642">
        <v>45369</v>
      </c>
      <c r="Q290" s="643">
        <v>201.68</v>
      </c>
      <c r="R290" s="644">
        <v>5062300</v>
      </c>
      <c r="S290" s="549"/>
      <c r="T290" s="549"/>
      <c r="U290" s="549"/>
      <c r="V290" s="556"/>
      <c r="W290" s="573"/>
      <c r="X290" s="572"/>
      <c r="Y290" s="549"/>
      <c r="Z290" s="549"/>
      <c r="AA290" s="549"/>
      <c r="AB290" s="549"/>
      <c r="AC290" s="549"/>
      <c r="AD290" s="549"/>
      <c r="AE290" s="549"/>
      <c r="AF290" s="549"/>
      <c r="AG290" s="549"/>
      <c r="AH290" s="549"/>
      <c r="AI290" s="549"/>
      <c r="AJ290" s="549"/>
    </row>
    <row r="291" spans="16:36" ht="16">
      <c r="P291" s="642">
        <v>45366</v>
      </c>
      <c r="Q291" s="643">
        <v>199.44</v>
      </c>
      <c r="R291" s="644">
        <v>9935600</v>
      </c>
      <c r="S291" s="549"/>
      <c r="T291" s="549"/>
      <c r="U291" s="549"/>
      <c r="V291" s="556"/>
      <c r="W291" s="573"/>
      <c r="X291" s="572"/>
      <c r="Y291" s="549"/>
      <c r="Z291" s="549"/>
      <c r="AA291" s="549"/>
      <c r="AB291" s="549"/>
      <c r="AC291" s="549"/>
      <c r="AD291" s="549"/>
      <c r="AE291" s="549"/>
      <c r="AF291" s="549"/>
      <c r="AG291" s="549"/>
      <c r="AH291" s="549"/>
      <c r="AI291" s="549"/>
      <c r="AJ291" s="549"/>
    </row>
    <row r="292" spans="16:36" ht="16">
      <c r="P292" s="642">
        <v>45365</v>
      </c>
      <c r="Q292" s="643">
        <v>201.93</v>
      </c>
      <c r="R292" s="644">
        <v>4934900</v>
      </c>
      <c r="S292" s="549"/>
      <c r="T292" s="549"/>
      <c r="U292" s="549"/>
      <c r="V292" s="556"/>
      <c r="W292" s="573"/>
      <c r="X292" s="572"/>
      <c r="Y292" s="549"/>
      <c r="Z292" s="549"/>
      <c r="AA292" s="549"/>
      <c r="AB292" s="549"/>
      <c r="AC292" s="549"/>
      <c r="AD292" s="549"/>
      <c r="AE292" s="549"/>
      <c r="AF292" s="549"/>
      <c r="AG292" s="549"/>
      <c r="AH292" s="549"/>
      <c r="AI292" s="549"/>
      <c r="AJ292" s="549"/>
    </row>
    <row r="293" spans="16:36" ht="16">
      <c r="P293" s="642">
        <v>45364</v>
      </c>
      <c r="Q293" s="643">
        <v>202.97</v>
      </c>
      <c r="R293" s="644">
        <v>5050300</v>
      </c>
      <c r="S293" s="549"/>
      <c r="T293" s="549"/>
      <c r="U293" s="549"/>
      <c r="V293" s="556"/>
      <c r="W293" s="573"/>
      <c r="X293" s="572"/>
      <c r="Y293" s="549"/>
      <c r="Z293" s="549"/>
      <c r="AA293" s="549"/>
      <c r="AB293" s="549"/>
      <c r="AC293" s="549"/>
      <c r="AD293" s="549"/>
      <c r="AE293" s="549"/>
      <c r="AF293" s="549"/>
      <c r="AG293" s="549"/>
      <c r="AH293" s="549"/>
      <c r="AI293" s="549"/>
      <c r="AJ293" s="549"/>
    </row>
    <row r="294" spans="16:36" ht="16">
      <c r="P294" s="642">
        <v>45363</v>
      </c>
      <c r="Q294" s="643">
        <v>203.88</v>
      </c>
      <c r="R294" s="644">
        <v>7211300</v>
      </c>
      <c r="S294" s="549"/>
      <c r="T294" s="549"/>
      <c r="U294" s="549"/>
      <c r="V294" s="556"/>
      <c r="W294" s="573"/>
      <c r="X294" s="572"/>
      <c r="Y294" s="549"/>
      <c r="Z294" s="549"/>
      <c r="AA294" s="549"/>
      <c r="AB294" s="549"/>
      <c r="AC294" s="549"/>
      <c r="AD294" s="549"/>
      <c r="AE294" s="549"/>
      <c r="AF294" s="549"/>
      <c r="AG294" s="549"/>
      <c r="AH294" s="549"/>
      <c r="AI294" s="549"/>
      <c r="AJ294" s="549"/>
    </row>
    <row r="295" spans="16:36" ht="16">
      <c r="P295" s="642">
        <v>45362</v>
      </c>
      <c r="Q295" s="643">
        <v>203.28</v>
      </c>
      <c r="R295" s="644">
        <v>6566600</v>
      </c>
      <c r="S295" s="549"/>
      <c r="T295" s="549"/>
      <c r="U295" s="549"/>
      <c r="V295" s="556"/>
      <c r="W295" s="573"/>
      <c r="X295" s="572"/>
      <c r="Y295" s="549"/>
      <c r="Z295" s="549"/>
      <c r="AA295" s="549"/>
      <c r="AB295" s="549"/>
      <c r="AC295" s="549"/>
      <c r="AD295" s="549"/>
      <c r="AE295" s="549"/>
      <c r="AF295" s="549"/>
      <c r="AG295" s="549"/>
      <c r="AH295" s="549"/>
      <c r="AI295" s="549"/>
      <c r="AJ295" s="549"/>
    </row>
    <row r="296" spans="16:36" ht="16">
      <c r="P296" s="642">
        <v>45359</v>
      </c>
      <c r="Q296" s="643">
        <v>212.48</v>
      </c>
      <c r="R296" s="644">
        <v>6932700</v>
      </c>
      <c r="S296" s="549"/>
      <c r="T296" s="549"/>
      <c r="U296" s="549"/>
      <c r="V296" s="556"/>
      <c r="W296" s="573"/>
      <c r="X296" s="572"/>
      <c r="Y296" s="549"/>
      <c r="Z296" s="549"/>
      <c r="AA296" s="549"/>
      <c r="AB296" s="549"/>
      <c r="AC296" s="549"/>
      <c r="AD296" s="549"/>
      <c r="AE296" s="549"/>
      <c r="AF296" s="549"/>
      <c r="AG296" s="549"/>
      <c r="AH296" s="549"/>
      <c r="AI296" s="549"/>
      <c r="AJ296" s="549"/>
    </row>
    <row r="297" spans="16:36" ht="16">
      <c r="P297" s="642">
        <v>45358</v>
      </c>
      <c r="Q297" s="643">
        <v>213.23</v>
      </c>
      <c r="R297" s="644">
        <v>6363100</v>
      </c>
      <c r="S297" s="549"/>
      <c r="T297" s="549"/>
      <c r="U297" s="549"/>
      <c r="V297" s="556"/>
      <c r="W297" s="573"/>
      <c r="X297" s="572"/>
      <c r="Y297" s="549"/>
      <c r="Z297" s="549"/>
      <c r="AA297" s="549"/>
      <c r="AB297" s="549"/>
      <c r="AC297" s="549"/>
      <c r="AD297" s="549"/>
      <c r="AE297" s="549"/>
      <c r="AF297" s="549"/>
      <c r="AG297" s="549"/>
      <c r="AH297" s="549"/>
      <c r="AI297" s="549"/>
      <c r="AJ297" s="549"/>
    </row>
    <row r="298" spans="16:36" ht="16">
      <c r="P298" s="642">
        <v>45357</v>
      </c>
      <c r="Q298" s="643">
        <v>209.95</v>
      </c>
      <c r="R298" s="644">
        <v>5642400</v>
      </c>
      <c r="S298" s="549"/>
      <c r="T298" s="549"/>
      <c r="U298" s="549"/>
      <c r="V298" s="556"/>
      <c r="W298" s="573"/>
      <c r="X298" s="572"/>
      <c r="Y298" s="549"/>
      <c r="Z298" s="549"/>
      <c r="AA298" s="549"/>
      <c r="AB298" s="549"/>
      <c r="AC298" s="549"/>
      <c r="AD298" s="549"/>
      <c r="AE298" s="549"/>
      <c r="AF298" s="549"/>
      <c r="AG298" s="549"/>
      <c r="AH298" s="549"/>
      <c r="AI298" s="549"/>
      <c r="AJ298" s="549"/>
    </row>
    <row r="299" spans="16:36" ht="16">
      <c r="P299" s="642">
        <v>45356</v>
      </c>
      <c r="Q299" s="643">
        <v>207.75</v>
      </c>
      <c r="R299" s="644">
        <v>6100200</v>
      </c>
      <c r="S299" s="549"/>
      <c r="T299" s="549"/>
      <c r="U299" s="549"/>
      <c r="V299" s="556"/>
      <c r="W299" s="573"/>
      <c r="X299" s="572"/>
      <c r="Y299" s="549"/>
      <c r="Z299" s="549"/>
      <c r="AA299" s="549"/>
      <c r="AB299" s="549"/>
      <c r="AC299" s="549"/>
      <c r="AD299" s="549"/>
      <c r="AE299" s="549"/>
      <c r="AF299" s="549"/>
      <c r="AG299" s="549"/>
      <c r="AH299" s="549"/>
      <c r="AI299" s="549"/>
      <c r="AJ299" s="549"/>
    </row>
    <row r="300" spans="16:36" ht="16">
      <c r="P300" s="642">
        <v>45355</v>
      </c>
      <c r="Q300" s="643">
        <v>212</v>
      </c>
      <c r="R300" s="644">
        <v>7089800</v>
      </c>
      <c r="S300" s="549"/>
      <c r="T300" s="549"/>
      <c r="U300" s="549"/>
      <c r="V300" s="556"/>
      <c r="W300" s="573"/>
      <c r="X300" s="572"/>
      <c r="Y300" s="549"/>
      <c r="Z300" s="549"/>
      <c r="AA300" s="549"/>
      <c r="AB300" s="549"/>
      <c r="AC300" s="549"/>
      <c r="AD300" s="549"/>
      <c r="AE300" s="549"/>
      <c r="AF300" s="549"/>
      <c r="AG300" s="549"/>
      <c r="AH300" s="549"/>
      <c r="AI300" s="549"/>
      <c r="AJ300" s="549"/>
    </row>
    <row r="301" spans="16:36" ht="16">
      <c r="P301" s="642">
        <v>45352</v>
      </c>
      <c r="Q301" s="643">
        <v>203.77</v>
      </c>
      <c r="R301" s="644">
        <v>7645100</v>
      </c>
      <c r="S301" s="549"/>
      <c r="T301" s="549"/>
      <c r="U301" s="549"/>
      <c r="V301" s="556"/>
      <c r="W301" s="573"/>
      <c r="X301" s="572"/>
      <c r="Y301" s="549"/>
      <c r="Z301" s="549"/>
      <c r="AA301" s="549"/>
      <c r="AB301" s="549"/>
      <c r="AC301" s="549"/>
      <c r="AD301" s="549"/>
      <c r="AE301" s="549"/>
      <c r="AF301" s="549"/>
      <c r="AG301" s="549"/>
      <c r="AH301" s="549"/>
      <c r="AI301" s="549"/>
      <c r="AJ301" s="549"/>
    </row>
    <row r="302" spans="16:36" ht="16">
      <c r="P302" s="642">
        <v>45351</v>
      </c>
      <c r="Q302" s="643">
        <v>199.91</v>
      </c>
      <c r="R302" s="644">
        <v>9449600</v>
      </c>
      <c r="S302" s="549"/>
      <c r="T302" s="549"/>
      <c r="U302" s="549"/>
      <c r="V302" s="556"/>
      <c r="W302" s="573"/>
      <c r="X302" s="572"/>
      <c r="Y302" s="549"/>
      <c r="Z302" s="549"/>
      <c r="AA302" s="549"/>
      <c r="AB302" s="549"/>
      <c r="AC302" s="549"/>
      <c r="AD302" s="549"/>
      <c r="AE302" s="549"/>
      <c r="AF302" s="549"/>
      <c r="AG302" s="549"/>
      <c r="AH302" s="549"/>
      <c r="AI302" s="549"/>
      <c r="AJ302" s="549"/>
    </row>
    <row r="303" spans="16:36" ht="16">
      <c r="P303" s="642">
        <v>45350</v>
      </c>
      <c r="Q303" s="643">
        <v>198.49</v>
      </c>
      <c r="R303" s="644">
        <v>6207900</v>
      </c>
      <c r="S303" s="549"/>
      <c r="T303" s="549"/>
      <c r="U303" s="549"/>
      <c r="V303" s="556"/>
      <c r="W303" s="573"/>
      <c r="X303" s="572"/>
      <c r="Y303" s="549"/>
      <c r="Z303" s="549"/>
      <c r="AA303" s="549"/>
      <c r="AB303" s="549"/>
      <c r="AC303" s="549"/>
      <c r="AD303" s="549"/>
      <c r="AE303" s="549"/>
      <c r="AF303" s="549"/>
      <c r="AG303" s="549"/>
      <c r="AH303" s="549"/>
      <c r="AI303" s="549"/>
      <c r="AJ303" s="549"/>
    </row>
    <row r="304" spans="16:36" ht="16">
      <c r="P304" s="642">
        <v>45349</v>
      </c>
      <c r="Q304" s="643">
        <v>203.73</v>
      </c>
      <c r="R304" s="644">
        <v>5167100</v>
      </c>
      <c r="S304" s="549"/>
      <c r="T304" s="549"/>
      <c r="U304" s="549"/>
      <c r="V304" s="556"/>
      <c r="W304" s="573"/>
      <c r="X304" s="572"/>
      <c r="Y304" s="549"/>
      <c r="Z304" s="549"/>
      <c r="AA304" s="549"/>
      <c r="AB304" s="549"/>
      <c r="AC304" s="549"/>
      <c r="AD304" s="549"/>
      <c r="AE304" s="549"/>
      <c r="AF304" s="549"/>
      <c r="AG304" s="549"/>
      <c r="AH304" s="549"/>
      <c r="AI304" s="549"/>
      <c r="AJ304" s="549"/>
    </row>
    <row r="305" spans="16:36" ht="16">
      <c r="P305" s="642">
        <v>45348</v>
      </c>
      <c r="Q305" s="643">
        <v>199.8</v>
      </c>
      <c r="R305" s="644">
        <v>6466600</v>
      </c>
      <c r="S305" s="549"/>
      <c r="T305" s="549"/>
      <c r="U305" s="549"/>
      <c r="V305" s="556"/>
      <c r="W305" s="573"/>
      <c r="X305" s="572"/>
      <c r="Y305" s="549"/>
      <c r="Z305" s="549"/>
      <c r="AA305" s="549"/>
      <c r="AB305" s="549"/>
      <c r="AC305" s="549"/>
      <c r="AD305" s="549"/>
      <c r="AE305" s="549"/>
      <c r="AF305" s="549"/>
      <c r="AG305" s="549"/>
      <c r="AH305" s="549"/>
      <c r="AI305" s="549"/>
      <c r="AJ305" s="549"/>
    </row>
    <row r="306" spans="16:36" ht="16">
      <c r="P306" s="642">
        <v>45345</v>
      </c>
      <c r="Q306" s="643">
        <v>199.32</v>
      </c>
      <c r="R306" s="644">
        <v>5108100</v>
      </c>
      <c r="S306" s="549"/>
      <c r="T306" s="549"/>
      <c r="U306" s="549"/>
      <c r="V306" s="556"/>
      <c r="W306" s="573"/>
      <c r="X306" s="572"/>
      <c r="Y306" s="549"/>
      <c r="Z306" s="549"/>
      <c r="AA306" s="549"/>
      <c r="AB306" s="549"/>
      <c r="AC306" s="549"/>
      <c r="AD306" s="549"/>
      <c r="AE306" s="549"/>
      <c r="AF306" s="549"/>
      <c r="AG306" s="549"/>
      <c r="AH306" s="549"/>
      <c r="AI306" s="549"/>
      <c r="AJ306" s="549"/>
    </row>
    <row r="307" spans="16:36" ht="16">
      <c r="P307" s="642">
        <v>45344</v>
      </c>
      <c r="Q307" s="643">
        <v>198.28</v>
      </c>
      <c r="R307" s="644">
        <v>10225900</v>
      </c>
      <c r="S307" s="549"/>
      <c r="T307" s="549"/>
      <c r="U307" s="549"/>
      <c r="V307" s="556"/>
      <c r="W307" s="573"/>
      <c r="X307" s="572"/>
      <c r="Y307" s="549"/>
      <c r="Z307" s="549"/>
      <c r="AA307" s="549"/>
      <c r="AB307" s="549"/>
      <c r="AC307" s="549"/>
      <c r="AD307" s="549"/>
      <c r="AE307" s="549"/>
      <c r="AF307" s="549"/>
      <c r="AG307" s="549"/>
      <c r="AH307" s="549"/>
      <c r="AI307" s="549"/>
      <c r="AJ307" s="549"/>
    </row>
    <row r="308" spans="16:36" ht="16">
      <c r="P308" s="642">
        <v>45343</v>
      </c>
      <c r="Q308" s="643">
        <v>187.92</v>
      </c>
      <c r="R308" s="644">
        <v>6994400</v>
      </c>
      <c r="S308" s="549"/>
      <c r="T308" s="549"/>
      <c r="U308" s="549"/>
      <c r="V308" s="556"/>
      <c r="W308" s="573"/>
      <c r="X308" s="572"/>
      <c r="Y308" s="549"/>
      <c r="Z308" s="549"/>
      <c r="AA308" s="549"/>
      <c r="AB308" s="549"/>
      <c r="AC308" s="549"/>
      <c r="AD308" s="549"/>
      <c r="AE308" s="549"/>
      <c r="AF308" s="549"/>
      <c r="AG308" s="549"/>
      <c r="AH308" s="549"/>
      <c r="AI308" s="549"/>
      <c r="AJ308" s="549"/>
    </row>
    <row r="309" spans="16:36" ht="16">
      <c r="P309" s="642">
        <v>45342</v>
      </c>
      <c r="Q309" s="643">
        <v>195.59</v>
      </c>
      <c r="R309" s="644">
        <v>11216100</v>
      </c>
      <c r="S309" s="549"/>
      <c r="T309" s="549"/>
      <c r="U309" s="549"/>
      <c r="V309" s="556"/>
      <c r="W309" s="573"/>
      <c r="X309" s="572"/>
      <c r="Y309" s="549"/>
      <c r="Z309" s="549"/>
      <c r="AA309" s="549"/>
      <c r="AB309" s="549"/>
      <c r="AC309" s="549"/>
      <c r="AD309" s="549"/>
      <c r="AE309" s="549"/>
      <c r="AF309" s="549"/>
      <c r="AG309" s="549"/>
      <c r="AH309" s="549"/>
      <c r="AI309" s="549"/>
      <c r="AJ309" s="549"/>
    </row>
    <row r="310" spans="16:36" ht="16">
      <c r="P310" s="642">
        <v>45338</v>
      </c>
      <c r="Q310" s="643">
        <v>202.02</v>
      </c>
      <c r="R310" s="644">
        <v>15552000</v>
      </c>
      <c r="S310" s="549"/>
      <c r="T310" s="549"/>
      <c r="U310" s="549"/>
      <c r="V310" s="556"/>
      <c r="W310" s="573"/>
      <c r="X310" s="572"/>
      <c r="Y310" s="549"/>
      <c r="Z310" s="549"/>
      <c r="AA310" s="549"/>
      <c r="AB310" s="549"/>
      <c r="AC310" s="549"/>
      <c r="AD310" s="549"/>
      <c r="AE310" s="549"/>
      <c r="AF310" s="549"/>
      <c r="AG310" s="549"/>
      <c r="AH310" s="549"/>
      <c r="AI310" s="549"/>
      <c r="AJ310" s="549"/>
    </row>
    <row r="311" spans="16:36" ht="16">
      <c r="P311" s="642">
        <v>45337</v>
      </c>
      <c r="Q311" s="643">
        <v>189</v>
      </c>
      <c r="R311" s="644">
        <v>8622900</v>
      </c>
      <c r="S311" s="549"/>
      <c r="T311" s="549"/>
      <c r="U311" s="549"/>
      <c r="V311" s="556"/>
      <c r="W311" s="573"/>
      <c r="X311" s="572"/>
      <c r="Y311" s="549"/>
      <c r="Z311" s="549"/>
      <c r="AA311" s="549"/>
      <c r="AB311" s="549"/>
      <c r="AC311" s="549"/>
      <c r="AD311" s="549"/>
      <c r="AE311" s="549"/>
      <c r="AF311" s="549"/>
      <c r="AG311" s="549"/>
      <c r="AH311" s="549"/>
      <c r="AI311" s="549"/>
      <c r="AJ311" s="549"/>
    </row>
    <row r="312" spans="16:36" ht="16">
      <c r="P312" s="642">
        <v>45336</v>
      </c>
      <c r="Q312" s="643">
        <v>182.64</v>
      </c>
      <c r="R312" s="644">
        <v>8437900</v>
      </c>
      <c r="S312" s="549"/>
      <c r="T312" s="549"/>
      <c r="U312" s="549"/>
      <c r="V312" s="556"/>
      <c r="W312" s="573"/>
      <c r="X312" s="572"/>
      <c r="Y312" s="549"/>
      <c r="Z312" s="549"/>
      <c r="AA312" s="549"/>
      <c r="AB312" s="549"/>
      <c r="AC312" s="549"/>
      <c r="AD312" s="549"/>
      <c r="AE312" s="549"/>
      <c r="AF312" s="549"/>
      <c r="AG312" s="549"/>
      <c r="AH312" s="549"/>
      <c r="AI312" s="549"/>
      <c r="AJ312" s="549"/>
    </row>
    <row r="313" spans="16:36" ht="16">
      <c r="P313" s="642">
        <v>45335</v>
      </c>
      <c r="Q313" s="643">
        <v>178.6</v>
      </c>
      <c r="R313" s="644">
        <v>9692500</v>
      </c>
      <c r="S313" s="549"/>
      <c r="T313" s="549"/>
      <c r="U313" s="549"/>
      <c r="V313" s="556"/>
      <c r="W313" s="573"/>
      <c r="X313" s="572"/>
      <c r="Y313" s="549"/>
      <c r="Z313" s="549"/>
      <c r="AA313" s="549"/>
      <c r="AB313" s="549"/>
      <c r="AC313" s="549"/>
      <c r="AD313" s="549"/>
      <c r="AE313" s="549"/>
      <c r="AF313" s="549"/>
      <c r="AG313" s="549"/>
      <c r="AH313" s="549"/>
      <c r="AI313" s="549"/>
      <c r="AJ313" s="549"/>
    </row>
    <row r="314" spans="16:36" ht="16">
      <c r="P314" s="642">
        <v>45334</v>
      </c>
      <c r="Q314" s="643">
        <v>185.27</v>
      </c>
      <c r="R314" s="644">
        <v>7085400</v>
      </c>
      <c r="S314" s="549"/>
      <c r="T314" s="549"/>
      <c r="U314" s="549"/>
      <c r="V314" s="556"/>
      <c r="W314" s="573"/>
      <c r="X314" s="572"/>
      <c r="Y314" s="549"/>
      <c r="Z314" s="549"/>
      <c r="AA314" s="549"/>
      <c r="AB314" s="549"/>
      <c r="AC314" s="549"/>
      <c r="AD314" s="549"/>
      <c r="AE314" s="549"/>
      <c r="AF314" s="549"/>
      <c r="AG314" s="549"/>
      <c r="AH314" s="549"/>
      <c r="AI314" s="549"/>
      <c r="AJ314" s="549"/>
    </row>
    <row r="315" spans="16:36" ht="16">
      <c r="P315" s="642">
        <v>45331</v>
      </c>
      <c r="Q315" s="643">
        <v>179.04</v>
      </c>
      <c r="R315" s="644">
        <v>9539900</v>
      </c>
      <c r="S315" s="549"/>
      <c r="T315" s="549"/>
      <c r="U315" s="549"/>
      <c r="V315" s="556"/>
      <c r="W315" s="573"/>
      <c r="X315" s="572"/>
      <c r="Y315" s="549"/>
      <c r="Z315" s="549"/>
      <c r="AA315" s="549"/>
      <c r="AB315" s="549"/>
      <c r="AC315" s="549"/>
      <c r="AD315" s="549"/>
      <c r="AE315" s="549"/>
      <c r="AF315" s="549"/>
      <c r="AG315" s="549"/>
      <c r="AH315" s="549"/>
      <c r="AI315" s="549"/>
      <c r="AJ315" s="549"/>
    </row>
    <row r="316" spans="16:36" ht="16">
      <c r="P316" s="642">
        <v>45330</v>
      </c>
      <c r="Q316" s="643">
        <v>169.99</v>
      </c>
      <c r="R316" s="644">
        <v>7327900</v>
      </c>
      <c r="S316" s="549"/>
      <c r="T316" s="549"/>
      <c r="U316" s="549"/>
      <c r="V316" s="556"/>
      <c r="W316" s="573"/>
      <c r="X316" s="572"/>
      <c r="Y316" s="549"/>
      <c r="Z316" s="549"/>
      <c r="AA316" s="549"/>
      <c r="AB316" s="549"/>
      <c r="AC316" s="549"/>
      <c r="AD316" s="549"/>
      <c r="AE316" s="549"/>
      <c r="AF316" s="549"/>
      <c r="AG316" s="549"/>
      <c r="AH316" s="549"/>
      <c r="AI316" s="549"/>
      <c r="AJ316" s="549"/>
    </row>
    <row r="317" spans="16:36" ht="16">
      <c r="P317" s="642">
        <v>45329</v>
      </c>
      <c r="Q317" s="643">
        <v>170.49</v>
      </c>
      <c r="R317" s="644">
        <v>5103400</v>
      </c>
      <c r="S317" s="549"/>
      <c r="T317" s="549"/>
      <c r="U317" s="549"/>
      <c r="V317" s="556"/>
      <c r="W317" s="573"/>
      <c r="X317" s="572"/>
      <c r="Y317" s="549"/>
      <c r="Z317" s="549"/>
      <c r="AA317" s="549"/>
      <c r="AB317" s="549"/>
      <c r="AC317" s="549"/>
      <c r="AD317" s="549"/>
      <c r="AE317" s="549"/>
      <c r="AF317" s="549"/>
      <c r="AG317" s="549"/>
      <c r="AH317" s="549"/>
      <c r="AI317" s="549"/>
      <c r="AJ317" s="549"/>
    </row>
    <row r="318" spans="16:36" ht="16">
      <c r="P318" s="642">
        <v>45328</v>
      </c>
      <c r="Q318" s="643">
        <v>170.99</v>
      </c>
      <c r="R318" s="644">
        <v>4550100</v>
      </c>
      <c r="S318" s="549"/>
      <c r="T318" s="549"/>
      <c r="U318" s="549"/>
      <c r="V318" s="556"/>
      <c r="W318" s="573"/>
      <c r="X318" s="572"/>
      <c r="Y318" s="549"/>
      <c r="Z318" s="549"/>
      <c r="AA318" s="549"/>
      <c r="AB318" s="549"/>
      <c r="AC318" s="549"/>
      <c r="AD318" s="549"/>
      <c r="AE318" s="549"/>
      <c r="AF318" s="549"/>
      <c r="AG318" s="549"/>
      <c r="AH318" s="549"/>
      <c r="AI318" s="549"/>
      <c r="AJ318" s="549"/>
    </row>
    <row r="319" spans="16:36" ht="16">
      <c r="P319" s="642">
        <v>45327</v>
      </c>
      <c r="Q319" s="643">
        <v>168.6</v>
      </c>
      <c r="R319" s="644">
        <v>5749100</v>
      </c>
      <c r="S319" s="549"/>
      <c r="T319" s="549"/>
      <c r="U319" s="549"/>
      <c r="V319" s="556"/>
      <c r="W319" s="573"/>
      <c r="X319" s="572"/>
      <c r="Y319" s="549"/>
      <c r="Z319" s="549"/>
      <c r="AA319" s="549"/>
      <c r="AB319" s="549"/>
      <c r="AC319" s="549"/>
      <c r="AD319" s="549"/>
      <c r="AE319" s="549"/>
      <c r="AF319" s="549"/>
      <c r="AG319" s="549"/>
      <c r="AH319" s="549"/>
      <c r="AI319" s="549"/>
      <c r="AJ319" s="549"/>
    </row>
    <row r="320" spans="16:36" ht="16">
      <c r="P320" s="642">
        <v>45324</v>
      </c>
      <c r="Q320" s="643">
        <v>165.92</v>
      </c>
      <c r="R320" s="644">
        <v>4740800</v>
      </c>
      <c r="S320" s="549"/>
      <c r="T320" s="549"/>
      <c r="U320" s="549"/>
      <c r="V320" s="556"/>
      <c r="W320" s="573"/>
      <c r="X320" s="572"/>
      <c r="Y320" s="549"/>
      <c r="Z320" s="549"/>
      <c r="AA320" s="549"/>
      <c r="AB320" s="549"/>
      <c r="AC320" s="549"/>
      <c r="AD320" s="549"/>
      <c r="AE320" s="549"/>
      <c r="AF320" s="549"/>
      <c r="AG320" s="549"/>
      <c r="AH320" s="549"/>
      <c r="AI320" s="549"/>
      <c r="AJ320" s="549"/>
    </row>
    <row r="321" spans="16:36" ht="16">
      <c r="P321" s="642">
        <v>45323</v>
      </c>
      <c r="Q321" s="643">
        <v>165.46</v>
      </c>
      <c r="R321" s="644">
        <v>4082600</v>
      </c>
      <c r="S321" s="549"/>
      <c r="T321" s="549"/>
      <c r="U321" s="549"/>
      <c r="V321" s="556"/>
      <c r="W321" s="573"/>
      <c r="X321" s="572"/>
      <c r="Y321" s="549"/>
      <c r="Z321" s="549"/>
      <c r="AA321" s="549"/>
      <c r="AB321" s="549"/>
      <c r="AC321" s="549"/>
      <c r="AD321" s="549"/>
      <c r="AE321" s="549"/>
      <c r="AF321" s="549"/>
      <c r="AG321" s="549"/>
      <c r="AH321" s="549"/>
      <c r="AI321" s="549"/>
      <c r="AJ321" s="549"/>
    </row>
    <row r="322" spans="16:36" ht="16">
      <c r="P322" s="642">
        <v>45322</v>
      </c>
      <c r="Q322" s="643">
        <v>164</v>
      </c>
      <c r="R322" s="644">
        <v>6049400</v>
      </c>
      <c r="S322" s="549"/>
      <c r="T322" s="549"/>
      <c r="U322" s="549"/>
      <c r="V322" s="556"/>
      <c r="W322" s="573"/>
      <c r="X322" s="572"/>
      <c r="Y322" s="549"/>
      <c r="Z322" s="549"/>
      <c r="AA322" s="549"/>
      <c r="AB322" s="549"/>
      <c r="AC322" s="549"/>
      <c r="AD322" s="549"/>
      <c r="AE322" s="549"/>
      <c r="AF322" s="549"/>
      <c r="AG322" s="549"/>
      <c r="AH322" s="549"/>
      <c r="AI322" s="549"/>
      <c r="AJ322" s="549"/>
    </row>
    <row r="323" spans="16:36" ht="16">
      <c r="P323" s="642">
        <v>45321</v>
      </c>
      <c r="Q323" s="643">
        <v>167.33</v>
      </c>
      <c r="R323" s="644">
        <v>5255300</v>
      </c>
      <c r="S323" s="549"/>
      <c r="T323" s="549"/>
      <c r="U323" s="549"/>
      <c r="V323" s="556"/>
      <c r="W323" s="573"/>
      <c r="X323" s="572"/>
      <c r="Y323" s="549"/>
      <c r="Z323" s="549"/>
      <c r="AA323" s="549"/>
      <c r="AB323" s="549"/>
      <c r="AC323" s="549"/>
      <c r="AD323" s="549"/>
      <c r="AE323" s="549"/>
      <c r="AF323" s="549"/>
      <c r="AG323" s="549"/>
      <c r="AH323" s="549"/>
      <c r="AI323" s="549"/>
      <c r="AJ323" s="549"/>
    </row>
    <row r="324" spans="16:36" ht="16">
      <c r="P324" s="642">
        <v>45320</v>
      </c>
      <c r="Q324" s="643">
        <v>166.31</v>
      </c>
      <c r="R324" s="644">
        <v>5370700</v>
      </c>
      <c r="S324" s="549"/>
      <c r="T324" s="549"/>
      <c r="U324" s="549"/>
      <c r="V324" s="556"/>
      <c r="W324" s="573"/>
      <c r="X324" s="572"/>
      <c r="Y324" s="549"/>
      <c r="Z324" s="549"/>
      <c r="AA324" s="549"/>
      <c r="AB324" s="549"/>
      <c r="AC324" s="549"/>
      <c r="AD324" s="549"/>
      <c r="AE324" s="549"/>
      <c r="AF324" s="549"/>
      <c r="AG324" s="549"/>
      <c r="AH324" s="549"/>
      <c r="AI324" s="549"/>
      <c r="AJ324" s="549"/>
    </row>
    <row r="325" spans="16:36" ht="16">
      <c r="P325" s="642">
        <v>45317</v>
      </c>
      <c r="Q325" s="643">
        <v>169.07</v>
      </c>
      <c r="R325" s="644">
        <v>6653700</v>
      </c>
      <c r="S325" s="549"/>
      <c r="T325" s="549"/>
      <c r="U325" s="549"/>
      <c r="V325" s="556"/>
      <c r="W325" s="573"/>
      <c r="X325" s="572"/>
      <c r="Y325" s="549"/>
      <c r="Z325" s="549"/>
      <c r="AA325" s="549"/>
      <c r="AB325" s="549"/>
      <c r="AC325" s="549"/>
      <c r="AD325" s="549"/>
      <c r="AE325" s="549"/>
      <c r="AF325" s="549"/>
      <c r="AG325" s="549"/>
      <c r="AH325" s="549"/>
      <c r="AI325" s="549"/>
      <c r="AJ325" s="549"/>
    </row>
    <row r="326" spans="16:36" ht="16">
      <c r="P326" s="642">
        <v>45316</v>
      </c>
      <c r="Q326" s="643">
        <v>177.17</v>
      </c>
      <c r="R326" s="644">
        <v>7234400</v>
      </c>
      <c r="S326" s="549"/>
      <c r="T326" s="549"/>
      <c r="U326" s="549"/>
      <c r="V326" s="556"/>
      <c r="W326" s="573"/>
      <c r="X326" s="572"/>
      <c r="Y326" s="549"/>
      <c r="Z326" s="549"/>
      <c r="AA326" s="549"/>
      <c r="AB326" s="549"/>
      <c r="AC326" s="549"/>
      <c r="AD326" s="549"/>
      <c r="AE326" s="549"/>
      <c r="AF326" s="549"/>
      <c r="AG326" s="549"/>
      <c r="AH326" s="549"/>
      <c r="AI326" s="549"/>
      <c r="AJ326" s="549"/>
    </row>
    <row r="327" spans="16:36" ht="16">
      <c r="P327" s="642">
        <v>45315</v>
      </c>
      <c r="Q327" s="643">
        <v>171.39</v>
      </c>
      <c r="R327" s="644">
        <v>9729000</v>
      </c>
      <c r="S327" s="549"/>
      <c r="T327" s="549"/>
      <c r="U327" s="549"/>
      <c r="V327" s="556"/>
      <c r="W327" s="573"/>
      <c r="X327" s="572"/>
      <c r="Y327" s="549"/>
      <c r="Z327" s="549"/>
      <c r="AA327" s="549"/>
      <c r="AB327" s="549"/>
      <c r="AC327" s="549"/>
      <c r="AD327" s="549"/>
      <c r="AE327" s="549"/>
      <c r="AF327" s="549"/>
      <c r="AG327" s="549"/>
      <c r="AH327" s="549"/>
      <c r="AI327" s="549"/>
      <c r="AJ327" s="549"/>
    </row>
    <row r="328" spans="16:36" ht="16">
      <c r="P328" s="642">
        <v>45314</v>
      </c>
      <c r="Q328" s="643">
        <v>167.76</v>
      </c>
      <c r="R328" s="644">
        <v>5053600</v>
      </c>
      <c r="S328" s="549"/>
      <c r="T328" s="549"/>
      <c r="U328" s="549"/>
      <c r="V328" s="556"/>
      <c r="W328" s="573"/>
      <c r="X328" s="572"/>
      <c r="Y328" s="549"/>
      <c r="Z328" s="549"/>
      <c r="AA328" s="549"/>
      <c r="AB328" s="549"/>
      <c r="AC328" s="549"/>
      <c r="AD328" s="549"/>
      <c r="AE328" s="549"/>
      <c r="AF328" s="549"/>
      <c r="AG328" s="549"/>
      <c r="AH328" s="549"/>
      <c r="AI328" s="549"/>
      <c r="AJ328" s="549"/>
    </row>
    <row r="329" spans="16:36" ht="16">
      <c r="P329" s="642">
        <v>45313</v>
      </c>
      <c r="Q329" s="643">
        <v>168.18</v>
      </c>
      <c r="R329" s="644">
        <v>7176400</v>
      </c>
      <c r="S329" s="549"/>
      <c r="T329" s="549"/>
      <c r="U329" s="549"/>
      <c r="V329" s="556"/>
      <c r="W329" s="573"/>
      <c r="X329" s="572"/>
      <c r="Y329" s="549"/>
      <c r="Z329" s="549"/>
      <c r="AA329" s="549"/>
      <c r="AB329" s="549"/>
      <c r="AC329" s="549"/>
      <c r="AD329" s="549"/>
      <c r="AE329" s="549"/>
      <c r="AF329" s="549"/>
      <c r="AG329" s="549"/>
      <c r="AH329" s="549"/>
      <c r="AI329" s="549"/>
      <c r="AJ329" s="549"/>
    </row>
    <row r="330" spans="16:36" ht="16">
      <c r="P330" s="642">
        <v>45310</v>
      </c>
      <c r="Q330" s="643">
        <v>162.57</v>
      </c>
      <c r="R330" s="644">
        <v>9157600</v>
      </c>
      <c r="S330" s="549"/>
      <c r="T330" s="549"/>
      <c r="U330" s="549"/>
      <c r="V330" s="556"/>
      <c r="W330" s="573"/>
      <c r="X330" s="572"/>
      <c r="Y330" s="549"/>
      <c r="Z330" s="549"/>
      <c r="AA330" s="549"/>
      <c r="AB330" s="549"/>
      <c r="AC330" s="549"/>
      <c r="AD330" s="549"/>
      <c r="AE330" s="549"/>
      <c r="AF330" s="549"/>
      <c r="AG330" s="549"/>
      <c r="AH330" s="549"/>
      <c r="AI330" s="549"/>
      <c r="AJ330" s="549"/>
    </row>
    <row r="331" spans="16:36" ht="16">
      <c r="P331" s="642">
        <v>45309</v>
      </c>
      <c r="Q331" s="643">
        <v>158.66</v>
      </c>
      <c r="R331" s="644">
        <v>8133700</v>
      </c>
      <c r="S331" s="549"/>
      <c r="T331" s="549"/>
      <c r="U331" s="549"/>
      <c r="V331" s="556"/>
      <c r="W331" s="573"/>
      <c r="X331" s="572"/>
      <c r="Y331" s="549"/>
      <c r="Z331" s="549"/>
      <c r="AA331" s="549"/>
      <c r="AB331" s="549"/>
      <c r="AC331" s="549"/>
      <c r="AD331" s="549"/>
      <c r="AE331" s="549"/>
      <c r="AF331" s="549"/>
      <c r="AG331" s="549"/>
      <c r="AH331" s="549"/>
      <c r="AI331" s="549"/>
      <c r="AJ331" s="549"/>
    </row>
    <row r="332" spans="16:36" ht="16">
      <c r="P332" s="642">
        <v>45308</v>
      </c>
      <c r="Q332" s="643">
        <v>153.11000000000001</v>
      </c>
      <c r="R332" s="644">
        <v>6630600</v>
      </c>
      <c r="S332" s="549"/>
      <c r="T332" s="549"/>
      <c r="U332" s="549"/>
      <c r="V332" s="556"/>
      <c r="W332" s="573"/>
      <c r="X332" s="572"/>
      <c r="Y332" s="549"/>
      <c r="Z332" s="549"/>
      <c r="AA332" s="549"/>
      <c r="AB332" s="549"/>
      <c r="AC332" s="549"/>
      <c r="AD332" s="549"/>
      <c r="AE332" s="549"/>
      <c r="AF332" s="549"/>
      <c r="AG332" s="549"/>
      <c r="AH332" s="549"/>
      <c r="AI332" s="549"/>
      <c r="AJ332" s="549"/>
    </row>
    <row r="333" spans="16:36" ht="16">
      <c r="P333" s="642">
        <v>45307</v>
      </c>
      <c r="Q333" s="643">
        <v>151.30000000000001</v>
      </c>
      <c r="R333" s="644">
        <v>6528000</v>
      </c>
      <c r="S333" s="549"/>
      <c r="T333" s="549"/>
      <c r="U333" s="549"/>
      <c r="V333" s="556"/>
      <c r="W333" s="573"/>
      <c r="X333" s="572"/>
      <c r="Y333" s="549"/>
      <c r="Z333" s="549"/>
      <c r="AA333" s="549"/>
      <c r="AB333" s="549"/>
      <c r="AC333" s="549"/>
      <c r="AD333" s="549"/>
      <c r="AE333" s="549"/>
      <c r="AF333" s="549"/>
      <c r="AG333" s="549"/>
      <c r="AH333" s="549"/>
      <c r="AI333" s="549"/>
      <c r="AJ333" s="549"/>
    </row>
    <row r="334" spans="16:36" ht="16">
      <c r="P334" s="642">
        <v>45303</v>
      </c>
      <c r="Q334" s="643">
        <v>152.19999999999999</v>
      </c>
      <c r="R334" s="644">
        <v>4083200</v>
      </c>
      <c r="S334" s="549"/>
      <c r="T334" s="549"/>
      <c r="U334" s="549"/>
      <c r="V334" s="556"/>
      <c r="W334" s="573"/>
      <c r="X334" s="572"/>
      <c r="Y334" s="549"/>
      <c r="Z334" s="549"/>
      <c r="AA334" s="549"/>
      <c r="AB334" s="549"/>
      <c r="AC334" s="549"/>
      <c r="AD334" s="549"/>
      <c r="AE334" s="549"/>
      <c r="AF334" s="549"/>
      <c r="AG334" s="549"/>
      <c r="AH334" s="549"/>
      <c r="AI334" s="549"/>
      <c r="AJ334" s="549"/>
    </row>
    <row r="335" spans="16:36" ht="16">
      <c r="P335" s="642">
        <v>45302</v>
      </c>
      <c r="Q335" s="643">
        <v>150.25</v>
      </c>
      <c r="R335" s="644">
        <v>5995600</v>
      </c>
      <c r="S335" s="549"/>
      <c r="T335" s="549"/>
      <c r="U335" s="549"/>
      <c r="V335" s="556"/>
      <c r="W335" s="573"/>
      <c r="X335" s="572"/>
      <c r="Y335" s="549"/>
      <c r="Z335" s="549"/>
      <c r="AA335" s="549"/>
      <c r="AB335" s="549"/>
      <c r="AC335" s="549"/>
      <c r="AD335" s="549"/>
      <c r="AE335" s="549"/>
      <c r="AF335" s="549"/>
      <c r="AG335" s="549"/>
      <c r="AH335" s="549"/>
      <c r="AI335" s="549"/>
      <c r="AJ335" s="549"/>
    </row>
    <row r="336" spans="16:36" ht="16">
      <c r="P336" s="642">
        <v>45301</v>
      </c>
      <c r="Q336" s="643">
        <v>151.77000000000001</v>
      </c>
      <c r="R336" s="644">
        <v>5035700</v>
      </c>
      <c r="S336" s="549"/>
      <c r="T336" s="549"/>
      <c r="U336" s="549"/>
      <c r="V336" s="556"/>
      <c r="W336" s="573"/>
      <c r="X336" s="572"/>
      <c r="Y336" s="549"/>
      <c r="Z336" s="549"/>
      <c r="AA336" s="549"/>
      <c r="AB336" s="549"/>
      <c r="AC336" s="549"/>
      <c r="AD336" s="549"/>
      <c r="AE336" s="549"/>
      <c r="AF336" s="549"/>
      <c r="AG336" s="549"/>
      <c r="AH336" s="549"/>
      <c r="AI336" s="549"/>
      <c r="AJ336" s="549"/>
    </row>
    <row r="337" spans="16:36" ht="16">
      <c r="P337" s="642">
        <v>45300</v>
      </c>
      <c r="Q337" s="643">
        <v>149.87</v>
      </c>
      <c r="R337" s="644">
        <v>5606700</v>
      </c>
      <c r="S337" s="549"/>
      <c r="T337" s="549"/>
      <c r="U337" s="549"/>
      <c r="V337" s="556"/>
      <c r="W337" s="573"/>
      <c r="X337" s="572"/>
      <c r="Y337" s="549"/>
      <c r="Z337" s="549"/>
      <c r="AA337" s="549"/>
      <c r="AB337" s="549"/>
      <c r="AC337" s="549"/>
      <c r="AD337" s="549"/>
      <c r="AE337" s="549"/>
      <c r="AF337" s="549"/>
      <c r="AG337" s="549"/>
      <c r="AH337" s="549"/>
      <c r="AI337" s="549"/>
      <c r="AJ337" s="549"/>
    </row>
    <row r="338" spans="16:36" ht="16">
      <c r="P338" s="642">
        <v>45299</v>
      </c>
      <c r="Q338" s="643">
        <v>149.83000000000001</v>
      </c>
      <c r="R338" s="644">
        <v>6515500</v>
      </c>
      <c r="S338" s="549"/>
      <c r="T338" s="549"/>
      <c r="U338" s="549"/>
      <c r="V338" s="556"/>
      <c r="W338" s="573"/>
      <c r="X338" s="572"/>
      <c r="Y338" s="549"/>
      <c r="Z338" s="549"/>
      <c r="AA338" s="549"/>
      <c r="AB338" s="549"/>
      <c r="AC338" s="549"/>
      <c r="AD338" s="549"/>
      <c r="AE338" s="549"/>
      <c r="AF338" s="549"/>
      <c r="AG338" s="549"/>
      <c r="AH338" s="549"/>
      <c r="AI338" s="549"/>
      <c r="AJ338" s="549"/>
    </row>
    <row r="339" spans="16:36" ht="16">
      <c r="P339" s="642">
        <v>45296</v>
      </c>
      <c r="Q339" s="643">
        <v>150.08000000000001</v>
      </c>
      <c r="R339" s="644">
        <v>5398900</v>
      </c>
      <c r="S339" s="549"/>
      <c r="T339" s="549"/>
      <c r="U339" s="549"/>
      <c r="V339" s="556"/>
      <c r="W339" s="573"/>
      <c r="X339" s="572"/>
      <c r="Y339" s="549"/>
      <c r="Z339" s="549"/>
      <c r="AA339" s="549"/>
      <c r="AB339" s="549"/>
      <c r="AC339" s="549"/>
      <c r="AD339" s="549"/>
      <c r="AE339" s="549"/>
      <c r="AF339" s="549"/>
      <c r="AG339" s="549"/>
      <c r="AH339" s="549"/>
      <c r="AI339" s="549"/>
      <c r="AJ339" s="549"/>
    </row>
    <row r="340" spans="16:36" ht="16">
      <c r="P340" s="642">
        <v>45295</v>
      </c>
      <c r="Q340" s="643">
        <v>149.80000000000001</v>
      </c>
      <c r="R340" s="644">
        <v>6196100</v>
      </c>
      <c r="S340" s="549"/>
      <c r="T340" s="549"/>
      <c r="U340" s="549"/>
      <c r="V340" s="556"/>
      <c r="W340" s="573"/>
      <c r="X340" s="572"/>
      <c r="Y340" s="549"/>
      <c r="Z340" s="549"/>
      <c r="AA340" s="549"/>
      <c r="AB340" s="549"/>
      <c r="AC340" s="549"/>
      <c r="AD340" s="549"/>
      <c r="AE340" s="549"/>
      <c r="AF340" s="549"/>
      <c r="AG340" s="549"/>
      <c r="AH340" s="549"/>
      <c r="AI340" s="549"/>
      <c r="AJ340" s="549"/>
    </row>
    <row r="341" spans="16:36" ht="16">
      <c r="P341" s="642">
        <v>45294</v>
      </c>
      <c r="Q341" s="643">
        <v>151.71</v>
      </c>
      <c r="R341" s="644">
        <v>6100100</v>
      </c>
      <c r="S341" s="549"/>
      <c r="T341" s="549"/>
      <c r="U341" s="549"/>
      <c r="V341" s="556"/>
      <c r="W341" s="573"/>
      <c r="X341" s="572"/>
      <c r="Y341" s="549"/>
      <c r="Z341" s="549"/>
      <c r="AA341" s="549"/>
      <c r="AB341" s="549"/>
      <c r="AC341" s="549"/>
      <c r="AD341" s="549"/>
      <c r="AE341" s="549"/>
      <c r="AF341" s="549"/>
      <c r="AG341" s="549"/>
      <c r="AH341" s="549"/>
      <c r="AI341" s="549"/>
      <c r="AJ341" s="549"/>
    </row>
    <row r="342" spans="16:36" ht="16">
      <c r="P342" s="642">
        <v>45293</v>
      </c>
      <c r="Q342" s="643">
        <v>160</v>
      </c>
      <c r="R342" s="644">
        <v>8607300</v>
      </c>
      <c r="S342" s="549"/>
      <c r="T342" s="549"/>
      <c r="U342" s="549"/>
      <c r="V342" s="556"/>
      <c r="W342" s="573"/>
      <c r="X342" s="572"/>
      <c r="Y342" s="549"/>
      <c r="Z342" s="549"/>
      <c r="AA342" s="549"/>
      <c r="AB342" s="549"/>
      <c r="AC342" s="549"/>
      <c r="AD342" s="549"/>
      <c r="AE342" s="549"/>
      <c r="AF342" s="549"/>
      <c r="AG342" s="549"/>
      <c r="AH342" s="549"/>
      <c r="AI342" s="549"/>
      <c r="AJ342" s="549"/>
    </row>
    <row r="343" spans="16:36" ht="16">
      <c r="P343" s="642">
        <v>45289</v>
      </c>
      <c r="Q343" s="643">
        <v>163.11000000000001</v>
      </c>
      <c r="R343" s="644">
        <v>2980700</v>
      </c>
      <c r="S343" s="549"/>
      <c r="T343" s="549"/>
      <c r="U343" s="549"/>
      <c r="V343" s="556"/>
      <c r="W343" s="573"/>
      <c r="X343" s="572"/>
      <c r="Y343" s="549"/>
      <c r="Z343" s="549"/>
      <c r="AA343" s="549"/>
      <c r="AB343" s="549"/>
      <c r="AC343" s="549"/>
      <c r="AD343" s="549"/>
      <c r="AE343" s="549"/>
      <c r="AF343" s="549"/>
      <c r="AG343" s="549"/>
      <c r="AH343" s="549"/>
      <c r="AI343" s="549"/>
      <c r="AJ343" s="549"/>
    </row>
    <row r="344" spans="16:36" ht="16">
      <c r="P344" s="642">
        <v>45288</v>
      </c>
      <c r="Q344" s="643">
        <v>165</v>
      </c>
      <c r="R344" s="644">
        <v>2909700</v>
      </c>
      <c r="S344" s="549"/>
      <c r="T344" s="549"/>
      <c r="U344" s="549"/>
      <c r="V344" s="556"/>
      <c r="W344" s="573"/>
      <c r="X344" s="572"/>
      <c r="Y344" s="549"/>
      <c r="Z344" s="549"/>
      <c r="AA344" s="549"/>
      <c r="AB344" s="549"/>
      <c r="AC344" s="549"/>
      <c r="AD344" s="549"/>
      <c r="AE344" s="549"/>
      <c r="AF344" s="549"/>
      <c r="AG344" s="549"/>
      <c r="AH344" s="549"/>
      <c r="AI344" s="549"/>
      <c r="AJ344" s="549"/>
    </row>
    <row r="345" spans="16:36" ht="16">
      <c r="P345" s="642">
        <v>45287</v>
      </c>
      <c r="Q345" s="643">
        <v>164.54</v>
      </c>
      <c r="R345" s="644">
        <v>3319600</v>
      </c>
      <c r="S345" s="549"/>
      <c r="T345" s="549"/>
      <c r="U345" s="549"/>
      <c r="V345" s="556"/>
      <c r="W345" s="573"/>
      <c r="X345" s="572"/>
      <c r="Y345" s="549"/>
      <c r="Z345" s="549"/>
      <c r="AA345" s="549"/>
      <c r="AB345" s="549"/>
      <c r="AC345" s="549"/>
      <c r="AD345" s="549"/>
      <c r="AE345" s="549"/>
      <c r="AF345" s="549"/>
      <c r="AG345" s="549"/>
      <c r="AH345" s="549"/>
      <c r="AI345" s="549"/>
      <c r="AJ345" s="549"/>
    </row>
    <row r="346" spans="16:36" ht="16">
      <c r="P346" s="642">
        <v>45286</v>
      </c>
      <c r="Q346" s="643">
        <v>162.30000000000001</v>
      </c>
      <c r="R346" s="644">
        <v>2520500</v>
      </c>
      <c r="S346" s="549"/>
      <c r="T346" s="549"/>
      <c r="U346" s="549"/>
      <c r="V346" s="556"/>
      <c r="W346" s="573"/>
      <c r="X346" s="572"/>
      <c r="Y346" s="549"/>
      <c r="Z346" s="549"/>
      <c r="AA346" s="549"/>
      <c r="AB346" s="549"/>
      <c r="AC346" s="549"/>
      <c r="AD346" s="549"/>
      <c r="AE346" s="549"/>
      <c r="AF346" s="549"/>
      <c r="AG346" s="549"/>
      <c r="AH346" s="549"/>
      <c r="AI346" s="549"/>
      <c r="AJ346" s="549"/>
    </row>
    <row r="347" spans="16:36" ht="16">
      <c r="P347" s="642">
        <v>45282</v>
      </c>
      <c r="Q347" s="643">
        <v>161.6</v>
      </c>
      <c r="R347" s="644">
        <v>2770600</v>
      </c>
      <c r="S347" s="549"/>
      <c r="T347" s="549"/>
      <c r="U347" s="549"/>
      <c r="V347" s="556"/>
      <c r="W347" s="573"/>
      <c r="X347" s="572"/>
      <c r="Y347" s="549"/>
      <c r="Z347" s="549"/>
      <c r="AA347" s="549"/>
      <c r="AB347" s="549"/>
      <c r="AC347" s="549"/>
      <c r="AD347" s="549"/>
      <c r="AE347" s="549"/>
      <c r="AF347" s="549"/>
      <c r="AG347" s="549"/>
      <c r="AH347" s="549"/>
      <c r="AI347" s="549"/>
      <c r="AJ347" s="549"/>
    </row>
    <row r="348" spans="16:36" ht="16">
      <c r="P348" s="642">
        <v>45281</v>
      </c>
      <c r="Q348" s="643">
        <v>161</v>
      </c>
      <c r="R348" s="644">
        <v>4257300</v>
      </c>
      <c r="S348" s="549"/>
      <c r="T348" s="549"/>
      <c r="U348" s="549"/>
      <c r="V348" s="556"/>
      <c r="W348" s="573"/>
      <c r="X348" s="572"/>
      <c r="Y348" s="549"/>
      <c r="Z348" s="549"/>
      <c r="AA348" s="549"/>
      <c r="AB348" s="549"/>
      <c r="AC348" s="549"/>
      <c r="AD348" s="549"/>
      <c r="AE348" s="549"/>
      <c r="AF348" s="549"/>
      <c r="AG348" s="549"/>
      <c r="AH348" s="549"/>
      <c r="AI348" s="549"/>
      <c r="AJ348" s="549"/>
    </row>
    <row r="349" spans="16:36" ht="16">
      <c r="P349" s="642">
        <v>45280</v>
      </c>
      <c r="Q349" s="643">
        <v>160.81</v>
      </c>
      <c r="R349" s="644">
        <v>5488700</v>
      </c>
      <c r="S349" s="549"/>
      <c r="T349" s="549"/>
      <c r="U349" s="549"/>
      <c r="V349" s="556"/>
      <c r="W349" s="573"/>
      <c r="X349" s="572"/>
      <c r="Y349" s="549"/>
      <c r="Z349" s="549"/>
      <c r="AA349" s="549"/>
      <c r="AB349" s="549"/>
      <c r="AC349" s="549"/>
      <c r="AD349" s="549"/>
      <c r="AE349" s="549"/>
      <c r="AF349" s="549"/>
      <c r="AG349" s="549"/>
      <c r="AH349" s="549"/>
      <c r="AI349" s="549"/>
      <c r="AJ349" s="549"/>
    </row>
    <row r="350" spans="16:36" ht="16">
      <c r="P350" s="642">
        <v>45279</v>
      </c>
      <c r="Q350" s="643">
        <v>160.58000000000001</v>
      </c>
      <c r="R350" s="644">
        <v>4958200</v>
      </c>
      <c r="S350" s="549"/>
      <c r="T350" s="549"/>
      <c r="U350" s="549"/>
      <c r="V350" s="556"/>
      <c r="W350" s="573"/>
      <c r="X350" s="572"/>
      <c r="Y350" s="549"/>
      <c r="Z350" s="549"/>
      <c r="AA350" s="549"/>
      <c r="AB350" s="549"/>
      <c r="AC350" s="549"/>
      <c r="AD350" s="549"/>
      <c r="AE350" s="549"/>
      <c r="AF350" s="549"/>
      <c r="AG350" s="549"/>
      <c r="AH350" s="549"/>
      <c r="AI350" s="549"/>
      <c r="AJ350" s="549"/>
    </row>
    <row r="351" spans="16:36" ht="16">
      <c r="P351" s="642">
        <v>45278</v>
      </c>
      <c r="Q351" s="643">
        <v>160.88999999999999</v>
      </c>
      <c r="R351" s="644">
        <v>4772300</v>
      </c>
      <c r="S351" s="549"/>
      <c r="T351" s="549"/>
      <c r="U351" s="549"/>
      <c r="V351" s="556"/>
      <c r="W351" s="573"/>
      <c r="X351" s="572"/>
      <c r="Y351" s="549"/>
      <c r="Z351" s="549"/>
      <c r="AA351" s="549"/>
      <c r="AB351" s="549"/>
      <c r="AC351" s="549"/>
      <c r="AD351" s="549"/>
      <c r="AE351" s="549"/>
      <c r="AF351" s="549"/>
      <c r="AG351" s="549"/>
      <c r="AH351" s="549"/>
      <c r="AI351" s="549"/>
      <c r="AJ351" s="549"/>
    </row>
    <row r="352" spans="16:36" ht="16">
      <c r="P352" s="642">
        <v>45275</v>
      </c>
      <c r="Q352" s="643">
        <v>162.21</v>
      </c>
      <c r="R352" s="644">
        <v>8577200</v>
      </c>
      <c r="S352" s="549"/>
      <c r="T352" s="549"/>
      <c r="U352" s="549"/>
      <c r="V352" s="556"/>
      <c r="W352" s="573"/>
      <c r="X352" s="572"/>
      <c r="Y352" s="549"/>
      <c r="Z352" s="549"/>
      <c r="AA352" s="549"/>
      <c r="AB352" s="549"/>
      <c r="AC352" s="549"/>
      <c r="AD352" s="549"/>
      <c r="AE352" s="549"/>
      <c r="AF352" s="549"/>
      <c r="AG352" s="549"/>
      <c r="AH352" s="549"/>
      <c r="AI352" s="549"/>
      <c r="AJ352" s="549"/>
    </row>
    <row r="353" spans="16:36" ht="16">
      <c r="P353" s="642">
        <v>45274</v>
      </c>
      <c r="Q353" s="643">
        <v>157.77000000000001</v>
      </c>
      <c r="R353" s="644">
        <v>7401200</v>
      </c>
      <c r="S353" s="549"/>
      <c r="T353" s="549"/>
      <c r="U353" s="549"/>
      <c r="V353" s="556"/>
      <c r="W353" s="573"/>
      <c r="X353" s="572"/>
      <c r="Y353" s="549"/>
      <c r="Z353" s="549"/>
      <c r="AA353" s="549"/>
      <c r="AB353" s="549"/>
      <c r="AC353" s="549"/>
      <c r="AD353" s="549"/>
      <c r="AE353" s="549"/>
      <c r="AF353" s="549"/>
      <c r="AG353" s="549"/>
      <c r="AH353" s="549"/>
      <c r="AI353" s="549"/>
      <c r="AJ353" s="549"/>
    </row>
    <row r="354" spans="16:36" ht="16">
      <c r="P354" s="642">
        <v>45273</v>
      </c>
      <c r="Q354" s="643">
        <v>157.03</v>
      </c>
      <c r="R354" s="644">
        <v>5561700</v>
      </c>
      <c r="S354" s="549"/>
      <c r="T354" s="549"/>
      <c r="U354" s="549"/>
      <c r="V354" s="556"/>
      <c r="W354" s="573"/>
      <c r="X354" s="572"/>
      <c r="Y354" s="549"/>
      <c r="Z354" s="549"/>
      <c r="AA354" s="549"/>
      <c r="AB354" s="549"/>
      <c r="AC354" s="549"/>
      <c r="AD354" s="549"/>
      <c r="AE354" s="549"/>
      <c r="AF354" s="549"/>
      <c r="AG354" s="549"/>
      <c r="AH354" s="549"/>
      <c r="AI354" s="549"/>
      <c r="AJ354" s="549"/>
    </row>
    <row r="355" spans="16:36" ht="16">
      <c r="P355" s="642">
        <v>45272</v>
      </c>
      <c r="Q355" s="643">
        <v>155.13999999999999</v>
      </c>
      <c r="R355" s="644">
        <v>5705200</v>
      </c>
      <c r="S355" s="549"/>
      <c r="T355" s="549"/>
      <c r="U355" s="549"/>
      <c r="V355" s="556"/>
      <c r="W355" s="573"/>
      <c r="X355" s="572"/>
      <c r="Y355" s="549"/>
      <c r="Z355" s="549"/>
      <c r="AA355" s="549"/>
      <c r="AB355" s="549"/>
      <c r="AC355" s="549"/>
      <c r="AD355" s="549"/>
      <c r="AE355" s="549"/>
      <c r="AF355" s="549"/>
      <c r="AG355" s="549"/>
      <c r="AH355" s="549"/>
      <c r="AI355" s="549"/>
      <c r="AJ355" s="549"/>
    </row>
    <row r="356" spans="16:36" ht="16">
      <c r="P356" s="642">
        <v>45271</v>
      </c>
      <c r="Q356" s="643">
        <v>149.21</v>
      </c>
      <c r="R356" s="644">
        <v>6945800</v>
      </c>
      <c r="S356" s="549"/>
      <c r="T356" s="549"/>
      <c r="U356" s="549"/>
      <c r="V356" s="556"/>
      <c r="W356" s="573"/>
      <c r="X356" s="572"/>
      <c r="Y356" s="549"/>
      <c r="Z356" s="549"/>
      <c r="AA356" s="549"/>
      <c r="AB356" s="549"/>
      <c r="AC356" s="549"/>
      <c r="AD356" s="549"/>
      <c r="AE356" s="549"/>
      <c r="AF356" s="549"/>
      <c r="AG356" s="549"/>
      <c r="AH356" s="549"/>
      <c r="AI356" s="549"/>
      <c r="AJ356" s="549"/>
    </row>
    <row r="357" spans="16:36" ht="16">
      <c r="P357" s="642">
        <v>45268</v>
      </c>
      <c r="Q357" s="643">
        <v>147.41999999999999</v>
      </c>
      <c r="R357" s="644">
        <v>4987800</v>
      </c>
      <c r="S357" s="549"/>
      <c r="T357" s="549"/>
      <c r="U357" s="549"/>
      <c r="V357" s="556"/>
      <c r="W357" s="573"/>
      <c r="X357" s="572"/>
      <c r="Y357" s="549"/>
      <c r="Z357" s="549"/>
      <c r="AA357" s="549"/>
      <c r="AB357" s="549"/>
      <c r="AC357" s="549"/>
      <c r="AD357" s="549"/>
      <c r="AE357" s="549"/>
      <c r="AF357" s="549"/>
      <c r="AG357" s="549"/>
      <c r="AH357" s="549"/>
      <c r="AI357" s="549"/>
      <c r="AJ357" s="549"/>
    </row>
    <row r="358" spans="16:36" ht="16">
      <c r="P358" s="642">
        <v>45267</v>
      </c>
      <c r="Q358" s="643">
        <v>146.96</v>
      </c>
      <c r="R358" s="644">
        <v>5753600</v>
      </c>
      <c r="S358" s="549"/>
      <c r="T358" s="549"/>
      <c r="U358" s="549"/>
      <c r="V358" s="556"/>
      <c r="W358" s="573"/>
      <c r="X358" s="572"/>
      <c r="Y358" s="549"/>
      <c r="Z358" s="549"/>
      <c r="AA358" s="549"/>
      <c r="AB358" s="549"/>
      <c r="AC358" s="549"/>
      <c r="AD358" s="549"/>
      <c r="AE358" s="549"/>
      <c r="AF358" s="549"/>
      <c r="AG358" s="549"/>
      <c r="AH358" s="549"/>
      <c r="AI358" s="549"/>
      <c r="AJ358" s="549"/>
    </row>
    <row r="359" spans="16:36" ht="16">
      <c r="P359" s="642">
        <v>45266</v>
      </c>
      <c r="Q359" s="643">
        <v>148.68</v>
      </c>
      <c r="R359" s="644">
        <v>4491100</v>
      </c>
      <c r="S359" s="549"/>
      <c r="T359" s="549"/>
      <c r="U359" s="549"/>
      <c r="V359" s="556"/>
      <c r="W359" s="573"/>
      <c r="X359" s="572"/>
      <c r="Y359" s="549"/>
      <c r="Z359" s="549"/>
      <c r="AA359" s="549"/>
      <c r="AB359" s="549"/>
      <c r="AC359" s="549"/>
      <c r="AD359" s="549"/>
      <c r="AE359" s="549"/>
      <c r="AF359" s="549"/>
      <c r="AG359" s="549"/>
      <c r="AH359" s="549"/>
      <c r="AI359" s="549"/>
      <c r="AJ359" s="549"/>
    </row>
    <row r="360" spans="16:36" ht="16">
      <c r="P360" s="642">
        <v>45265</v>
      </c>
      <c r="Q360" s="643">
        <v>146.53</v>
      </c>
      <c r="R360" s="644">
        <v>5206300</v>
      </c>
      <c r="S360" s="549"/>
      <c r="T360" s="549"/>
      <c r="U360" s="549"/>
      <c r="V360" s="556"/>
      <c r="W360" s="573"/>
      <c r="X360" s="572"/>
      <c r="Y360" s="549"/>
      <c r="Z360" s="549"/>
      <c r="AA360" s="549"/>
      <c r="AB360" s="549"/>
      <c r="AC360" s="549"/>
      <c r="AD360" s="549"/>
      <c r="AE360" s="549"/>
      <c r="AF360" s="549"/>
      <c r="AG360" s="549"/>
      <c r="AH360" s="549"/>
      <c r="AI360" s="549"/>
      <c r="AJ360" s="549"/>
    </row>
    <row r="361" spans="16:36" ht="16">
      <c r="P361" s="642">
        <v>45264</v>
      </c>
      <c r="Q361" s="643">
        <v>150.04</v>
      </c>
      <c r="R361" s="644">
        <v>5859600</v>
      </c>
      <c r="S361" s="549"/>
      <c r="T361" s="549"/>
      <c r="U361" s="549"/>
      <c r="V361" s="556"/>
      <c r="W361" s="573"/>
      <c r="X361" s="572"/>
      <c r="Y361" s="549"/>
      <c r="Z361" s="549"/>
      <c r="AA361" s="549"/>
      <c r="AB361" s="549"/>
      <c r="AC361" s="549"/>
      <c r="AD361" s="549"/>
      <c r="AE361" s="549"/>
      <c r="AF361" s="549"/>
      <c r="AG361" s="549"/>
      <c r="AH361" s="549"/>
      <c r="AI361" s="549"/>
      <c r="AJ361" s="549"/>
    </row>
    <row r="362" spans="16:36" ht="16">
      <c r="P362" s="642">
        <v>45261</v>
      </c>
      <c r="Q362" s="643">
        <v>149.56</v>
      </c>
      <c r="R362" s="644">
        <v>4923600</v>
      </c>
      <c r="S362" s="549"/>
      <c r="T362" s="549"/>
      <c r="U362" s="549"/>
      <c r="V362" s="556"/>
      <c r="W362" s="573"/>
      <c r="X362" s="572"/>
      <c r="Y362" s="549"/>
      <c r="Z362" s="549"/>
      <c r="AA362" s="549"/>
      <c r="AB362" s="549"/>
      <c r="AC362" s="549"/>
      <c r="AD362" s="549"/>
      <c r="AE362" s="549"/>
      <c r="AF362" s="549"/>
      <c r="AG362" s="549"/>
      <c r="AH362" s="549"/>
      <c r="AI362" s="549"/>
      <c r="AJ362" s="549"/>
    </row>
    <row r="363" spans="16:36" ht="16">
      <c r="P363" s="642">
        <v>45260</v>
      </c>
      <c r="Q363" s="643">
        <v>150.41</v>
      </c>
      <c r="R363" s="644">
        <v>7555600</v>
      </c>
      <c r="S363" s="549"/>
      <c r="T363" s="549"/>
      <c r="U363" s="549"/>
      <c r="V363" s="556"/>
      <c r="W363" s="573"/>
      <c r="X363" s="572"/>
      <c r="Y363" s="549"/>
      <c r="Z363" s="549"/>
      <c r="AA363" s="549"/>
      <c r="AB363" s="549"/>
      <c r="AC363" s="549"/>
      <c r="AD363" s="549"/>
      <c r="AE363" s="549"/>
      <c r="AF363" s="549"/>
      <c r="AG363" s="549"/>
      <c r="AH363" s="549"/>
      <c r="AI363" s="549"/>
      <c r="AJ363" s="549"/>
    </row>
    <row r="364" spans="16:36" ht="16">
      <c r="P364" s="642">
        <v>45259</v>
      </c>
      <c r="Q364" s="643">
        <v>150.24</v>
      </c>
      <c r="R364" s="644">
        <v>4975600</v>
      </c>
      <c r="S364" s="549"/>
      <c r="T364" s="549"/>
      <c r="U364" s="549"/>
      <c r="V364" s="556"/>
      <c r="W364" s="573"/>
      <c r="X364" s="572"/>
      <c r="Y364" s="549"/>
      <c r="Z364" s="549"/>
      <c r="AA364" s="549"/>
      <c r="AB364" s="549"/>
      <c r="AC364" s="549"/>
      <c r="AD364" s="549"/>
      <c r="AE364" s="549"/>
      <c r="AF364" s="549"/>
      <c r="AG364" s="549"/>
      <c r="AH364" s="549"/>
      <c r="AI364" s="549"/>
      <c r="AJ364" s="549"/>
    </row>
    <row r="365" spans="16:36">
      <c r="P365" s="642">
        <v>45258</v>
      </c>
      <c r="Q365" s="643">
        <v>149.36000000000001</v>
      </c>
      <c r="R365" s="644">
        <v>5799600</v>
      </c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5BA33-1B20-434D-BAD8-C0571A228F4A}">
  <sheetPr codeName="Sheet1"/>
  <dimension ref="A2:AA191"/>
  <sheetViews>
    <sheetView showGridLines="0" zoomScale="50" zoomScaleNormal="40" workbookViewId="0">
      <selection activeCell="O8" sqref="O8"/>
    </sheetView>
  </sheetViews>
  <sheetFormatPr defaultColWidth="8.7265625" defaultRowHeight="16"/>
  <cols>
    <col min="1" max="1" width="8.7265625" style="16"/>
    <col min="2" max="2" width="3.54296875" style="16" customWidth="1"/>
    <col min="3" max="3" width="51.7265625" style="16" bestFit="1" customWidth="1"/>
    <col min="4" max="5" width="12.1796875" style="16" bestFit="1" customWidth="1"/>
    <col min="6" max="6" width="11" style="16" bestFit="1" customWidth="1"/>
    <col min="7" max="7" width="11.54296875" style="16" bestFit="1" customWidth="1"/>
    <col min="8" max="10" width="11" style="16" bestFit="1" customWidth="1"/>
    <col min="11" max="14" width="12" style="16" bestFit="1" customWidth="1"/>
    <col min="15" max="15" width="13.1796875" style="16" bestFit="1" customWidth="1"/>
    <col min="16" max="16" width="12.26953125" style="16" bestFit="1" customWidth="1"/>
    <col min="17" max="17" width="53" style="16" bestFit="1" customWidth="1"/>
    <col min="18" max="19" width="10.81640625" style="16" bestFit="1" customWidth="1"/>
    <col min="20" max="26" width="12" style="16" bestFit="1" customWidth="1"/>
    <col min="27" max="16384" width="8.7265625" style="16"/>
  </cols>
  <sheetData>
    <row r="2" spans="2:16">
      <c r="B2" s="42"/>
      <c r="C2" s="42"/>
      <c r="D2" s="42"/>
      <c r="E2" s="42"/>
      <c r="F2" s="42"/>
      <c r="G2" s="42"/>
      <c r="H2" s="200"/>
      <c r="I2" s="42"/>
      <c r="J2" s="42"/>
      <c r="K2" s="42"/>
      <c r="L2" s="42"/>
      <c r="M2" s="200"/>
      <c r="N2" s="42"/>
      <c r="O2" s="42"/>
      <c r="P2" s="42"/>
    </row>
    <row r="3" spans="2:16">
      <c r="B3" s="15" t="s">
        <v>201</v>
      </c>
      <c r="C3" s="42"/>
      <c r="D3" s="42"/>
      <c r="E3" s="1" t="str">
        <f>E17</f>
        <v>Units: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5" spans="2:16">
      <c r="C5" s="16" t="s">
        <v>1</v>
      </c>
      <c r="E5" s="17" t="s">
        <v>2</v>
      </c>
      <c r="G5" s="29" t="s">
        <v>47</v>
      </c>
      <c r="H5" s="3"/>
      <c r="K5" s="411" t="s">
        <v>13</v>
      </c>
      <c r="L5" s="412"/>
      <c r="M5" s="413"/>
      <c r="N5" s="414"/>
      <c r="O5" s="415">
        <v>45592</v>
      </c>
    </row>
    <row r="6" spans="2:16">
      <c r="C6" s="16" t="s">
        <v>3</v>
      </c>
      <c r="E6" s="17" t="s">
        <v>2</v>
      </c>
      <c r="G6" s="4" t="s">
        <v>48</v>
      </c>
      <c r="H6" s="18"/>
      <c r="K6" s="411" t="s">
        <v>352</v>
      </c>
      <c r="L6" s="412"/>
      <c r="M6" s="413"/>
      <c r="N6" s="414"/>
      <c r="O6" s="415">
        <f>EOMONTH(O5,12)</f>
        <v>45961</v>
      </c>
    </row>
    <row r="7" spans="2:16">
      <c r="C7" s="16" t="s">
        <v>4</v>
      </c>
      <c r="E7" s="17" t="s">
        <v>5</v>
      </c>
      <c r="G7" s="19">
        <v>175.55</v>
      </c>
      <c r="H7" s="20"/>
      <c r="K7" s="411" t="s">
        <v>353</v>
      </c>
      <c r="L7" s="412"/>
      <c r="M7" s="413"/>
      <c r="N7" s="414"/>
      <c r="O7" s="415">
        <v>45592</v>
      </c>
    </row>
    <row r="8" spans="2:16">
      <c r="C8" s="18" t="s">
        <v>6</v>
      </c>
      <c r="E8" s="17" t="s">
        <v>7</v>
      </c>
      <c r="G8" s="99">
        <v>824.4</v>
      </c>
      <c r="H8" s="18"/>
      <c r="K8" s="411" t="s">
        <v>354</v>
      </c>
      <c r="L8" s="412"/>
      <c r="M8" s="413"/>
      <c r="N8" s="414"/>
      <c r="O8" s="415">
        <v>45617</v>
      </c>
    </row>
    <row r="9" spans="2:16">
      <c r="C9" s="18"/>
      <c r="E9" s="18"/>
      <c r="G9" s="18"/>
      <c r="H9" s="18"/>
    </row>
    <row r="10" spans="2:16">
      <c r="C10" s="18" t="s">
        <v>8</v>
      </c>
      <c r="E10" s="17" t="s">
        <v>9</v>
      </c>
      <c r="G10" s="5">
        <f>AVERAGE(F53:O53)</f>
        <v>0.12944299046247859</v>
      </c>
      <c r="H10" s="18"/>
    </row>
    <row r="11" spans="2:16">
      <c r="C11" s="18" t="s">
        <v>10</v>
      </c>
      <c r="E11" s="17" t="s">
        <v>9</v>
      </c>
      <c r="G11" s="352">
        <f>DiscountRate</f>
        <v>0.11643306046171654</v>
      </c>
      <c r="H11" s="18"/>
      <c r="K11" s="411" t="s">
        <v>348</v>
      </c>
      <c r="L11" s="412"/>
      <c r="M11" s="413"/>
      <c r="N11" s="413"/>
      <c r="O11" s="415">
        <f>O5</f>
        <v>45592</v>
      </c>
    </row>
    <row r="12" spans="2:16">
      <c r="C12" s="18"/>
      <c r="E12" s="18"/>
      <c r="G12" s="18"/>
      <c r="H12" s="18"/>
      <c r="K12" s="411" t="s">
        <v>349</v>
      </c>
      <c r="L12" s="412"/>
      <c r="M12" s="413"/>
      <c r="N12" s="413"/>
      <c r="O12" s="415">
        <f>Next_Year</f>
        <v>45961</v>
      </c>
    </row>
    <row r="13" spans="2:16">
      <c r="C13" s="18" t="s">
        <v>11</v>
      </c>
      <c r="E13" s="17" t="s">
        <v>12</v>
      </c>
      <c r="G13" s="6">
        <v>1000000</v>
      </c>
      <c r="H13" s="18"/>
      <c r="K13" s="411" t="s">
        <v>350</v>
      </c>
      <c r="L13" s="412"/>
      <c r="M13" s="413"/>
      <c r="N13" s="413"/>
      <c r="O13" s="415">
        <f>EOMONTH(Forward_Year_1,12)</f>
        <v>46326</v>
      </c>
    </row>
    <row r="14" spans="2:16">
      <c r="E14" s="17"/>
      <c r="G14" s="7"/>
      <c r="H14" s="18"/>
      <c r="K14" s="411" t="s">
        <v>351</v>
      </c>
      <c r="L14" s="412"/>
      <c r="M14" s="412"/>
      <c r="N14" s="412"/>
      <c r="O14" s="415">
        <f>EOMONTH(Forward_Year_2,12)</f>
        <v>46691</v>
      </c>
    </row>
    <row r="15" spans="2:16">
      <c r="E15" s="17"/>
      <c r="G15" s="68"/>
      <c r="H15" s="18"/>
    </row>
    <row r="16" spans="2:16">
      <c r="B16" s="42"/>
      <c r="C16" s="42"/>
      <c r="D16" s="42"/>
      <c r="E16" s="42"/>
      <c r="F16" s="42"/>
      <c r="G16" s="14"/>
      <c r="H16" s="47"/>
      <c r="I16" s="47"/>
      <c r="J16" s="47"/>
      <c r="K16" s="646"/>
      <c r="L16" s="48"/>
      <c r="M16" s="14"/>
      <c r="N16" s="47"/>
      <c r="O16" s="42"/>
      <c r="P16" s="42"/>
    </row>
    <row r="17" spans="2:16">
      <c r="B17" s="15" t="s">
        <v>14</v>
      </c>
      <c r="C17" s="42"/>
      <c r="D17" s="42"/>
      <c r="E17" s="1" t="s">
        <v>15</v>
      </c>
      <c r="F17" s="1">
        <v>43496</v>
      </c>
      <c r="G17" s="1">
        <v>43861</v>
      </c>
      <c r="H17" s="1">
        <v>44227</v>
      </c>
      <c r="I17" s="1">
        <v>44592</v>
      </c>
      <c r="J17" s="1">
        <v>44957</v>
      </c>
      <c r="K17" s="1">
        <v>45322</v>
      </c>
      <c r="L17" s="2">
        <v>45688</v>
      </c>
      <c r="M17" s="1">
        <v>46053</v>
      </c>
      <c r="N17" s="1">
        <v>46418</v>
      </c>
      <c r="O17" s="1">
        <v>46783</v>
      </c>
      <c r="P17" s="1">
        <f>EOMONTH(O17,12)</f>
        <v>47149</v>
      </c>
    </row>
    <row r="18" spans="2:16">
      <c r="B18" s="22"/>
      <c r="C18" s="95" t="s">
        <v>16</v>
      </c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</row>
    <row r="19" spans="2:16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6">
      <c r="C20" s="661" t="s">
        <v>92</v>
      </c>
      <c r="F20" s="75"/>
      <c r="G20" s="75"/>
      <c r="H20" s="75"/>
      <c r="I20" s="75"/>
      <c r="J20" s="75"/>
      <c r="L20" s="72"/>
    </row>
    <row r="21" spans="2:16">
      <c r="C21" s="25" t="s">
        <v>38</v>
      </c>
      <c r="E21" s="40" t="s">
        <v>54</v>
      </c>
      <c r="F21" s="189">
        <v>9027</v>
      </c>
      <c r="G21" s="189">
        <v>11367</v>
      </c>
      <c r="H21" s="189">
        <v>16286</v>
      </c>
      <c r="I21" s="189">
        <v>18797</v>
      </c>
      <c r="J21" s="189">
        <v>19698</v>
      </c>
      <c r="K21" s="189">
        <v>19911</v>
      </c>
      <c r="L21" s="667">
        <f>K21*(1+L22)</f>
        <v>20325.413228754187</v>
      </c>
      <c r="M21" s="667">
        <f t="shared" ref="M21:P21" si="0">L21*(1+M22)</f>
        <v>20951.705888583845</v>
      </c>
      <c r="N21" s="667">
        <f t="shared" si="0"/>
        <v>21806.81373872437</v>
      </c>
      <c r="O21" s="667">
        <f t="shared" si="0"/>
        <v>22914.889482828541</v>
      </c>
      <c r="P21" s="667">
        <f t="shared" si="0"/>
        <v>24308.419085401405</v>
      </c>
    </row>
    <row r="22" spans="2:16">
      <c r="C22" s="31" t="s">
        <v>93</v>
      </c>
      <c r="E22" s="77" t="s">
        <v>9</v>
      </c>
      <c r="F22" s="189"/>
      <c r="G22" s="189"/>
      <c r="H22" s="189"/>
      <c r="I22" s="189"/>
      <c r="J22" s="189"/>
      <c r="K22" s="189"/>
      <c r="L22" s="416">
        <f>INDEX($L$23:$P$25,MATCH(Scenario,$C23:$C25,0),1)</f>
        <v>2.0813280536094984E-2</v>
      </c>
      <c r="M22" s="416">
        <f>INDEX($L$23:$P$25,MATCH(Scenario,$C23:$C25,0),2)</f>
        <v>3.0813280536094986E-2</v>
      </c>
      <c r="N22" s="416">
        <f>INDEX($L$23:$P$25,MATCH(Scenario,$C23:$C25,0),3)</f>
        <v>4.0813280536094988E-2</v>
      </c>
      <c r="O22" s="416">
        <f>INDEX($L$23:$P$25,MATCH(Scenario,$C23:$C25,0),4)</f>
        <v>5.081328053609499E-2</v>
      </c>
      <c r="P22" s="416">
        <f>INDEX($L$23:$P$25,MATCH(Scenario,$C23:$C25,0),5)</f>
        <v>6.0813280536094992E-2</v>
      </c>
    </row>
    <row r="23" spans="2:16">
      <c r="C23" s="267" t="s">
        <v>497</v>
      </c>
      <c r="E23" s="77" t="s">
        <v>9</v>
      </c>
      <c r="F23" s="189"/>
      <c r="G23" s="189"/>
      <c r="H23" s="189"/>
      <c r="I23" s="189"/>
      <c r="J23" s="189"/>
      <c r="K23" s="189"/>
      <c r="L23" s="670">
        <v>0.05</v>
      </c>
      <c r="M23" s="670">
        <v>7.0000000000000007E-2</v>
      </c>
      <c r="N23" s="670">
        <f>M23+2%</f>
        <v>9.0000000000000011E-2</v>
      </c>
      <c r="O23" s="670">
        <f t="shared" ref="O23:P23" si="1">N23+2%</f>
        <v>0.11000000000000001</v>
      </c>
      <c r="P23" s="670">
        <f t="shared" si="1"/>
        <v>0.13</v>
      </c>
    </row>
    <row r="24" spans="2:16">
      <c r="C24" s="267" t="s">
        <v>498</v>
      </c>
      <c r="E24" s="77" t="s">
        <v>9</v>
      </c>
      <c r="F24" s="190"/>
      <c r="G24" s="191">
        <f>G21/F21-1</f>
        <v>0.25922233300099706</v>
      </c>
      <c r="H24" s="191">
        <f t="shared" ref="H24:K24" si="2">H21/G21-1</f>
        <v>0.4327439078032902</v>
      </c>
      <c r="I24" s="191">
        <f t="shared" si="2"/>
        <v>0.15418150558762123</v>
      </c>
      <c r="J24" s="191">
        <f t="shared" si="2"/>
        <v>4.7933180826727595E-2</v>
      </c>
      <c r="K24" s="191">
        <f t="shared" si="2"/>
        <v>1.0813280536094982E-2</v>
      </c>
      <c r="L24" s="669">
        <f>K24+1%</f>
        <v>2.0813280536094984E-2</v>
      </c>
      <c r="M24" s="669">
        <f t="shared" ref="M24:P24" si="3">L24+1%</f>
        <v>3.0813280536094986E-2</v>
      </c>
      <c r="N24" s="669">
        <f t="shared" si="3"/>
        <v>4.0813280536094988E-2</v>
      </c>
      <c r="O24" s="669">
        <f t="shared" si="3"/>
        <v>5.081328053609499E-2</v>
      </c>
      <c r="P24" s="669">
        <f t="shared" si="3"/>
        <v>6.0813280536094992E-2</v>
      </c>
    </row>
    <row r="25" spans="2:16">
      <c r="C25" s="267" t="s">
        <v>499</v>
      </c>
      <c r="E25" s="77" t="s">
        <v>9</v>
      </c>
      <c r="F25" s="190"/>
      <c r="G25" s="191"/>
      <c r="H25" s="191"/>
      <c r="I25" s="191"/>
      <c r="J25" s="191"/>
      <c r="K25" s="191"/>
      <c r="L25" s="669">
        <v>0</v>
      </c>
      <c r="M25" s="669">
        <v>0.01</v>
      </c>
      <c r="N25" s="669">
        <v>0.02</v>
      </c>
      <c r="O25" s="669">
        <v>0.02</v>
      </c>
      <c r="P25" s="669">
        <v>0.03</v>
      </c>
    </row>
    <row r="26" spans="2:16">
      <c r="C26" s="664"/>
      <c r="E26" s="77"/>
      <c r="F26" s="665"/>
      <c r="G26" s="666"/>
      <c r="H26" s="666"/>
      <c r="I26" s="666"/>
      <c r="J26" s="666"/>
      <c r="K26" s="666"/>
      <c r="L26" s="668"/>
      <c r="M26" s="668"/>
      <c r="N26" s="668"/>
      <c r="O26" s="668"/>
      <c r="P26" s="668"/>
    </row>
    <row r="27" spans="2:16">
      <c r="C27" s="25" t="s">
        <v>39</v>
      </c>
      <c r="E27" s="40" t="s">
        <v>54</v>
      </c>
      <c r="F27" s="189">
        <v>3854</v>
      </c>
      <c r="G27" s="189">
        <v>4155</v>
      </c>
      <c r="H27" s="189">
        <v>5013</v>
      </c>
      <c r="I27" s="189">
        <v>5543</v>
      </c>
      <c r="J27" s="189">
        <v>5732</v>
      </c>
      <c r="K27" s="189">
        <v>6225</v>
      </c>
      <c r="L27" s="667">
        <f>K27*(1+L28)</f>
        <v>6785.2500000000009</v>
      </c>
      <c r="M27" s="667">
        <f t="shared" ref="M27:P27" si="4">L27*(1+M28)</f>
        <v>7463.7750000000015</v>
      </c>
      <c r="N27" s="667">
        <f t="shared" si="4"/>
        <v>8284.79025</v>
      </c>
      <c r="O27" s="667">
        <f t="shared" si="4"/>
        <v>9278.9650799999999</v>
      </c>
      <c r="P27" s="667">
        <f t="shared" si="4"/>
        <v>10485.230540399998</v>
      </c>
    </row>
    <row r="28" spans="2:16">
      <c r="C28" s="31" t="s">
        <v>93</v>
      </c>
      <c r="E28" s="77" t="s">
        <v>9</v>
      </c>
      <c r="F28" s="190"/>
      <c r="L28" s="416">
        <f>INDEX($L$29:$P$31,MATCH(Scenario,$C29:$C31,0),1)</f>
        <v>0.09</v>
      </c>
      <c r="M28" s="416">
        <f>INDEX($L$29:$P$31,MATCH(Scenario,$C29:$C31,0),2)</f>
        <v>9.9999999999999992E-2</v>
      </c>
      <c r="N28" s="416">
        <f>INDEX($L$29:$P$31,MATCH(Scenario,$C29:$C31,0),3)</f>
        <v>0.10999999999999999</v>
      </c>
      <c r="O28" s="416">
        <f>INDEX($L$29:$P$31,MATCH(Scenario,$C29:$C31,0),4)</f>
        <v>0.11999999999999998</v>
      </c>
      <c r="P28" s="416">
        <f>INDEX($L$29:$P$31,MATCH(Scenario,$C29:$C31,0),5)</f>
        <v>0.12999999999999998</v>
      </c>
    </row>
    <row r="29" spans="2:16">
      <c r="C29" s="16" t="s">
        <v>497</v>
      </c>
      <c r="E29" s="77" t="s">
        <v>9</v>
      </c>
      <c r="F29" s="190"/>
      <c r="G29" s="191"/>
      <c r="H29" s="191"/>
      <c r="I29" s="191"/>
      <c r="J29" s="191"/>
      <c r="K29" s="191"/>
      <c r="L29" s="669">
        <v>0.11</v>
      </c>
      <c r="M29" s="669">
        <f>L29+2%</f>
        <v>0.13</v>
      </c>
      <c r="N29" s="669">
        <f t="shared" ref="N29:P29" si="5">M29+2%</f>
        <v>0.15</v>
      </c>
      <c r="O29" s="669">
        <f t="shared" si="5"/>
        <v>0.16999999999999998</v>
      </c>
      <c r="P29" s="669">
        <f t="shared" si="5"/>
        <v>0.18999999999999997</v>
      </c>
    </row>
    <row r="30" spans="2:16">
      <c r="C30" s="16" t="s">
        <v>498</v>
      </c>
      <c r="E30" s="77" t="s">
        <v>9</v>
      </c>
      <c r="F30" s="190"/>
      <c r="G30" s="191">
        <f>G27/F27-1</f>
        <v>7.8100674623767574E-2</v>
      </c>
      <c r="H30" s="191">
        <f>H27/G27-1</f>
        <v>0.20649819494584842</v>
      </c>
      <c r="I30" s="191">
        <f>I27/H27-1</f>
        <v>0.10572511470177548</v>
      </c>
      <c r="J30" s="191">
        <f>J27/I27-1</f>
        <v>3.4097059354140313E-2</v>
      </c>
      <c r="K30" s="191">
        <f>K27/J27-1</f>
        <v>8.6008374040474456E-2</v>
      </c>
      <c r="L30" s="669">
        <v>0.09</v>
      </c>
      <c r="M30" s="669">
        <f>L30+1%</f>
        <v>9.9999999999999992E-2</v>
      </c>
      <c r="N30" s="669">
        <f t="shared" ref="N30:P30" si="6">M30+1%</f>
        <v>0.10999999999999999</v>
      </c>
      <c r="O30" s="669">
        <f t="shared" si="6"/>
        <v>0.11999999999999998</v>
      </c>
      <c r="P30" s="669">
        <f t="shared" si="6"/>
        <v>0.12999999999999998</v>
      </c>
    </row>
    <row r="31" spans="2:16">
      <c r="C31" s="16" t="s">
        <v>499</v>
      </c>
      <c r="E31" s="77" t="s">
        <v>9</v>
      </c>
      <c r="F31" s="190"/>
      <c r="G31" s="191"/>
      <c r="H31" s="191"/>
      <c r="I31" s="191"/>
      <c r="J31" s="191"/>
      <c r="K31" s="191"/>
      <c r="L31" s="669">
        <v>0.05</v>
      </c>
      <c r="M31" s="669">
        <v>0.05</v>
      </c>
      <c r="N31" s="669">
        <v>0.06</v>
      </c>
      <c r="O31" s="669">
        <v>0.06</v>
      </c>
      <c r="P31" s="669">
        <v>7.0000000000000007E-2</v>
      </c>
    </row>
    <row r="32" spans="2:16">
      <c r="C32" s="31"/>
      <c r="E32" s="77"/>
      <c r="F32" s="190"/>
      <c r="G32" s="191"/>
      <c r="H32" s="191"/>
      <c r="I32" s="191"/>
      <c r="J32" s="191"/>
      <c r="K32" s="191"/>
      <c r="L32" s="668"/>
      <c r="M32" s="668"/>
      <c r="N32" s="668"/>
      <c r="O32" s="668"/>
      <c r="P32" s="668"/>
    </row>
    <row r="33" spans="3:16">
      <c r="C33" s="45" t="s">
        <v>40</v>
      </c>
      <c r="E33" s="40" t="s">
        <v>54</v>
      </c>
      <c r="F33" s="189">
        <v>1651</v>
      </c>
      <c r="G33" s="189">
        <v>1607</v>
      </c>
      <c r="H33" s="189">
        <v>1634</v>
      </c>
      <c r="I33" s="189">
        <v>1331</v>
      </c>
      <c r="J33" s="189">
        <v>868</v>
      </c>
      <c r="K33" s="189">
        <v>885</v>
      </c>
      <c r="L33" s="667">
        <f>K33*(1+L34)</f>
        <v>902.7</v>
      </c>
      <c r="M33" s="667">
        <f t="shared" ref="M33:P33" si="7">L33*(1+M34)</f>
        <v>929.78100000000006</v>
      </c>
      <c r="N33" s="667">
        <f t="shared" si="7"/>
        <v>957.67443000000014</v>
      </c>
      <c r="O33" s="667">
        <f t="shared" si="7"/>
        <v>995.98140720000015</v>
      </c>
      <c r="P33" s="667">
        <f t="shared" si="7"/>
        <v>1035.8206634880003</v>
      </c>
    </row>
    <row r="34" spans="3:16">
      <c r="C34" s="31" t="s">
        <v>93</v>
      </c>
      <c r="E34" s="77" t="s">
        <v>9</v>
      </c>
      <c r="F34" s="190"/>
      <c r="L34" s="416">
        <f>INDEX($L$35:$P$37,MATCH(Scenario,$C35:$C37,0),1)</f>
        <v>0.02</v>
      </c>
      <c r="M34" s="416">
        <f>INDEX($L$35:$P$37,MATCH(Scenario,$C35:$C37,0),2)</f>
        <v>0.03</v>
      </c>
      <c r="N34" s="416">
        <f>INDEX($L$35:$P$37,MATCH(Scenario,$C35:$C37,0),3)</f>
        <v>0.03</v>
      </c>
      <c r="O34" s="416">
        <f>INDEX($L$35:$P$37,MATCH(Scenario,$C35:$C37,0),4)</f>
        <v>0.04</v>
      </c>
      <c r="P34" s="416">
        <f>INDEX($L$35:$P$37,MATCH(Scenario,$C35:$C37,0),5)</f>
        <v>0.04</v>
      </c>
    </row>
    <row r="35" spans="3:16">
      <c r="C35" s="16" t="s">
        <v>497</v>
      </c>
      <c r="E35" s="77" t="s">
        <v>9</v>
      </c>
      <c r="F35" s="190"/>
      <c r="G35" s="191"/>
      <c r="H35" s="191"/>
      <c r="I35" s="191"/>
      <c r="J35" s="191"/>
      <c r="K35" s="191"/>
      <c r="L35" s="669">
        <v>0.04</v>
      </c>
      <c r="M35" s="669">
        <v>0.04</v>
      </c>
      <c r="N35" s="669">
        <v>0.06</v>
      </c>
      <c r="O35" s="669">
        <v>0.06</v>
      </c>
      <c r="P35" s="669">
        <v>7.0000000000000007E-2</v>
      </c>
    </row>
    <row r="36" spans="3:16">
      <c r="C36" s="16" t="s">
        <v>498</v>
      </c>
      <c r="E36" s="77" t="s">
        <v>9</v>
      </c>
      <c r="F36" s="190"/>
      <c r="G36" s="191">
        <f>G33/F33-1</f>
        <v>-2.6650514839491213E-2</v>
      </c>
      <c r="H36" s="191">
        <f>H33/G33-1</f>
        <v>1.6801493466085837E-2</v>
      </c>
      <c r="I36" s="191">
        <f>I33/H33-1</f>
        <v>-0.18543451652386778</v>
      </c>
      <c r="J36" s="191">
        <f>J33/I33-1</f>
        <v>-0.34785875281743051</v>
      </c>
      <c r="K36" s="191">
        <f>K33/J33-1</f>
        <v>1.9585253456221308E-2</v>
      </c>
      <c r="L36" s="669">
        <v>0.02</v>
      </c>
      <c r="M36" s="669">
        <v>0.03</v>
      </c>
      <c r="N36" s="669">
        <v>0.03</v>
      </c>
      <c r="O36" s="669">
        <v>0.04</v>
      </c>
      <c r="P36" s="669">
        <v>0.04</v>
      </c>
    </row>
    <row r="37" spans="3:16">
      <c r="C37" s="16" t="s">
        <v>499</v>
      </c>
      <c r="E37" s="77" t="s">
        <v>9</v>
      </c>
      <c r="F37" s="190"/>
      <c r="G37" s="191"/>
      <c r="H37" s="191"/>
      <c r="I37" s="191"/>
      <c r="J37" s="191"/>
      <c r="K37" s="191"/>
      <c r="L37" s="669">
        <v>-0.1</v>
      </c>
      <c r="M37" s="669">
        <v>0.02</v>
      </c>
      <c r="N37" s="669">
        <v>-0.1</v>
      </c>
      <c r="O37" s="669">
        <v>0.02</v>
      </c>
      <c r="P37" s="669">
        <v>0.02</v>
      </c>
    </row>
    <row r="38" spans="3:16">
      <c r="C38" s="31"/>
      <c r="E38" s="77"/>
      <c r="F38" s="190"/>
      <c r="G38" s="191"/>
      <c r="H38" s="191"/>
      <c r="I38" s="191"/>
      <c r="J38" s="191"/>
      <c r="K38" s="191"/>
      <c r="L38" s="668"/>
      <c r="M38" s="668"/>
      <c r="N38" s="668"/>
      <c r="O38" s="668"/>
      <c r="P38" s="668"/>
    </row>
    <row r="39" spans="3:16">
      <c r="C39" s="45" t="s">
        <v>41</v>
      </c>
      <c r="E39" s="40" t="s">
        <v>54</v>
      </c>
      <c r="F39" s="189">
        <v>76</v>
      </c>
      <c r="G39" s="189">
        <v>73</v>
      </c>
      <c r="H39" s="189">
        <v>130</v>
      </c>
      <c r="I39" s="189">
        <v>114</v>
      </c>
      <c r="J39" s="189">
        <v>219</v>
      </c>
      <c r="K39" s="189">
        <v>155</v>
      </c>
      <c r="L39" s="667">
        <f>K39*(1+L40)</f>
        <v>193.6596814744976</v>
      </c>
      <c r="M39" s="667">
        <f t="shared" ref="M39:P39" si="8">L39*(1+M40)</f>
        <v>232.3916177693971</v>
      </c>
      <c r="N39" s="667">
        <f t="shared" si="8"/>
        <v>267.25036043480662</v>
      </c>
      <c r="O39" s="667">
        <f t="shared" si="8"/>
        <v>307.33791450002758</v>
      </c>
      <c r="P39" s="667">
        <f t="shared" si="8"/>
        <v>338.07170595003038</v>
      </c>
    </row>
    <row r="40" spans="3:16">
      <c r="C40" s="31" t="s">
        <v>93</v>
      </c>
      <c r="E40" s="77" t="s">
        <v>9</v>
      </c>
      <c r="F40" s="190"/>
      <c r="L40" s="416">
        <f>INDEX($L$41:$P$43,MATCH(Scenario,$C$41:$C$43,0),1)</f>
        <v>0.24941729983546854</v>
      </c>
      <c r="M40" s="416">
        <f>INDEX($L$41:$P$43,MATCH(Scenario,$C$41:$C$43,0),2)</f>
        <v>0.2</v>
      </c>
      <c r="N40" s="416">
        <f>INDEX($L$41:$P$43,MATCH(Scenario,$C$41:$C$43,0),3)</f>
        <v>0.15</v>
      </c>
      <c r="O40" s="416">
        <f>INDEX($L$41:$P$43,MATCH(Scenario,$C$41:$C$43,0),4)</f>
        <v>0.15</v>
      </c>
      <c r="P40" s="416">
        <f>INDEX($L$41:$P$43,MATCH(Scenario,$C$41:$C$43,0),5)</f>
        <v>0.1</v>
      </c>
    </row>
    <row r="41" spans="3:16">
      <c r="C41" s="16" t="s">
        <v>497</v>
      </c>
      <c r="E41" s="77" t="s">
        <v>9</v>
      </c>
      <c r="F41" s="190"/>
      <c r="G41" s="191"/>
      <c r="H41" s="191"/>
      <c r="I41" s="191"/>
      <c r="J41" s="191"/>
      <c r="K41" s="191"/>
      <c r="L41" s="662">
        <f>25%</f>
        <v>0.25</v>
      </c>
      <c r="M41" s="662">
        <v>0.25</v>
      </c>
      <c r="N41" s="662">
        <v>0.2</v>
      </c>
      <c r="O41" s="662">
        <v>0.2</v>
      </c>
      <c r="P41" s="662">
        <v>0.15</v>
      </c>
    </row>
    <row r="42" spans="3:16">
      <c r="C42" s="16" t="s">
        <v>498</v>
      </c>
      <c r="E42" s="77" t="s">
        <v>9</v>
      </c>
      <c r="F42" s="190"/>
      <c r="G42" s="191">
        <f>G39/F39-1</f>
        <v>-3.9473684210526327E-2</v>
      </c>
      <c r="H42" s="191">
        <f>H39/G39-1</f>
        <v>0.78082191780821919</v>
      </c>
      <c r="I42" s="191">
        <f>I39/H39-1</f>
        <v>-0.12307692307692308</v>
      </c>
      <c r="J42" s="191">
        <f>J39/I39-1</f>
        <v>0.92105263157894735</v>
      </c>
      <c r="K42" s="191">
        <f>K39/J39-1</f>
        <v>-0.29223744292237441</v>
      </c>
      <c r="L42" s="662">
        <f>AVERAGE(G42:K42)</f>
        <v>0.24941729983546854</v>
      </c>
      <c r="M42" s="662">
        <v>0.2</v>
      </c>
      <c r="N42" s="662">
        <v>0.15</v>
      </c>
      <c r="O42" s="662">
        <v>0.15</v>
      </c>
      <c r="P42" s="662">
        <v>0.1</v>
      </c>
    </row>
    <row r="43" spans="3:16">
      <c r="C43" s="16" t="s">
        <v>499</v>
      </c>
      <c r="E43" s="77" t="s">
        <v>9</v>
      </c>
      <c r="F43" s="190"/>
      <c r="G43" s="191"/>
      <c r="H43" s="191"/>
      <c r="I43" s="191"/>
      <c r="J43" s="191"/>
      <c r="K43" s="191"/>
      <c r="L43" s="662">
        <v>-0.1</v>
      </c>
      <c r="M43" s="662">
        <v>0.05</v>
      </c>
      <c r="N43" s="662">
        <v>0.06</v>
      </c>
      <c r="O43" s="662">
        <v>7.0000000000000007E-2</v>
      </c>
      <c r="P43" s="662">
        <v>0.08</v>
      </c>
    </row>
    <row r="44" spans="3:16">
      <c r="C44" s="78"/>
      <c r="E44" s="77"/>
      <c r="F44" s="192"/>
      <c r="G44" s="193"/>
      <c r="H44" s="193"/>
      <c r="I44" s="193"/>
      <c r="J44" s="193"/>
      <c r="K44" s="193"/>
      <c r="L44" s="663"/>
      <c r="M44" s="663"/>
      <c r="N44" s="663"/>
      <c r="O44" s="663"/>
      <c r="P44" s="663"/>
    </row>
    <row r="45" spans="3:16">
      <c r="C45" s="76" t="s">
        <v>94</v>
      </c>
      <c r="F45" s="194">
        <f t="shared" ref="F45:P45" si="9">SUM(F21,F27,F33,F39)</f>
        <v>14608</v>
      </c>
      <c r="G45" s="194">
        <f t="shared" si="9"/>
        <v>17202</v>
      </c>
      <c r="H45" s="194">
        <f t="shared" si="9"/>
        <v>23063</v>
      </c>
      <c r="I45" s="194">
        <f t="shared" si="9"/>
        <v>25785</v>
      </c>
      <c r="J45" s="194">
        <f t="shared" si="9"/>
        <v>26517</v>
      </c>
      <c r="K45" s="652">
        <f t="shared" si="9"/>
        <v>27176</v>
      </c>
      <c r="L45" s="84">
        <f t="shared" si="9"/>
        <v>28207.022910228687</v>
      </c>
      <c r="M45" s="84">
        <f t="shared" si="9"/>
        <v>29577.653506353243</v>
      </c>
      <c r="N45" s="84">
        <f t="shared" si="9"/>
        <v>31316.528779159173</v>
      </c>
      <c r="O45" s="84">
        <f t="shared" si="9"/>
        <v>33497.173884528573</v>
      </c>
      <c r="P45" s="84">
        <f t="shared" si="9"/>
        <v>36167.54199523943</v>
      </c>
    </row>
    <row r="46" spans="3:16">
      <c r="C46" s="33"/>
      <c r="D46" s="33"/>
      <c r="E46" s="33"/>
      <c r="F46" s="39"/>
      <c r="G46" s="39"/>
      <c r="H46" s="39"/>
      <c r="I46" s="39"/>
      <c r="J46" s="39"/>
      <c r="K46" s="74"/>
      <c r="L46" s="73"/>
      <c r="M46" s="59"/>
      <c r="N46" s="59"/>
      <c r="O46" s="59"/>
    </row>
    <row r="47" spans="3:16">
      <c r="C47" s="45" t="s">
        <v>95</v>
      </c>
      <c r="D47" s="33"/>
      <c r="E47" s="77" t="s">
        <v>9</v>
      </c>
      <c r="F47" s="195">
        <f>-F85/F83</f>
        <v>0.56284227820372401</v>
      </c>
      <c r="G47" s="195">
        <f t="shared" ref="G47:K47" si="10">-G85/G83</f>
        <v>0.55284269271014996</v>
      </c>
      <c r="H47" s="195">
        <f t="shared" si="10"/>
        <v>0.52677448727398868</v>
      </c>
      <c r="I47" s="195">
        <f t="shared" si="10"/>
        <v>0.53488462284273808</v>
      </c>
      <c r="J47" s="195">
        <f t="shared" si="10"/>
        <v>0.53297884376060645</v>
      </c>
      <c r="K47" s="195">
        <f t="shared" si="10"/>
        <v>0.5254268472181336</v>
      </c>
      <c r="L47" s="196">
        <v>0.53297884376060645</v>
      </c>
      <c r="M47" s="196">
        <v>0.53297884376060645</v>
      </c>
      <c r="N47" s="196">
        <v>0.53297884376060645</v>
      </c>
      <c r="O47" s="196">
        <v>0.53297884376060645</v>
      </c>
      <c r="P47" s="196">
        <v>0.53297884376060645</v>
      </c>
    </row>
    <row r="48" spans="3:16">
      <c r="C48" s="45" t="s">
        <v>100</v>
      </c>
      <c r="D48" s="33"/>
      <c r="E48" s="77" t="s">
        <v>9</v>
      </c>
      <c r="F48" s="195">
        <f>F89/F$83</f>
        <v>0.14060788608981381</v>
      </c>
      <c r="G48" s="195">
        <f t="shared" ref="G48:J48" si="11">G89/G$83</f>
        <v>0.12986861992791535</v>
      </c>
      <c r="H48" s="195">
        <f t="shared" si="11"/>
        <v>0.10774834149937129</v>
      </c>
      <c r="I48" s="195">
        <f t="shared" si="11"/>
        <v>0.10746558076401008</v>
      </c>
      <c r="J48" s="195">
        <f t="shared" si="11"/>
        <v>0.11698155899988687</v>
      </c>
      <c r="K48" s="195">
        <f t="shared" ref="K48" si="12">K89/K$83</f>
        <v>0.11896526346776568</v>
      </c>
      <c r="L48" s="196">
        <v>0.11698155899988687</v>
      </c>
      <c r="M48" s="196">
        <v>0.11698155899988687</v>
      </c>
      <c r="N48" s="196">
        <v>0.11698155899988687</v>
      </c>
      <c r="O48" s="196">
        <v>0.11698155899988687</v>
      </c>
      <c r="P48" s="196">
        <v>0.11698155899988687</v>
      </c>
    </row>
    <row r="49" spans="3:16">
      <c r="C49" s="45" t="s">
        <v>101</v>
      </c>
      <c r="D49" s="33"/>
      <c r="E49" s="77" t="s">
        <v>9</v>
      </c>
      <c r="F49" s="195">
        <f t="shared" ref="F49:J50" si="13">F90/F$83</f>
        <v>3.5665388828039428E-2</v>
      </c>
      <c r="G49" s="195">
        <f t="shared" si="13"/>
        <v>3.0577839786071388E-2</v>
      </c>
      <c r="H49" s="195">
        <f t="shared" si="13"/>
        <v>2.640593157871916E-2</v>
      </c>
      <c r="I49" s="195">
        <f t="shared" si="13"/>
        <v>2.7263913127787472E-2</v>
      </c>
      <c r="J49" s="195">
        <f t="shared" si="13"/>
        <v>2.9264245578308257E-2</v>
      </c>
      <c r="K49" s="195">
        <f t="shared" ref="K49" si="14">K90/K$83</f>
        <v>3.0762437444804239E-2</v>
      </c>
      <c r="L49" s="196">
        <v>3.2130331485462155E-2</v>
      </c>
      <c r="M49" s="196">
        <v>3.2130331485462155E-2</v>
      </c>
      <c r="N49" s="196">
        <v>3.2130331485462155E-2</v>
      </c>
      <c r="O49" s="196">
        <v>3.2130331485462155E-2</v>
      </c>
      <c r="P49" s="196">
        <v>3.2130331485462155E-2</v>
      </c>
    </row>
    <row r="50" spans="3:16">
      <c r="C50" s="45" t="s">
        <v>102</v>
      </c>
      <c r="D50" s="40"/>
      <c r="E50" s="77" t="s">
        <v>9</v>
      </c>
      <c r="F50" s="195">
        <f t="shared" si="13"/>
        <v>3.1558050383351591E-2</v>
      </c>
      <c r="G50" s="195">
        <f t="shared" si="13"/>
        <v>3.2961283571677713E-2</v>
      </c>
      <c r="H50" s="195">
        <f t="shared" si="13"/>
        <v>2.6882886007891429E-2</v>
      </c>
      <c r="I50" s="195">
        <f t="shared" si="13"/>
        <v>2.8504944735311226E-2</v>
      </c>
      <c r="J50" s="195">
        <f t="shared" si="13"/>
        <v>3.2130331485462155E-2</v>
      </c>
      <c r="K50" s="195">
        <f t="shared" ref="K50" si="15">K91/K$83</f>
        <v>3.5362084191934061E-2</v>
      </c>
      <c r="L50" s="196">
        <v>3.2130331485462155E-2</v>
      </c>
      <c r="M50" s="196">
        <v>3.2130331485462155E-2</v>
      </c>
      <c r="N50" s="196">
        <v>3.2130331485462155E-2</v>
      </c>
      <c r="O50" s="196">
        <v>3.2130331485462155E-2</v>
      </c>
      <c r="P50" s="196">
        <v>3.2130331485462155E-2</v>
      </c>
    </row>
    <row r="51" spans="3:16">
      <c r="C51" s="45"/>
      <c r="K51" s="197"/>
      <c r="L51" s="197"/>
      <c r="M51" s="198"/>
      <c r="N51" s="198"/>
      <c r="O51" s="198"/>
    </row>
    <row r="52" spans="3:16">
      <c r="C52" s="45" t="s">
        <v>105</v>
      </c>
      <c r="E52" s="77" t="s">
        <v>9</v>
      </c>
      <c r="F52" s="195">
        <f>F99/F124</f>
        <v>4.3117744610281922E-2</v>
      </c>
      <c r="G52" s="195">
        <f t="shared" ref="G52:J52" si="16">G99/G124</f>
        <v>7.1453468107354479E-3</v>
      </c>
      <c r="H52" s="195">
        <f t="shared" si="16"/>
        <v>2.1615680527569153E-2</v>
      </c>
      <c r="I52" s="195">
        <f t="shared" si="16"/>
        <v>1.5110422316931422E-2</v>
      </c>
      <c r="J52" s="195">
        <f t="shared" si="16"/>
        <v>4.3674479545785412E-2</v>
      </c>
      <c r="K52" s="195">
        <f t="shared" ref="K52" si="17">K99/K124</f>
        <v>3.7070051971926712E-2</v>
      </c>
      <c r="L52" s="196">
        <f t="shared" ref="L52:P52" si="18">AVERAGE(G52:K52)</f>
        <v>2.4923196234589631E-2</v>
      </c>
      <c r="M52" s="196">
        <f t="shared" si="18"/>
        <v>2.8478766119360465E-2</v>
      </c>
      <c r="N52" s="196">
        <f t="shared" si="18"/>
        <v>2.9851383237718725E-2</v>
      </c>
      <c r="O52" s="196">
        <f t="shared" si="18"/>
        <v>3.2799575421876184E-2</v>
      </c>
      <c r="P52" s="196">
        <f t="shared" si="18"/>
        <v>3.0624594597094344E-2</v>
      </c>
    </row>
    <row r="53" spans="3:16">
      <c r="C53" s="45" t="s">
        <v>104</v>
      </c>
      <c r="E53" s="77" t="s">
        <v>9</v>
      </c>
      <c r="F53" s="195">
        <f>-F100/F95</f>
        <v>0.16805970149253732</v>
      </c>
      <c r="G53" s="195">
        <f t="shared" ref="G53:J53" si="19">-G100/G95</f>
        <v>0.12531500572737686</v>
      </c>
      <c r="H53" s="195">
        <f t="shared" si="19"/>
        <v>0.12817535201045144</v>
      </c>
      <c r="I53" s="195">
        <f t="shared" si="19"/>
        <v>0.13790446841294299</v>
      </c>
      <c r="J53" s="195">
        <f t="shared" si="19"/>
        <v>0.11235955056179775</v>
      </c>
      <c r="K53" s="195">
        <f t="shared" ref="K53" si="20">-K100/K95</f>
        <v>0.12393542646498029</v>
      </c>
      <c r="L53" s="196">
        <f t="shared" ref="L53:P53" si="21">AVERAGE(G53:K53)</f>
        <v>0.12553796063550987</v>
      </c>
      <c r="M53" s="196">
        <f t="shared" si="21"/>
        <v>0.12558255161713644</v>
      </c>
      <c r="N53" s="196">
        <f t="shared" si="21"/>
        <v>0.12506399153847347</v>
      </c>
      <c r="O53" s="196">
        <f t="shared" si="21"/>
        <v>0.12249589616357956</v>
      </c>
      <c r="P53" s="196">
        <f t="shared" si="21"/>
        <v>0.12452316528393595</v>
      </c>
    </row>
    <row r="54" spans="3:16">
      <c r="K54" s="85"/>
      <c r="L54" s="85"/>
      <c r="M54" s="85"/>
      <c r="N54" s="85"/>
      <c r="O54" s="85"/>
    </row>
    <row r="55" spans="3:16">
      <c r="C55" s="95" t="s">
        <v>18</v>
      </c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</row>
    <row r="56" spans="3:16">
      <c r="C56" s="97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</row>
    <row r="57" spans="3:16">
      <c r="C57" s="301" t="s">
        <v>22</v>
      </c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</row>
    <row r="58" spans="3:16">
      <c r="C58" s="87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</row>
    <row r="59" spans="3:16">
      <c r="C59" s="44" t="s">
        <v>52</v>
      </c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</row>
    <row r="60" spans="3:16">
      <c r="C60" s="37" t="s">
        <v>106</v>
      </c>
      <c r="D60" s="22"/>
      <c r="E60" s="77"/>
      <c r="F60" s="89">
        <f>F125/F83*(F81-EOMONTH(F81,-12))</f>
        <v>63.290320372398689</v>
      </c>
      <c r="G60" s="89">
        <f>G125/G83*(G81-F81)</f>
        <v>62.870305778397864</v>
      </c>
      <c r="H60" s="89">
        <f>H125/H83*(H81-G81)</f>
        <v>78.602003208602525</v>
      </c>
      <c r="I60" s="89">
        <f>I125/I83*(I81-H81)</f>
        <v>85.895675780492539</v>
      </c>
      <c r="J60" s="89">
        <f>J125/J83*(J81-I81)</f>
        <v>71.09495795150282</v>
      </c>
      <c r="K60" s="90">
        <v>69</v>
      </c>
      <c r="L60" s="90">
        <f>K60-2</f>
        <v>67</v>
      </c>
      <c r="M60" s="90">
        <f t="shared" ref="M60:P60" si="22">L60-2</f>
        <v>65</v>
      </c>
      <c r="N60" s="90">
        <f t="shared" si="22"/>
        <v>63</v>
      </c>
      <c r="O60" s="90">
        <f t="shared" si="22"/>
        <v>61</v>
      </c>
      <c r="P60" s="90">
        <f t="shared" si="22"/>
        <v>59</v>
      </c>
    </row>
    <row r="61" spans="3:16">
      <c r="C61" s="37" t="s">
        <v>107</v>
      </c>
      <c r="D61" s="22"/>
      <c r="E61" s="77"/>
      <c r="F61" s="89">
        <f>F126/-F85*(F81-EOMONTH(F81,-12))</f>
        <v>273.06190707856967</v>
      </c>
      <c r="G61" s="89">
        <f>G126/-G85*(G81-EOMONTH(G81,-12))</f>
        <v>333.95005257623552</v>
      </c>
      <c r="H61" s="89">
        <f>H126/-H85*(H81-EOMONTH(H81,-12))</f>
        <v>313.67124866244131</v>
      </c>
      <c r="I61" s="89">
        <f>I126/-I85*(I81-EOMONTH(I81,-12))</f>
        <v>228.89247389791183</v>
      </c>
      <c r="J61" s="89">
        <f>J126/-J85*(J81-EOMONTH(J81,-12))</f>
        <v>310.79105639283944</v>
      </c>
      <c r="K61" s="90">
        <v>300</v>
      </c>
      <c r="L61" s="90">
        <f>K61-2</f>
        <v>298</v>
      </c>
      <c r="M61" s="90">
        <f t="shared" ref="M61:P61" si="23">L61-2</f>
        <v>296</v>
      </c>
      <c r="N61" s="90">
        <f t="shared" si="23"/>
        <v>294</v>
      </c>
      <c r="O61" s="90">
        <f t="shared" si="23"/>
        <v>292</v>
      </c>
      <c r="P61" s="90">
        <f t="shared" si="23"/>
        <v>290</v>
      </c>
    </row>
    <row r="62" spans="3:16"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</row>
    <row r="63" spans="3:16">
      <c r="C63" s="36" t="s">
        <v>53</v>
      </c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</row>
    <row r="64" spans="3:16">
      <c r="C64" s="37" t="s">
        <v>297</v>
      </c>
      <c r="D64" s="22"/>
      <c r="E64" s="77" t="s">
        <v>9</v>
      </c>
      <c r="F64" s="85">
        <f>F130/F101</f>
        <v>0.62934220251293427</v>
      </c>
      <c r="G64" s="85">
        <f>G130/G101</f>
        <v>0.42494369947540817</v>
      </c>
      <c r="H64" s="85">
        <f>H130/H101</f>
        <v>0.34898067371303459</v>
      </c>
      <c r="I64" s="85">
        <f>I130/I101</f>
        <v>0.30344220711580966</v>
      </c>
      <c r="J64" s="85">
        <f>J130/J101</f>
        <v>0.33270211850330206</v>
      </c>
      <c r="K64" s="86">
        <v>0.32</v>
      </c>
      <c r="L64" s="86">
        <f>K64-1%</f>
        <v>0.31</v>
      </c>
      <c r="M64" s="86">
        <f t="shared" ref="M64:P65" si="24">L64-1%</f>
        <v>0.3</v>
      </c>
      <c r="N64" s="86">
        <f t="shared" si="24"/>
        <v>0.28999999999999998</v>
      </c>
      <c r="O64" s="86">
        <f t="shared" si="24"/>
        <v>0.27999999999999997</v>
      </c>
      <c r="P64" s="86">
        <f t="shared" si="24"/>
        <v>0.26999999999999996</v>
      </c>
    </row>
    <row r="65" spans="1:16">
      <c r="C65" s="37" t="s">
        <v>112</v>
      </c>
      <c r="D65" s="22"/>
      <c r="E65" s="77" t="s">
        <v>9</v>
      </c>
      <c r="F65" s="85">
        <f>F133/F83</f>
        <v>0.13903340635268346</v>
      </c>
      <c r="G65" s="85">
        <f>G133/G83</f>
        <v>0.12922915940006977</v>
      </c>
      <c r="H65" s="85">
        <f>H133/H83</f>
        <v>9.3049473182153231E-2</v>
      </c>
      <c r="I65" s="85">
        <f>I133/I83</f>
        <v>9.5986038394415357E-2</v>
      </c>
      <c r="J65" s="85">
        <f>J133/J83</f>
        <v>9.6240147829694159E-2</v>
      </c>
      <c r="K65" s="79">
        <v>0.09</v>
      </c>
      <c r="L65" s="79">
        <f>K65-1%</f>
        <v>0.08</v>
      </c>
      <c r="M65" s="79">
        <f t="shared" si="24"/>
        <v>7.0000000000000007E-2</v>
      </c>
      <c r="N65" s="79">
        <f t="shared" si="24"/>
        <v>6.0000000000000005E-2</v>
      </c>
      <c r="O65" s="79">
        <f t="shared" si="24"/>
        <v>0.05</v>
      </c>
      <c r="P65" s="79">
        <f t="shared" si="24"/>
        <v>0.04</v>
      </c>
    </row>
    <row r="66" spans="1:16">
      <c r="C66" s="37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</row>
    <row r="67" spans="1:16">
      <c r="C67" s="98" t="s">
        <v>114</v>
      </c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</row>
    <row r="68" spans="1:16">
      <c r="C68" s="98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</row>
    <row r="69" spans="1:16">
      <c r="C69" s="44" t="s">
        <v>52</v>
      </c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</row>
    <row r="70" spans="1:16">
      <c r="C70" s="26" t="s">
        <v>109</v>
      </c>
      <c r="D70" s="22"/>
      <c r="E70" s="77"/>
      <c r="F70" s="89">
        <f>F139/F83*(F81-EOMONTH(F81,-12))</f>
        <v>23.936883899233298</v>
      </c>
      <c r="G70" s="89">
        <f>G139/G83*(G81-EOMONTH(G81,-12))</f>
        <v>23.849552377630506</v>
      </c>
      <c r="H70" s="89">
        <f>H139/H83*(H81-EOMONTH(H81,-12))</f>
        <v>23.360013875037939</v>
      </c>
      <c r="I70" s="89">
        <f>I139/I83*(I81-EOMONTH(I81,-12))</f>
        <v>24.842931937172775</v>
      </c>
      <c r="J70" s="89">
        <f>J139/J83*(J81-EOMONTH(J81,-12))</f>
        <v>20.344307425425196</v>
      </c>
      <c r="K70" s="92">
        <v>19</v>
      </c>
      <c r="L70" s="92">
        <v>19</v>
      </c>
      <c r="M70" s="92">
        <v>19</v>
      </c>
      <c r="N70" s="92">
        <v>18</v>
      </c>
      <c r="O70" s="92">
        <v>18</v>
      </c>
      <c r="P70" s="92">
        <v>18</v>
      </c>
    </row>
    <row r="71" spans="1:16">
      <c r="C71" s="91" t="s">
        <v>111</v>
      </c>
      <c r="D71" s="22"/>
      <c r="E71" s="77" t="s">
        <v>9</v>
      </c>
      <c r="F71" s="85">
        <f>F140/-F94</f>
        <v>0.95158102766798414</v>
      </c>
      <c r="G71" s="85">
        <f>G140/-G94</f>
        <v>1.002404568680493</v>
      </c>
      <c r="H71" s="85">
        <f>H140/-H94</f>
        <v>1.2104347826086956</v>
      </c>
      <c r="I71" s="85">
        <f>I140/-I94</f>
        <v>1.3374554102259215</v>
      </c>
      <c r="J71" s="85">
        <f>J140/-J94</f>
        <v>1.2460887949260042</v>
      </c>
      <c r="K71" s="93">
        <f>AVERAGE(F71:J71)</f>
        <v>1.1495929168218197</v>
      </c>
      <c r="L71" s="93">
        <f>K71-5%</f>
        <v>1.0995929168218197</v>
      </c>
      <c r="M71" s="93">
        <f t="shared" ref="M71:P71" si="25">L71-5%</f>
        <v>1.0495929168218197</v>
      </c>
      <c r="N71" s="93">
        <f t="shared" si="25"/>
        <v>0.99959291682181961</v>
      </c>
      <c r="O71" s="93">
        <f t="shared" si="25"/>
        <v>0.94959291682181957</v>
      </c>
      <c r="P71" s="93">
        <f t="shared" si="25"/>
        <v>0.89959291682181952</v>
      </c>
    </row>
    <row r="72" spans="1:16">
      <c r="C72" s="36" t="s">
        <v>53</v>
      </c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</row>
    <row r="73" spans="1:16">
      <c r="C73" s="37" t="s">
        <v>116</v>
      </c>
      <c r="D73" s="22"/>
      <c r="E73" s="77" t="s">
        <v>9</v>
      </c>
      <c r="F73" s="85">
        <f>F145/F83</f>
        <v>0.11295180722891567</v>
      </c>
      <c r="G73" s="85">
        <f>G145/G83</f>
        <v>0.10859202418323451</v>
      </c>
      <c r="H73" s="85">
        <f>H145/H83</f>
        <v>7.72666175259073E-2</v>
      </c>
      <c r="I73" s="85">
        <f>I145/I83</f>
        <v>6.5774675198758972E-2</v>
      </c>
      <c r="J73" s="85">
        <f>J145/J83</f>
        <v>5.8339932873251121E-2</v>
      </c>
      <c r="K73" s="93">
        <f>J73</f>
        <v>5.8339932873251121E-2</v>
      </c>
      <c r="L73" s="93">
        <f t="shared" ref="L73:P73" si="26">K73</f>
        <v>5.8339932873251121E-2</v>
      </c>
      <c r="M73" s="93">
        <f t="shared" si="26"/>
        <v>5.8339932873251121E-2</v>
      </c>
      <c r="N73" s="93">
        <f t="shared" si="26"/>
        <v>5.8339932873251121E-2</v>
      </c>
      <c r="O73" s="93">
        <f t="shared" si="26"/>
        <v>5.8339932873251121E-2</v>
      </c>
      <c r="P73" s="93">
        <f t="shared" si="26"/>
        <v>5.8339932873251121E-2</v>
      </c>
    </row>
    <row r="74" spans="1:16"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</row>
    <row r="75" spans="1:16">
      <c r="C75" s="95" t="s">
        <v>19</v>
      </c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</row>
    <row r="76" spans="1:16">
      <c r="C76" s="61"/>
      <c r="E76" s="198"/>
      <c r="F76" s="198"/>
      <c r="G76" s="198"/>
      <c r="H76" s="198"/>
      <c r="I76" s="198"/>
      <c r="J76" s="198"/>
      <c r="K76" s="198"/>
      <c r="L76" s="198"/>
      <c r="M76" s="198"/>
      <c r="N76" s="198"/>
      <c r="O76" s="198"/>
    </row>
    <row r="77" spans="1:16" s="49" customFormat="1">
      <c r="A77" s="16"/>
      <c r="B77" s="16"/>
      <c r="C77" s="61" t="s">
        <v>115</v>
      </c>
      <c r="D77" s="16"/>
      <c r="E77" s="345" t="s">
        <v>9</v>
      </c>
      <c r="F77" s="198">
        <f>-F181/F101</f>
        <v>0.83444198078344423</v>
      </c>
      <c r="G77" s="198">
        <f>-G181/G101</f>
        <v>0.13124073943486272</v>
      </c>
      <c r="H77" s="198">
        <f>-H181/H101</f>
        <v>0.60710749806525488</v>
      </c>
      <c r="I77" s="198">
        <f>-I181/I101</f>
        <v>0.90480949030895974</v>
      </c>
      <c r="J77" s="198">
        <f>-J181/J101</f>
        <v>0.28617341363589593</v>
      </c>
      <c r="K77" s="243">
        <v>0.33</v>
      </c>
      <c r="L77" s="243">
        <f>K77+4%</f>
        <v>0.37</v>
      </c>
      <c r="M77" s="243">
        <f t="shared" ref="M77:P77" si="27">L77+4%</f>
        <v>0.41</v>
      </c>
      <c r="N77" s="243">
        <f t="shared" si="27"/>
        <v>0.44999999999999996</v>
      </c>
      <c r="O77" s="243">
        <f t="shared" si="27"/>
        <v>0.48999999999999994</v>
      </c>
      <c r="P77" s="243">
        <f t="shared" si="27"/>
        <v>0.52999999999999992</v>
      </c>
    </row>
    <row r="78" spans="1:16">
      <c r="C78" s="61" t="s">
        <v>113</v>
      </c>
      <c r="E78" s="345" t="s">
        <v>9</v>
      </c>
      <c r="F78" s="198">
        <f>-F182/F101</f>
        <v>0.28492239467849223</v>
      </c>
      <c r="G78" s="198">
        <f>-G182/G101</f>
        <v>0.21744518302155152</v>
      </c>
      <c r="H78" s="198">
        <f>-H182/H101</f>
        <v>0.14230939395207931</v>
      </c>
      <c r="I78" s="198">
        <f>-I182/I101</f>
        <v>0.13379042768287971</v>
      </c>
      <c r="J78" s="198">
        <f>-J182/J101</f>
        <v>0.14221155876401556</v>
      </c>
      <c r="K78" s="243">
        <v>0.185</v>
      </c>
      <c r="L78" s="243">
        <f>K78+1%</f>
        <v>0.19500000000000001</v>
      </c>
      <c r="M78" s="243">
        <f t="shared" ref="M78:P78" si="28">L78+1%</f>
        <v>0.20500000000000002</v>
      </c>
      <c r="N78" s="243">
        <f t="shared" si="28"/>
        <v>0.21500000000000002</v>
      </c>
      <c r="O78" s="243">
        <f t="shared" si="28"/>
        <v>0.22500000000000003</v>
      </c>
      <c r="P78" s="243">
        <f t="shared" si="28"/>
        <v>0.23500000000000004</v>
      </c>
    </row>
    <row r="79" spans="1:16">
      <c r="C79" s="61"/>
    </row>
    <row r="80" spans="1:16">
      <c r="B80" s="42"/>
      <c r="C80" s="42"/>
      <c r="D80" s="42"/>
      <c r="E80" s="42"/>
      <c r="F80" s="47"/>
      <c r="G80" s="47"/>
      <c r="H80" s="647" t="s">
        <v>495</v>
      </c>
      <c r="I80" s="47"/>
      <c r="J80" s="47"/>
      <c r="K80" s="47"/>
      <c r="L80" s="48"/>
      <c r="M80" s="47"/>
      <c r="N80" s="647" t="s">
        <v>496</v>
      </c>
      <c r="O80" s="47"/>
      <c r="P80" s="47"/>
    </row>
    <row r="81" spans="2:16">
      <c r="B81" s="15" t="s">
        <v>16</v>
      </c>
      <c r="C81" s="42"/>
      <c r="D81" s="42"/>
      <c r="E81" s="15" t="str">
        <f>E17</f>
        <v>Units:</v>
      </c>
      <c r="F81" s="650">
        <f>$F$17</f>
        <v>43496</v>
      </c>
      <c r="G81" s="650">
        <f>$G$17</f>
        <v>43861</v>
      </c>
      <c r="H81" s="650">
        <f t="shared" ref="H81:P81" si="29">H17</f>
        <v>44227</v>
      </c>
      <c r="I81" s="650">
        <f t="shared" si="29"/>
        <v>44592</v>
      </c>
      <c r="J81" s="650">
        <f t="shared" si="29"/>
        <v>44957</v>
      </c>
      <c r="K81" s="650">
        <f t="shared" si="29"/>
        <v>45322</v>
      </c>
      <c r="L81" s="651">
        <f t="shared" si="29"/>
        <v>45688</v>
      </c>
      <c r="M81" s="650">
        <f t="shared" si="29"/>
        <v>46053</v>
      </c>
      <c r="N81" s="650">
        <f t="shared" si="29"/>
        <v>46418</v>
      </c>
      <c r="O81" s="650">
        <f t="shared" si="29"/>
        <v>46783</v>
      </c>
      <c r="P81" s="650">
        <f t="shared" si="29"/>
        <v>47149</v>
      </c>
    </row>
    <row r="82" spans="2:16">
      <c r="C82" s="24"/>
      <c r="D82" s="24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</row>
    <row r="83" spans="2:16">
      <c r="C83" s="33" t="s">
        <v>17</v>
      </c>
      <c r="D83" s="43"/>
      <c r="E83" s="41" t="s">
        <v>54</v>
      </c>
      <c r="F83" s="69">
        <v>14608</v>
      </c>
      <c r="G83" s="69">
        <v>17202</v>
      </c>
      <c r="H83" s="69">
        <v>23063</v>
      </c>
      <c r="I83" s="69">
        <v>25785</v>
      </c>
      <c r="J83" s="69">
        <v>26517</v>
      </c>
      <c r="K83" s="69">
        <f t="shared" ref="K83:P83" si="30">K45</f>
        <v>27176</v>
      </c>
      <c r="L83" s="50">
        <f t="shared" si="30"/>
        <v>28207.022910228687</v>
      </c>
      <c r="M83" s="50">
        <f t="shared" si="30"/>
        <v>29577.653506353243</v>
      </c>
      <c r="N83" s="50">
        <f t="shared" si="30"/>
        <v>31316.528779159173</v>
      </c>
      <c r="O83" s="50">
        <f t="shared" si="30"/>
        <v>33497.173884528573</v>
      </c>
      <c r="P83" s="50">
        <f t="shared" si="30"/>
        <v>36167.54199523943</v>
      </c>
    </row>
    <row r="84" spans="2:16">
      <c r="C84" s="31" t="s">
        <v>49</v>
      </c>
      <c r="D84" s="43"/>
      <c r="E84" s="41" t="s">
        <v>9</v>
      </c>
      <c r="F84" s="30"/>
      <c r="G84" s="81">
        <f>G83/F83-1</f>
        <v>0.17757393209200445</v>
      </c>
      <c r="H84" s="81">
        <f t="shared" ref="H84:J84" si="31">H83/G83-1</f>
        <v>0.34071619579118706</v>
      </c>
      <c r="I84" s="81">
        <f t="shared" si="31"/>
        <v>0.11802454147335562</v>
      </c>
      <c r="J84" s="81">
        <f t="shared" si="31"/>
        <v>2.8388598022105915E-2</v>
      </c>
      <c r="K84" s="81">
        <f t="shared" ref="K84" si="32">K83/J83-1</f>
        <v>2.4851981747558094E-2</v>
      </c>
      <c r="L84" s="81">
        <f t="shared" ref="L84" si="33">L83/K83-1</f>
        <v>3.7938729401997495E-2</v>
      </c>
      <c r="M84" s="81">
        <f t="shared" ref="M84" si="34">M83/L83-1</f>
        <v>4.8591820572015276E-2</v>
      </c>
      <c r="N84" s="81">
        <f t="shared" ref="N84" si="35">N83/M83-1</f>
        <v>5.8790169829814998E-2</v>
      </c>
      <c r="O84" s="81">
        <f t="shared" ref="O84:P84" si="36">O83/N83-1</f>
        <v>6.9632401494657215E-2</v>
      </c>
      <c r="P84" s="81">
        <f t="shared" si="36"/>
        <v>7.971920616097794E-2</v>
      </c>
    </row>
    <row r="85" spans="2:16">
      <c r="C85" s="46" t="s">
        <v>50</v>
      </c>
      <c r="E85" s="40" t="s">
        <v>54</v>
      </c>
      <c r="F85" s="70">
        <v>-8222</v>
      </c>
      <c r="G85" s="70">
        <v>-9510</v>
      </c>
      <c r="H85" s="70">
        <v>-12149</v>
      </c>
      <c r="I85" s="70">
        <v>-13792</v>
      </c>
      <c r="J85" s="70">
        <v>-14133</v>
      </c>
      <c r="K85" s="70">
        <v>-14279</v>
      </c>
      <c r="L85" s="28">
        <f>-L83*L47</f>
        <v>-15033.746456622623</v>
      </c>
      <c r="M85" s="28">
        <f>-M83*M47</f>
        <v>-15764.263566967998</v>
      </c>
      <c r="N85" s="28">
        <f>-N83*N47</f>
        <v>-16691.047299312013</v>
      </c>
      <c r="O85" s="28">
        <f>-O83*O47</f>
        <v>-17853.285006224021</v>
      </c>
      <c r="P85" s="28">
        <f>-P83*P47</f>
        <v>-19276.534714285888</v>
      </c>
    </row>
    <row r="86" spans="2:16">
      <c r="C86" s="33" t="s">
        <v>20</v>
      </c>
      <c r="E86" s="41" t="s">
        <v>54</v>
      </c>
      <c r="F86" s="35">
        <f>SUM(F83,F85)</f>
        <v>6386</v>
      </c>
      <c r="G86" s="35">
        <f t="shared" ref="G86:J86" si="37">SUM(G83,G85)</f>
        <v>7692</v>
      </c>
      <c r="H86" s="35">
        <f t="shared" si="37"/>
        <v>10914</v>
      </c>
      <c r="I86" s="35">
        <f t="shared" si="37"/>
        <v>11993</v>
      </c>
      <c r="J86" s="35">
        <f t="shared" si="37"/>
        <v>12384</v>
      </c>
      <c r="K86" s="35">
        <f t="shared" ref="K86" si="38">SUM(K83,K85)</f>
        <v>12897</v>
      </c>
      <c r="L86" s="35">
        <f t="shared" ref="L86" si="39">SUM(L83,L85)</f>
        <v>13173.276453606064</v>
      </c>
      <c r="M86" s="35">
        <f t="shared" ref="M86" si="40">SUM(M83,M85)</f>
        <v>13813.389939385244</v>
      </c>
      <c r="N86" s="35">
        <f t="shared" ref="N86" si="41">SUM(N83,N85)</f>
        <v>14625.48147984716</v>
      </c>
      <c r="O86" s="35">
        <f t="shared" ref="O86:P86" si="42">SUM(O83,O85)</f>
        <v>15643.888878304551</v>
      </c>
      <c r="P86" s="35">
        <f t="shared" si="42"/>
        <v>16891.007280953541</v>
      </c>
    </row>
    <row r="87" spans="2:16">
      <c r="C87" s="31" t="s">
        <v>455</v>
      </c>
      <c r="E87" s="41" t="s">
        <v>9</v>
      </c>
      <c r="F87" s="583">
        <f>IFERROR(+F86/F$83,"N/A")</f>
        <v>0.43715772179627599</v>
      </c>
      <c r="G87" s="583">
        <f t="shared" ref="G87:O87" si="43">IFERROR(+G86/G$83,"N/A")</f>
        <v>0.44715730728985004</v>
      </c>
      <c r="H87" s="583">
        <f t="shared" si="43"/>
        <v>0.47322551272601138</v>
      </c>
      <c r="I87" s="583">
        <f t="shared" si="43"/>
        <v>0.46511537715726198</v>
      </c>
      <c r="J87" s="583">
        <f t="shared" si="43"/>
        <v>0.46702115623939361</v>
      </c>
      <c r="K87" s="583">
        <f t="shared" si="43"/>
        <v>0.47457315278186635</v>
      </c>
      <c r="L87" s="583">
        <f t="shared" si="43"/>
        <v>0.4670211562393935</v>
      </c>
      <c r="M87" s="583">
        <f t="shared" si="43"/>
        <v>0.46702115623939355</v>
      </c>
      <c r="N87" s="583">
        <f t="shared" si="43"/>
        <v>0.46702115623939355</v>
      </c>
      <c r="O87" s="583">
        <f t="shared" si="43"/>
        <v>0.46702115623939355</v>
      </c>
      <c r="P87" s="583">
        <f t="shared" ref="P87" si="44">IFERROR(+P86/P$83,"N/A")</f>
        <v>0.46702115623939355</v>
      </c>
    </row>
    <row r="88" spans="2:16">
      <c r="C88" s="31"/>
      <c r="E88" s="41"/>
      <c r="F88" s="35"/>
      <c r="G88" s="32"/>
      <c r="H88" s="32"/>
      <c r="I88" s="32"/>
      <c r="J88" s="32"/>
      <c r="K88" s="56"/>
      <c r="L88" s="56"/>
      <c r="M88" s="56"/>
      <c r="N88" s="56"/>
      <c r="O88" s="56"/>
    </row>
    <row r="89" spans="2:16">
      <c r="C89" s="45" t="s">
        <v>88</v>
      </c>
      <c r="E89" s="40" t="s">
        <v>54</v>
      </c>
      <c r="F89" s="66">
        <v>2054</v>
      </c>
      <c r="G89" s="66">
        <v>2234</v>
      </c>
      <c r="H89" s="66">
        <v>2485</v>
      </c>
      <c r="I89" s="66">
        <v>2771</v>
      </c>
      <c r="J89" s="66">
        <v>3102</v>
      </c>
      <c r="K89" s="66">
        <v>3233</v>
      </c>
      <c r="L89" s="65">
        <f t="shared" ref="L89:O91" si="45">L$83*L48</f>
        <v>3299.7015147840775</v>
      </c>
      <c r="M89" s="65">
        <f t="shared" si="45"/>
        <v>3460.0400187316727</v>
      </c>
      <c r="N89" s="65">
        <f t="shared" si="45"/>
        <v>3663.4563590508637</v>
      </c>
      <c r="O89" s="65">
        <f t="shared" si="45"/>
        <v>3918.551623102449</v>
      </c>
      <c r="P89" s="65">
        <f t="shared" ref="P89" si="46">P$83*P48</f>
        <v>4230.9354477969873</v>
      </c>
    </row>
    <row r="90" spans="2:16">
      <c r="C90" s="45" t="s">
        <v>89</v>
      </c>
      <c r="E90" s="40" t="s">
        <v>54</v>
      </c>
      <c r="F90" s="66">
        <v>521</v>
      </c>
      <c r="G90" s="66">
        <v>526</v>
      </c>
      <c r="H90" s="66">
        <v>609</v>
      </c>
      <c r="I90" s="66">
        <v>703</v>
      </c>
      <c r="J90" s="66">
        <v>776</v>
      </c>
      <c r="K90" s="66">
        <v>836</v>
      </c>
      <c r="L90" s="65">
        <f t="shared" si="45"/>
        <v>906.30099632367308</v>
      </c>
      <c r="M90" s="65">
        <f t="shared" si="45"/>
        <v>950.33981172127164</v>
      </c>
      <c r="N90" s="65">
        <f t="shared" si="45"/>
        <v>1006.2104506483996</v>
      </c>
      <c r="O90" s="65">
        <f t="shared" si="45"/>
        <v>1076.2753007360691</v>
      </c>
      <c r="P90" s="65">
        <f t="shared" ref="P90" si="47">P$83*P49</f>
        <v>1162.0751133214162</v>
      </c>
    </row>
    <row r="91" spans="2:16">
      <c r="C91" s="45" t="s">
        <v>21</v>
      </c>
      <c r="E91" s="40" t="s">
        <v>54</v>
      </c>
      <c r="F91" s="66">
        <v>461</v>
      </c>
      <c r="G91" s="66">
        <v>567</v>
      </c>
      <c r="H91" s="66">
        <v>620</v>
      </c>
      <c r="I91" s="66">
        <v>735</v>
      </c>
      <c r="J91" s="66">
        <v>852</v>
      </c>
      <c r="K91" s="66">
        <v>961</v>
      </c>
      <c r="L91" s="65">
        <f t="shared" si="45"/>
        <v>906.30099632367308</v>
      </c>
      <c r="M91" s="65">
        <f t="shared" si="45"/>
        <v>950.33981172127164</v>
      </c>
      <c r="N91" s="65">
        <f t="shared" si="45"/>
        <v>1006.2104506483996</v>
      </c>
      <c r="O91" s="65">
        <f t="shared" si="45"/>
        <v>1076.2753007360691</v>
      </c>
      <c r="P91" s="65">
        <f t="shared" ref="P91" si="48">P$83*P50</f>
        <v>1162.0751133214162</v>
      </c>
    </row>
    <row r="92" spans="2:16">
      <c r="C92" s="45" t="s">
        <v>44</v>
      </c>
      <c r="E92" s="40" t="s">
        <v>54</v>
      </c>
      <c r="F92" s="66">
        <v>0</v>
      </c>
      <c r="G92" s="66">
        <v>0</v>
      </c>
      <c r="H92" s="66">
        <v>157</v>
      </c>
      <c r="I92" s="66">
        <v>-4</v>
      </c>
      <c r="J92" s="66">
        <v>0</v>
      </c>
      <c r="K92" s="66">
        <v>0</v>
      </c>
      <c r="L92" s="66">
        <v>0</v>
      </c>
      <c r="M92" s="66">
        <v>0</v>
      </c>
      <c r="N92" s="66">
        <v>0</v>
      </c>
      <c r="O92" s="66">
        <v>0</v>
      </c>
      <c r="P92" s="66">
        <v>0</v>
      </c>
    </row>
    <row r="93" spans="2:16">
      <c r="C93" s="45" t="s">
        <v>90</v>
      </c>
      <c r="E93" s="40" t="s">
        <v>54</v>
      </c>
      <c r="F93" s="66">
        <v>0</v>
      </c>
      <c r="G93" s="66">
        <v>0</v>
      </c>
      <c r="H93" s="66">
        <v>154</v>
      </c>
      <c r="I93" s="66">
        <v>0</v>
      </c>
      <c r="J93" s="66">
        <v>0</v>
      </c>
      <c r="K93" s="66">
        <v>0</v>
      </c>
      <c r="L93" s="66">
        <v>0</v>
      </c>
      <c r="M93" s="66">
        <v>0</v>
      </c>
      <c r="N93" s="66">
        <v>0</v>
      </c>
      <c r="O93" s="66">
        <v>0</v>
      </c>
      <c r="P93" s="66">
        <v>0</v>
      </c>
    </row>
    <row r="94" spans="2:16">
      <c r="C94" s="46" t="s">
        <v>91</v>
      </c>
      <c r="E94" s="40" t="s">
        <v>54</v>
      </c>
      <c r="F94" s="28">
        <f>-SUM(F89:F93)</f>
        <v>-3036</v>
      </c>
      <c r="G94" s="28">
        <f t="shared" ref="G94:J94" si="49">-SUM(G89:G93)</f>
        <v>-3327</v>
      </c>
      <c r="H94" s="28">
        <f t="shared" si="49"/>
        <v>-4025</v>
      </c>
      <c r="I94" s="28">
        <f t="shared" si="49"/>
        <v>-4205</v>
      </c>
      <c r="J94" s="28">
        <f t="shared" si="49"/>
        <v>-4730</v>
      </c>
      <c r="K94" s="28">
        <f t="shared" ref="K94" si="50">-SUM(K89:K93)</f>
        <v>-5030</v>
      </c>
      <c r="L94" s="28">
        <f t="shared" ref="L94" si="51">-SUM(L89:L93)</f>
        <v>-5112.303507431423</v>
      </c>
      <c r="M94" s="28">
        <f t="shared" ref="M94" si="52">-SUM(M89:M93)</f>
        <v>-5360.7196421742165</v>
      </c>
      <c r="N94" s="28">
        <f t="shared" ref="N94" si="53">-SUM(N89:N93)</f>
        <v>-5675.8772603476627</v>
      </c>
      <c r="O94" s="28">
        <f t="shared" ref="O94:P94" si="54">-SUM(O89:O93)</f>
        <v>-6071.1022245745871</v>
      </c>
      <c r="P94" s="28">
        <f t="shared" si="54"/>
        <v>-6555.0856744398197</v>
      </c>
    </row>
    <row r="95" spans="2:16">
      <c r="C95" s="33" t="s">
        <v>51</v>
      </c>
      <c r="E95" s="41" t="s">
        <v>54</v>
      </c>
      <c r="F95" s="35">
        <f>F94+F86</f>
        <v>3350</v>
      </c>
      <c r="G95" s="35">
        <f t="shared" ref="G95:J95" si="55">G94+G86</f>
        <v>4365</v>
      </c>
      <c r="H95" s="35">
        <f t="shared" si="55"/>
        <v>6889</v>
      </c>
      <c r="I95" s="35">
        <f t="shared" si="55"/>
        <v>7788</v>
      </c>
      <c r="J95" s="35">
        <f t="shared" si="55"/>
        <v>7654</v>
      </c>
      <c r="K95" s="35">
        <f t="shared" ref="K95" si="56">K94+K86</f>
        <v>7867</v>
      </c>
      <c r="L95" s="35">
        <f t="shared" ref="L95" si="57">L94+L86</f>
        <v>8060.972946174641</v>
      </c>
      <c r="M95" s="35">
        <f t="shared" ref="M95" si="58">M94+M86</f>
        <v>8452.6702972110288</v>
      </c>
      <c r="N95" s="35">
        <f t="shared" ref="N95" si="59">N94+N86</f>
        <v>8949.604219499497</v>
      </c>
      <c r="O95" s="35">
        <f t="shared" ref="O95:P95" si="60">O94+O86</f>
        <v>9572.7866537299633</v>
      </c>
      <c r="P95" s="35">
        <f t="shared" si="60"/>
        <v>10335.921606513723</v>
      </c>
    </row>
    <row r="96" spans="2:16">
      <c r="C96" s="31" t="s">
        <v>87</v>
      </c>
      <c r="E96" s="41" t="s">
        <v>9</v>
      </c>
      <c r="F96" s="35"/>
      <c r="G96" s="81">
        <f>G95/F95-1</f>
        <v>0.30298507462686564</v>
      </c>
      <c r="H96" s="81">
        <f t="shared" ref="H96:J96" si="61">H95/G95-1</f>
        <v>0.57823596792668952</v>
      </c>
      <c r="I96" s="81">
        <f t="shared" si="61"/>
        <v>0.13049789519523869</v>
      </c>
      <c r="J96" s="81">
        <f t="shared" si="61"/>
        <v>-1.7205957883923984E-2</v>
      </c>
      <c r="K96" s="81">
        <f t="shared" ref="K96" si="62">K95/J95-1</f>
        <v>2.7828586360073126E-2</v>
      </c>
      <c r="L96" s="81">
        <f t="shared" ref="L96" si="63">L95/K95-1</f>
        <v>2.4656533135202885E-2</v>
      </c>
      <c r="M96" s="81">
        <f t="shared" ref="M96" si="64">M95/L95-1</f>
        <v>4.8591820572015276E-2</v>
      </c>
      <c r="N96" s="81">
        <f t="shared" ref="N96" si="65">N95/M95-1</f>
        <v>5.8790169829814776E-2</v>
      </c>
      <c r="O96" s="81">
        <f t="shared" ref="O96:P96" si="66">O95/N95-1</f>
        <v>6.9632401494656992E-2</v>
      </c>
      <c r="P96" s="81">
        <f t="shared" si="66"/>
        <v>7.9719206160978162E-2</v>
      </c>
    </row>
    <row r="97" spans="3:20">
      <c r="C97" s="34"/>
      <c r="E97" s="40"/>
      <c r="F97" s="9"/>
      <c r="G97" s="9"/>
      <c r="H97" s="9"/>
      <c r="I97" s="9"/>
      <c r="J97" s="9"/>
      <c r="K97" s="39"/>
      <c r="L97" s="39"/>
      <c r="M97" s="39"/>
      <c r="N97" s="39"/>
      <c r="O97" s="39"/>
      <c r="P97" s="39"/>
    </row>
    <row r="98" spans="3:20">
      <c r="C98" s="45" t="s">
        <v>69</v>
      </c>
      <c r="E98" s="40" t="s">
        <v>54</v>
      </c>
      <c r="F98" s="71">
        <v>-237</v>
      </c>
      <c r="G98" s="71">
        <v>-240</v>
      </c>
      <c r="H98" s="71">
        <v>-236</v>
      </c>
      <c r="I98" s="71">
        <v>-228</v>
      </c>
      <c r="J98" s="71">
        <v>-238</v>
      </c>
      <c r="K98" s="71">
        <v>-247</v>
      </c>
      <c r="L98" s="65">
        <f>Debt!K24</f>
        <v>-233.19881538692644</v>
      </c>
      <c r="M98" s="65">
        <f>Debt!L24</f>
        <v>-234.72260096418657</v>
      </c>
      <c r="N98" s="65">
        <f>Debt!M24</f>
        <v>-219.51039711745494</v>
      </c>
      <c r="O98" s="65">
        <f>Debt!N24</f>
        <v>-234.72260096418657</v>
      </c>
      <c r="P98" s="65">
        <f>Debt!O24</f>
        <v>-234.72260096418657</v>
      </c>
    </row>
    <row r="99" spans="3:20">
      <c r="C99" s="45" t="s">
        <v>70</v>
      </c>
      <c r="E99" s="40" t="s">
        <v>54</v>
      </c>
      <c r="F99" s="71">
        <v>156</v>
      </c>
      <c r="G99" s="71">
        <v>41</v>
      </c>
      <c r="H99" s="71">
        <v>118</v>
      </c>
      <c r="I99" s="71">
        <v>39</v>
      </c>
      <c r="J99" s="71">
        <v>300</v>
      </c>
      <c r="K99" s="71">
        <v>532</v>
      </c>
      <c r="L99" s="65">
        <f>L95*L52</f>
        <v>200.90521057922871</v>
      </c>
      <c r="M99" s="65">
        <f>M95*M52</f>
        <v>240.721620478338</v>
      </c>
      <c r="N99" s="65">
        <f>N95*N52</f>
        <v>267.15806538218408</v>
      </c>
      <c r="O99" s="65">
        <f>O95*O52</f>
        <v>313.98333784654568</v>
      </c>
      <c r="P99" s="65">
        <f>P95*P52</f>
        <v>316.53340898683086</v>
      </c>
    </row>
    <row r="100" spans="3:20">
      <c r="C100" s="46" t="s">
        <v>71</v>
      </c>
      <c r="E100" s="40" t="s">
        <v>54</v>
      </c>
      <c r="F100" s="70">
        <v>-563</v>
      </c>
      <c r="G100" s="70">
        <v>-547</v>
      </c>
      <c r="H100" s="70">
        <v>-883</v>
      </c>
      <c r="I100" s="70">
        <v>-1074</v>
      </c>
      <c r="J100" s="70">
        <v>-860</v>
      </c>
      <c r="K100" s="70">
        <v>-975</v>
      </c>
      <c r="L100" s="88">
        <f>-L95*L53</f>
        <v>-1011.9581044007821</v>
      </c>
      <c r="M100" s="88">
        <f>-M95*M53</f>
        <v>-1061.50790390214</v>
      </c>
      <c r="N100" s="88">
        <f>-N95*N53</f>
        <v>-1119.2732263801715</v>
      </c>
      <c r="O100" s="88">
        <f>-O95*O53</f>
        <v>-1172.6270799314059</v>
      </c>
      <c r="P100" s="88">
        <f>-P95*P53</f>
        <v>-1287.061674569713</v>
      </c>
    </row>
    <row r="101" spans="3:20">
      <c r="C101" s="33" t="s">
        <v>31</v>
      </c>
      <c r="E101" s="41" t="s">
        <v>54</v>
      </c>
      <c r="F101" s="35">
        <f>SUM(F95:F100)</f>
        <v>2706</v>
      </c>
      <c r="G101" s="35">
        <f t="shared" ref="G101:O101" si="67">SUM(G95:G100)</f>
        <v>3619.302985074627</v>
      </c>
      <c r="H101" s="35">
        <f t="shared" si="67"/>
        <v>5888.578235967927</v>
      </c>
      <c r="I101" s="35">
        <f t="shared" si="67"/>
        <v>6525.1304978951948</v>
      </c>
      <c r="J101" s="35">
        <f t="shared" si="67"/>
        <v>6855.9827940421164</v>
      </c>
      <c r="K101" s="35">
        <f t="shared" si="67"/>
        <v>7177.0278285863596</v>
      </c>
      <c r="L101" s="35">
        <f t="shared" si="67"/>
        <v>7016.7458934992974</v>
      </c>
      <c r="M101" s="35">
        <f t="shared" si="67"/>
        <v>7397.2100046436117</v>
      </c>
      <c r="N101" s="35">
        <f t="shared" si="67"/>
        <v>7878.0374515538824</v>
      </c>
      <c r="O101" s="35">
        <f t="shared" si="67"/>
        <v>8479.4899430824116</v>
      </c>
      <c r="P101" s="35">
        <f t="shared" ref="P101" si="68">SUM(P95:P100)</f>
        <v>9130.7504591728139</v>
      </c>
    </row>
    <row r="102" spans="3:20">
      <c r="C102" s="31" t="s">
        <v>87</v>
      </c>
      <c r="E102" s="41" t="s">
        <v>9</v>
      </c>
      <c r="F102" s="35"/>
      <c r="G102" s="81">
        <f>G101/F101-1</f>
        <v>0.33751034186054207</v>
      </c>
      <c r="H102" s="81">
        <f t="shared" ref="H102:J102" si="69">H101/G101-1</f>
        <v>0.6269923408599376</v>
      </c>
      <c r="I102" s="81">
        <f t="shared" si="69"/>
        <v>0.1080994828325712</v>
      </c>
      <c r="J102" s="81">
        <f t="shared" si="69"/>
        <v>5.0704318672805782E-2</v>
      </c>
      <c r="K102" s="81">
        <f t="shared" ref="K102" si="70">K101/J101-1</f>
        <v>4.6826989534342722E-2</v>
      </c>
      <c r="L102" s="81">
        <f t="shared" ref="L102" si="71">L101/K101-1</f>
        <v>-2.2332633914090905E-2</v>
      </c>
      <c r="M102" s="81">
        <f t="shared" ref="M102" si="72">M101/L101-1</f>
        <v>5.4222301465526535E-2</v>
      </c>
      <c r="N102" s="81">
        <f t="shared" ref="N102" si="73">N101/M101-1</f>
        <v>6.5001189179221708E-2</v>
      </c>
      <c r="O102" s="81">
        <f t="shared" ref="O102:P102" si="74">O101/N101-1</f>
        <v>7.6345472489458333E-2</v>
      </c>
      <c r="P102" s="81">
        <f t="shared" si="74"/>
        <v>7.6804208798160412E-2</v>
      </c>
    </row>
    <row r="103" spans="3:20">
      <c r="F103" s="27"/>
      <c r="G103" s="27"/>
      <c r="H103" s="27"/>
      <c r="I103" s="27"/>
      <c r="J103" s="27"/>
      <c r="K103" s="52"/>
      <c r="L103" s="52"/>
      <c r="M103" s="52"/>
      <c r="N103" s="52"/>
      <c r="O103" s="52"/>
      <c r="P103" s="52"/>
    </row>
    <row r="104" spans="3:20">
      <c r="C104" s="45" t="s">
        <v>72</v>
      </c>
      <c r="E104" s="40" t="s">
        <v>54</v>
      </c>
      <c r="F104" s="71">
        <v>21</v>
      </c>
      <c r="G104" s="71">
        <v>9</v>
      </c>
      <c r="H104" s="71">
        <v>-21</v>
      </c>
      <c r="I104" s="71">
        <v>-74</v>
      </c>
      <c r="J104" s="71">
        <v>25</v>
      </c>
      <c r="K104" s="341">
        <f>AVERAGE(F104:J104)</f>
        <v>-8</v>
      </c>
      <c r="L104" s="341">
        <v>-8</v>
      </c>
      <c r="M104" s="341">
        <v>-8</v>
      </c>
      <c r="N104" s="341">
        <v>-8</v>
      </c>
      <c r="O104" s="341">
        <v>-8</v>
      </c>
      <c r="P104" s="341">
        <v>-8</v>
      </c>
    </row>
    <row r="105" spans="3:20">
      <c r="C105" s="45" t="s">
        <v>73</v>
      </c>
      <c r="E105" s="40" t="s">
        <v>54</v>
      </c>
      <c r="F105" s="71">
        <v>-7</v>
      </c>
      <c r="G105" s="71">
        <v>-117</v>
      </c>
      <c r="H105" s="71">
        <v>30</v>
      </c>
      <c r="I105" s="71">
        <v>51</v>
      </c>
      <c r="J105" s="71">
        <v>-66</v>
      </c>
      <c r="K105" s="341">
        <f>AVERAGE(F105:J105)</f>
        <v>-21.8</v>
      </c>
      <c r="L105" s="341">
        <v>-21.8</v>
      </c>
      <c r="M105" s="341">
        <v>-21.8</v>
      </c>
      <c r="N105" s="341">
        <v>-21.8</v>
      </c>
      <c r="O105" s="341">
        <v>-21.8</v>
      </c>
      <c r="P105" s="341">
        <v>-21.8</v>
      </c>
    </row>
    <row r="106" spans="3:20">
      <c r="C106" s="45" t="s">
        <v>74</v>
      </c>
      <c r="E106" s="40" t="s">
        <v>54</v>
      </c>
      <c r="F106" s="71">
        <v>-51</v>
      </c>
      <c r="G106" s="71">
        <v>-11</v>
      </c>
      <c r="H106" s="71">
        <v>30</v>
      </c>
      <c r="I106" s="71">
        <v>81</v>
      </c>
      <c r="J106" s="71">
        <v>26</v>
      </c>
      <c r="K106" s="341">
        <f>AVERAGE(F106:J106)</f>
        <v>15</v>
      </c>
      <c r="L106" s="341">
        <v>15</v>
      </c>
      <c r="M106" s="341">
        <v>15</v>
      </c>
      <c r="N106" s="341">
        <v>15</v>
      </c>
      <c r="O106" s="341">
        <v>15</v>
      </c>
      <c r="P106" s="341">
        <v>15</v>
      </c>
    </row>
    <row r="107" spans="3:20">
      <c r="C107" s="46" t="s">
        <v>75</v>
      </c>
      <c r="E107" s="40" t="s">
        <v>54</v>
      </c>
      <c r="F107" s="70">
        <v>-1</v>
      </c>
      <c r="G107" s="70">
        <v>0</v>
      </c>
      <c r="H107" s="70">
        <v>0</v>
      </c>
      <c r="I107" s="70">
        <v>0</v>
      </c>
      <c r="J107" s="70">
        <v>0</v>
      </c>
      <c r="K107" s="88">
        <v>0</v>
      </c>
      <c r="L107" s="88">
        <v>0</v>
      </c>
      <c r="M107" s="88">
        <v>0</v>
      </c>
      <c r="N107" s="88">
        <v>0</v>
      </c>
      <c r="O107" s="88">
        <v>0</v>
      </c>
      <c r="P107" s="88">
        <v>0</v>
      </c>
    </row>
    <row r="108" spans="3:20">
      <c r="C108" s="33" t="s">
        <v>76</v>
      </c>
      <c r="E108" s="41" t="s">
        <v>54</v>
      </c>
      <c r="F108" s="35">
        <f>SUM(F101:F107)</f>
        <v>2668</v>
      </c>
      <c r="G108" s="35">
        <f>SUM(G101:G107)</f>
        <v>3500.6404954164877</v>
      </c>
      <c r="H108" s="35">
        <f>SUM(H101:H107)</f>
        <v>5928.2052283087869</v>
      </c>
      <c r="I108" s="35">
        <f>SUM(I101:I107)</f>
        <v>6583.2385973780274</v>
      </c>
      <c r="J108" s="35">
        <f>SUM(J101:J107)</f>
        <v>6841.0334983607891</v>
      </c>
      <c r="K108" s="35">
        <f t="shared" ref="K108:O108" si="75">SUM(K101:K107)</f>
        <v>7162.274655575894</v>
      </c>
      <c r="L108" s="35">
        <f t="shared" si="75"/>
        <v>7001.9235608653835</v>
      </c>
      <c r="M108" s="35">
        <f t="shared" si="75"/>
        <v>7382.4642269450769</v>
      </c>
      <c r="N108" s="35">
        <f t="shared" si="75"/>
        <v>7863.3024527430616</v>
      </c>
      <c r="O108" s="35">
        <f t="shared" si="75"/>
        <v>8464.7662885549016</v>
      </c>
      <c r="P108" s="35">
        <f t="shared" ref="P108" si="76">SUM(P101:P107)</f>
        <v>9116.027263381613</v>
      </c>
    </row>
    <row r="109" spans="3:20">
      <c r="C109" s="31" t="s">
        <v>87</v>
      </c>
      <c r="E109" s="41" t="s">
        <v>9</v>
      </c>
      <c r="F109" s="27"/>
      <c r="G109" s="81">
        <f>G108/F108-1</f>
        <v>0.31208414370932824</v>
      </c>
      <c r="H109" s="81">
        <f t="shared" ref="H109:J109" si="77">H108/G108-1</f>
        <v>0.6934630208588386</v>
      </c>
      <c r="I109" s="81">
        <f t="shared" si="77"/>
        <v>0.11049438132493772</v>
      </c>
      <c r="J109" s="81">
        <f t="shared" si="77"/>
        <v>3.9159282649338545E-2</v>
      </c>
      <c r="K109" s="81">
        <f t="shared" ref="K109" si="78">K108/J108-1</f>
        <v>4.6957986288486797E-2</v>
      </c>
      <c r="L109" s="81">
        <f t="shared" ref="L109" si="79">L108/K108-1</f>
        <v>-2.2388291767849955E-2</v>
      </c>
      <c r="M109" s="81">
        <f t="shared" ref="M109" si="80">M108/L108-1</f>
        <v>5.4348017765658341E-2</v>
      </c>
      <c r="N109" s="81">
        <f t="shared" ref="N109" si="81">N108/M108-1</f>
        <v>6.513248300519825E-2</v>
      </c>
      <c r="O109" s="81">
        <f t="shared" ref="O109:P109" si="82">O108/N108-1</f>
        <v>7.6489978533386127E-2</v>
      </c>
      <c r="P109" s="81">
        <f t="shared" si="82"/>
        <v>7.6937856595907794E-2</v>
      </c>
    </row>
    <row r="110" spans="3:20">
      <c r="C110" s="43"/>
      <c r="J110" s="39"/>
      <c r="K110" s="39"/>
      <c r="L110" s="39"/>
      <c r="M110" s="39"/>
      <c r="N110" s="39"/>
      <c r="O110" s="39"/>
      <c r="P110" s="39"/>
      <c r="S110" s="612"/>
      <c r="T110" s="613"/>
    </row>
    <row r="111" spans="3:20">
      <c r="C111" s="43" t="s">
        <v>96</v>
      </c>
      <c r="E111" s="41" t="s">
        <v>54</v>
      </c>
      <c r="F111" s="39">
        <f t="shared" ref="F111:O111" si="83">F101+F161</f>
        <v>3069</v>
      </c>
      <c r="G111" s="39">
        <f t="shared" si="83"/>
        <v>3995.302985074627</v>
      </c>
      <c r="H111" s="39">
        <f t="shared" si="83"/>
        <v>6282.578235967927</v>
      </c>
      <c r="I111" s="39">
        <f t="shared" si="83"/>
        <v>6969.1304978951948</v>
      </c>
      <c r="J111" s="39">
        <f t="shared" si="83"/>
        <v>7370.9827940421164</v>
      </c>
      <c r="K111" s="39">
        <f t="shared" si="83"/>
        <v>7569.0278285863596</v>
      </c>
      <c r="L111" s="39">
        <f t="shared" si="83"/>
        <v>7703.7275857148452</v>
      </c>
      <c r="M111" s="39">
        <f t="shared" si="83"/>
        <v>8146.6799405598113</v>
      </c>
      <c r="N111" s="39">
        <f t="shared" si="83"/>
        <v>8695.5149437066757</v>
      </c>
      <c r="O111" s="39">
        <f t="shared" si="83"/>
        <v>9371.5736239581256</v>
      </c>
      <c r="P111" s="39">
        <f t="shared" ref="P111" si="84">P101+P161</f>
        <v>10010.563630561985</v>
      </c>
      <c r="S111" s="612"/>
      <c r="T111" s="612"/>
    </row>
    <row r="112" spans="3:20">
      <c r="C112" s="80" t="s">
        <v>97</v>
      </c>
      <c r="E112" s="40" t="s">
        <v>54</v>
      </c>
      <c r="F112" s="81">
        <f>F111/F83</f>
        <v>0.21009036144578314</v>
      </c>
      <c r="G112" s="81">
        <f t="shared" ref="G112:J112" si="85">G111/G83</f>
        <v>0.23225805052171997</v>
      </c>
      <c r="H112" s="81">
        <f t="shared" si="85"/>
        <v>0.27240941056965384</v>
      </c>
      <c r="I112" s="81">
        <f t="shared" si="85"/>
        <v>0.27027847577642794</v>
      </c>
      <c r="J112" s="81">
        <f t="shared" si="85"/>
        <v>0.27797197247207889</v>
      </c>
      <c r="K112" s="81">
        <f t="shared" ref="K112:O112" si="86">K111/K83</f>
        <v>0.27851883384553872</v>
      </c>
      <c r="L112" s="81">
        <f t="shared" si="86"/>
        <v>0.27311381318874489</v>
      </c>
      <c r="M112" s="81">
        <f t="shared" si="86"/>
        <v>0.27543361202773964</v>
      </c>
      <c r="N112" s="81">
        <f t="shared" si="86"/>
        <v>0.27766535062128123</v>
      </c>
      <c r="O112" s="81">
        <f t="shared" si="86"/>
        <v>0.27977206842176616</v>
      </c>
      <c r="P112" s="81">
        <f t="shared" ref="P112" si="87">P111/P83</f>
        <v>0.27678307892418097</v>
      </c>
      <c r="S112" s="612"/>
      <c r="T112" s="612"/>
    </row>
    <row r="113" spans="2:27">
      <c r="C113" s="80"/>
      <c r="E113" s="40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S113" s="612"/>
      <c r="T113" s="612"/>
    </row>
    <row r="114" spans="2:27">
      <c r="C114" s="411" t="s">
        <v>456</v>
      </c>
      <c r="E114" s="579" t="s">
        <v>458</v>
      </c>
      <c r="F114" s="614">
        <v>945</v>
      </c>
      <c r="G114" s="614">
        <v>923</v>
      </c>
      <c r="H114" s="614">
        <v>919</v>
      </c>
      <c r="I114" s="614">
        <v>877</v>
      </c>
      <c r="J114" s="614">
        <v>845</v>
      </c>
      <c r="K114" s="614">
        <v>824</v>
      </c>
      <c r="L114" s="614">
        <v>824</v>
      </c>
      <c r="M114" s="614">
        <v>824</v>
      </c>
      <c r="N114" s="614">
        <v>824</v>
      </c>
      <c r="O114" s="614">
        <v>824</v>
      </c>
      <c r="P114" s="614">
        <v>824</v>
      </c>
      <c r="S114" s="612"/>
      <c r="T114" s="612"/>
    </row>
    <row r="115" spans="2:27">
      <c r="C115" s="611" t="s">
        <v>457</v>
      </c>
      <c r="E115" s="579" t="s">
        <v>447</v>
      </c>
      <c r="F115" s="292">
        <f>F108/F114</f>
        <v>2.8232804232804232</v>
      </c>
      <c r="G115" s="292">
        <f t="shared" ref="G115:O115" si="88">G108/G114</f>
        <v>3.7926765930839519</v>
      </c>
      <c r="H115" s="292">
        <f t="shared" si="88"/>
        <v>6.4507129796613567</v>
      </c>
      <c r="I115" s="292">
        <f t="shared" si="88"/>
        <v>7.5065434405678761</v>
      </c>
      <c r="J115" s="292">
        <f t="shared" si="88"/>
        <v>8.0958976311962001</v>
      </c>
      <c r="K115" s="292">
        <f t="shared" si="88"/>
        <v>8.6920808926891926</v>
      </c>
      <c r="L115" s="292">
        <f t="shared" si="88"/>
        <v>8.4974800495939125</v>
      </c>
      <c r="M115" s="292">
        <f t="shared" si="88"/>
        <v>8.9593012462925685</v>
      </c>
      <c r="N115" s="292">
        <f t="shared" si="88"/>
        <v>9.5428427824551711</v>
      </c>
      <c r="O115" s="292">
        <f t="shared" si="88"/>
        <v>10.272774622032648</v>
      </c>
      <c r="P115" s="292">
        <f t="shared" ref="P115" si="89">P108/P114</f>
        <v>11.063139882744675</v>
      </c>
      <c r="S115" s="612"/>
      <c r="T115" s="612"/>
    </row>
    <row r="116" spans="2:27">
      <c r="C116" s="67" t="s">
        <v>98</v>
      </c>
      <c r="E116" s="83" t="s">
        <v>103</v>
      </c>
      <c r="F116" s="82">
        <f t="shared" ref="F116:O116" si="90">F144/F111</f>
        <v>1.7311827956989247</v>
      </c>
      <c r="G116" s="82">
        <f t="shared" si="90"/>
        <v>1.3636012138133846</v>
      </c>
      <c r="H116" s="82">
        <f t="shared" si="90"/>
        <v>0.86779659484177296</v>
      </c>
      <c r="I116" s="82">
        <f t="shared" si="90"/>
        <v>0.78302451096992864</v>
      </c>
      <c r="J116" s="82">
        <f t="shared" si="90"/>
        <v>0.7408781369580818</v>
      </c>
      <c r="K116" s="82">
        <f t="shared" si="90"/>
        <v>0.81318684913048411</v>
      </c>
      <c r="L116" s="82">
        <f t="shared" si="90"/>
        <v>0.70810316567066245</v>
      </c>
      <c r="M116" s="82">
        <f t="shared" si="90"/>
        <v>0.81690135606969494</v>
      </c>
      <c r="N116" s="82">
        <f t="shared" si="90"/>
        <v>0.62733879778530399</v>
      </c>
      <c r="O116" s="82">
        <f t="shared" si="90"/>
        <v>0.58208302146434332</v>
      </c>
      <c r="P116" s="82">
        <f t="shared" ref="P116" si="91">P144/P111</f>
        <v>0.54492774755009976</v>
      </c>
      <c r="S116" s="612"/>
      <c r="T116" s="612"/>
    </row>
    <row r="117" spans="2:27">
      <c r="C117" s="67" t="s">
        <v>99</v>
      </c>
      <c r="E117" s="41" t="s">
        <v>9</v>
      </c>
      <c r="F117" s="81">
        <f t="shared" ref="F117:O117" si="92">F144/(F144+F149)</f>
        <v>0.34007552966779747</v>
      </c>
      <c r="G117" s="81">
        <f t="shared" si="92"/>
        <v>0.27159878358841416</v>
      </c>
      <c r="H117" s="81">
        <f t="shared" si="92"/>
        <v>0.24321912919343328</v>
      </c>
      <c r="I117" s="81">
        <f t="shared" si="92"/>
        <v>0.28684819175777965</v>
      </c>
      <c r="J117" s="81">
        <f t="shared" si="92"/>
        <v>0.20429463918297108</v>
      </c>
      <c r="K117" s="81">
        <f t="shared" si="92"/>
        <v>0.1999472250523063</v>
      </c>
      <c r="L117" s="81">
        <f t="shared" si="92"/>
        <v>0.16180813444467956</v>
      </c>
      <c r="M117" s="81">
        <f t="shared" si="92"/>
        <v>0.17681546225349226</v>
      </c>
      <c r="N117" s="81">
        <f t="shared" si="92"/>
        <v>0.13584995427112176</v>
      </c>
      <c r="O117" s="81">
        <f t="shared" si="92"/>
        <v>0.12850825123638665</v>
      </c>
      <c r="P117" s="81">
        <f t="shared" ref="P117" si="93">P144/(P144+P149)</f>
        <v>0.12266213959589879</v>
      </c>
    </row>
    <row r="119" spans="2:27">
      <c r="B119" s="42"/>
      <c r="C119" s="42"/>
      <c r="D119" s="42"/>
      <c r="E119" s="42"/>
      <c r="F119" s="47"/>
      <c r="G119" s="47"/>
      <c r="H119" s="647"/>
      <c r="I119" s="47"/>
      <c r="J119" s="47"/>
      <c r="K119" s="47"/>
      <c r="L119" s="48"/>
      <c r="M119" s="47"/>
      <c r="N119" s="647"/>
      <c r="O119" s="47"/>
      <c r="P119" s="47"/>
    </row>
    <row r="120" spans="2:27">
      <c r="B120" s="15" t="s">
        <v>18</v>
      </c>
      <c r="C120" s="42"/>
      <c r="D120" s="42"/>
      <c r="E120" s="15" t="str">
        <f>E17</f>
        <v>Units:</v>
      </c>
      <c r="F120" s="650">
        <f>$F$17</f>
        <v>43496</v>
      </c>
      <c r="G120" s="650">
        <f>$G$17</f>
        <v>43861</v>
      </c>
      <c r="H120" s="650">
        <f t="shared" ref="H120:O120" si="94">H17</f>
        <v>44227</v>
      </c>
      <c r="I120" s="650">
        <f t="shared" si="94"/>
        <v>44592</v>
      </c>
      <c r="J120" s="650">
        <f t="shared" si="94"/>
        <v>44957</v>
      </c>
      <c r="K120" s="650">
        <f t="shared" si="94"/>
        <v>45322</v>
      </c>
      <c r="L120" s="651">
        <f t="shared" si="94"/>
        <v>45688</v>
      </c>
      <c r="M120" s="650">
        <f t="shared" si="94"/>
        <v>46053</v>
      </c>
      <c r="N120" s="650">
        <f t="shared" si="94"/>
        <v>46418</v>
      </c>
      <c r="O120" s="650">
        <f t="shared" si="94"/>
        <v>46783</v>
      </c>
      <c r="P120" s="650">
        <f t="shared" ref="P120" si="95">P17</f>
        <v>47149</v>
      </c>
    </row>
    <row r="121" spans="2:27">
      <c r="B121" s="22"/>
      <c r="C121" s="95" t="s">
        <v>22</v>
      </c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</row>
    <row r="122" spans="2:27"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</row>
    <row r="123" spans="2:27">
      <c r="C123" s="44" t="s">
        <v>52</v>
      </c>
      <c r="G123" s="65"/>
      <c r="Q123" s="653"/>
      <c r="R123" s="654"/>
      <c r="S123" s="654"/>
    </row>
    <row r="124" spans="2:27">
      <c r="C124" s="37" t="s">
        <v>77</v>
      </c>
      <c r="E124" s="40" t="s">
        <v>54</v>
      </c>
      <c r="F124" s="69">
        <v>3618</v>
      </c>
      <c r="G124" s="69">
        <v>5738</v>
      </c>
      <c r="H124" s="69">
        <v>5459</v>
      </c>
      <c r="I124" s="69">
        <v>2581</v>
      </c>
      <c r="J124" s="69">
        <v>6869</v>
      </c>
      <c r="K124" s="39">
        <f>K189</f>
        <v>14351.207287297184</v>
      </c>
      <c r="L124" s="39">
        <f t="shared" ref="L124:O124" si="96">L189</f>
        <v>12314.64462828622</v>
      </c>
      <c r="M124" s="39">
        <f t="shared" si="96"/>
        <v>15411.549947360036</v>
      </c>
      <c r="N124" s="39">
        <f t="shared" si="96"/>
        <v>17009.070621405939</v>
      </c>
      <c r="O124" s="39">
        <f t="shared" si="96"/>
        <v>18260.595796393936</v>
      </c>
      <c r="P124" s="39">
        <f t="shared" ref="P124" si="97">P189</f>
        <v>18949.109599937965</v>
      </c>
      <c r="Q124" s="655"/>
      <c r="R124" s="656"/>
      <c r="S124" s="656"/>
    </row>
    <row r="125" spans="2:27">
      <c r="C125" s="37" t="s">
        <v>78</v>
      </c>
      <c r="E125" s="40" t="s">
        <v>54</v>
      </c>
      <c r="F125" s="71">
        <v>2533</v>
      </c>
      <c r="G125" s="71">
        <v>2963</v>
      </c>
      <c r="H125" s="71">
        <v>4953</v>
      </c>
      <c r="I125" s="71">
        <v>6068</v>
      </c>
      <c r="J125" s="71">
        <v>5165</v>
      </c>
      <c r="K125" s="657">
        <v>5234</v>
      </c>
      <c r="L125" s="57">
        <f>L60/(L81-K81)*L83</f>
        <v>5163.5806966812079</v>
      </c>
      <c r="M125" s="57">
        <f>M60/(M81-L81)*M83</f>
        <v>5267.2533641450982</v>
      </c>
      <c r="N125" s="57">
        <f>N60/(N81-M81)*N83</f>
        <v>5405.3186659918574</v>
      </c>
      <c r="O125" s="57">
        <f>O60/(O81-N81)*O83</f>
        <v>5598.1578272773777</v>
      </c>
      <c r="P125" s="57">
        <f>P60/(P81-O81)*P83</f>
        <v>5830.2868243691983</v>
      </c>
      <c r="Q125" s="655"/>
      <c r="R125" s="655"/>
      <c r="S125" s="656"/>
    </row>
    <row r="126" spans="2:27">
      <c r="C126" s="38" t="s">
        <v>59</v>
      </c>
      <c r="E126" s="40" t="s">
        <v>54</v>
      </c>
      <c r="F126" s="70">
        <f>SUM(F124:F125)</f>
        <v>6151</v>
      </c>
      <c r="G126" s="70">
        <f t="shared" ref="G126" si="98">SUM(G124:G125)</f>
        <v>8701</v>
      </c>
      <c r="H126" s="70">
        <f t="shared" ref="H126" si="99">SUM(H124:H125)</f>
        <v>10412</v>
      </c>
      <c r="I126" s="70">
        <f t="shared" ref="I126" si="100">SUM(I124:I125)</f>
        <v>8649</v>
      </c>
      <c r="J126" s="70">
        <f t="shared" ref="J126" si="101">SUM(J124:J125)</f>
        <v>12034</v>
      </c>
      <c r="K126" s="659">
        <v>6515</v>
      </c>
      <c r="L126" s="58">
        <f>L61/(L81-K81)*-L85</f>
        <v>12240.591377250114</v>
      </c>
      <c r="M126" s="58">
        <f>M61/(M81-L81)*-M85</f>
        <v>12784.169906363089</v>
      </c>
      <c r="N126" s="58">
        <f>N61/(N81-M81)*-N85</f>
        <v>13444.295632870499</v>
      </c>
      <c r="O126" s="58">
        <f>O61/(O81-N81)*-O85</f>
        <v>14282.628004979219</v>
      </c>
      <c r="P126" s="58">
        <f>P61/(P81-O81)*-P85</f>
        <v>15273.75701405166</v>
      </c>
      <c r="Q126" s="655"/>
      <c r="R126" s="656"/>
    </row>
    <row r="127" spans="2:27">
      <c r="C127" s="36" t="s">
        <v>79</v>
      </c>
      <c r="E127" s="41" t="s">
        <v>54</v>
      </c>
      <c r="F127" s="39">
        <f t="shared" ref="F127:K127" si="102">SUM(F124:F126)</f>
        <v>12302</v>
      </c>
      <c r="G127" s="39">
        <f t="shared" si="102"/>
        <v>17402</v>
      </c>
      <c r="H127" s="39">
        <f t="shared" si="102"/>
        <v>20824</v>
      </c>
      <c r="I127" s="39">
        <f t="shared" si="102"/>
        <v>17298</v>
      </c>
      <c r="J127" s="39">
        <f t="shared" si="102"/>
        <v>24068</v>
      </c>
      <c r="K127" s="39">
        <f t="shared" si="102"/>
        <v>26100.207287297184</v>
      </c>
      <c r="L127" s="39">
        <f t="shared" ref="L127:O127" si="103">SUM(L124:L126)</f>
        <v>29718.81670221754</v>
      </c>
      <c r="M127" s="39">
        <f t="shared" si="103"/>
        <v>33462.973217868224</v>
      </c>
      <c r="N127" s="39">
        <f t="shared" si="103"/>
        <v>35858.684920268293</v>
      </c>
      <c r="O127" s="39">
        <f t="shared" si="103"/>
        <v>38141.381628650532</v>
      </c>
      <c r="P127" s="39">
        <f t="shared" ref="P127" si="104">SUM(P124:P126)</f>
        <v>40053.153438358822</v>
      </c>
      <c r="Q127" s="655"/>
      <c r="R127" s="656"/>
      <c r="S127" s="656"/>
      <c r="T127" s="39"/>
      <c r="U127" s="39"/>
      <c r="V127" s="39"/>
      <c r="W127" s="39"/>
      <c r="X127" s="39"/>
      <c r="Y127" s="39"/>
      <c r="Z127" s="39"/>
      <c r="AA127" s="39"/>
    </row>
    <row r="128" spans="2:27">
      <c r="C128" s="37"/>
      <c r="E128" s="40"/>
      <c r="F128" s="39"/>
      <c r="G128" s="39"/>
      <c r="H128" s="39"/>
      <c r="I128" s="39"/>
      <c r="J128" s="39"/>
      <c r="K128" s="57"/>
      <c r="L128" s="57"/>
      <c r="M128" s="57"/>
      <c r="N128" s="57"/>
      <c r="O128" s="57"/>
      <c r="P128" s="57"/>
      <c r="Q128" s="655"/>
      <c r="R128" s="656"/>
      <c r="S128" s="656"/>
      <c r="T128" s="658"/>
    </row>
    <row r="129" spans="3:26">
      <c r="C129" s="36" t="s">
        <v>53</v>
      </c>
      <c r="E129" s="40"/>
      <c r="F129" s="27"/>
      <c r="G129" s="27"/>
      <c r="H129" s="27"/>
      <c r="I129" s="27"/>
      <c r="J129" s="27"/>
      <c r="K129" s="57"/>
      <c r="L129" s="57"/>
      <c r="M129" s="57"/>
      <c r="N129" s="57"/>
      <c r="O129" s="57"/>
      <c r="P129" s="57"/>
      <c r="Q129" s="655"/>
      <c r="R129" s="656"/>
      <c r="S129" s="656"/>
      <c r="T129" s="253"/>
      <c r="U129" s="253"/>
      <c r="V129" s="253"/>
      <c r="W129" s="253"/>
      <c r="X129" s="253"/>
      <c r="Y129" s="253"/>
      <c r="Z129" s="253"/>
    </row>
    <row r="130" spans="3:26">
      <c r="C130" s="37" t="s">
        <v>80</v>
      </c>
      <c r="E130" s="40" t="s">
        <v>54</v>
      </c>
      <c r="F130" s="71">
        <v>1703</v>
      </c>
      <c r="G130" s="71">
        <v>1538</v>
      </c>
      <c r="H130" s="71">
        <v>2055</v>
      </c>
      <c r="I130" s="71">
        <v>1980</v>
      </c>
      <c r="J130" s="71">
        <v>2281</v>
      </c>
      <c r="K130" s="57">
        <v>2787</v>
      </c>
      <c r="L130" s="57">
        <f>L101*L64</f>
        <v>2175.1912269847821</v>
      </c>
      <c r="M130" s="57">
        <f>M101*M64</f>
        <v>2219.1630013930835</v>
      </c>
      <c r="N130" s="57">
        <f>N101*N64</f>
        <v>2284.6308609506259</v>
      </c>
      <c r="O130" s="57">
        <f>O101*O64</f>
        <v>2374.2571840630749</v>
      </c>
      <c r="P130" s="57">
        <f>P101*P64</f>
        <v>2465.3026239766596</v>
      </c>
      <c r="Q130"/>
      <c r="R130" s="656"/>
      <c r="S130" s="656"/>
      <c r="T130" s="244"/>
      <c r="U130" s="244"/>
      <c r="V130" s="244"/>
      <c r="W130" s="244"/>
      <c r="X130" s="244"/>
      <c r="Y130" s="244"/>
      <c r="Z130" s="244"/>
    </row>
    <row r="131" spans="3:26">
      <c r="C131" s="37" t="s">
        <v>81</v>
      </c>
      <c r="E131" s="40" t="s">
        <v>54</v>
      </c>
      <c r="F131" s="71">
        <v>1685</v>
      </c>
      <c r="G131" s="71">
        <v>1757</v>
      </c>
      <c r="H131" s="71">
        <v>2038</v>
      </c>
      <c r="I131" s="71">
        <v>2646</v>
      </c>
      <c r="J131" s="71">
        <v>3017</v>
      </c>
      <c r="K131" s="330">
        <f t="shared" ref="K131:P131" si="105">J131-K172-K161</f>
        <v>3815</v>
      </c>
      <c r="L131" s="330">
        <f t="shared" si="105"/>
        <v>4311.9281965779901</v>
      </c>
      <c r="M131" s="330">
        <f t="shared" si="105"/>
        <v>4777.092888134147</v>
      </c>
      <c r="N131" s="330">
        <f t="shared" si="105"/>
        <v>5217.2792131822453</v>
      </c>
      <c r="O131" s="330">
        <f t="shared" si="105"/>
        <v>5640.0779902491877</v>
      </c>
      <c r="P131" s="330">
        <f t="shared" si="105"/>
        <v>6147.193234172657</v>
      </c>
      <c r="Q131" s="655"/>
      <c r="R131" s="656"/>
      <c r="S131" s="656"/>
    </row>
    <row r="132" spans="3:26">
      <c r="C132" s="37" t="s">
        <v>23</v>
      </c>
      <c r="E132" s="40" t="s">
        <v>54</v>
      </c>
      <c r="F132" s="71">
        <v>3399</v>
      </c>
      <c r="G132" s="71">
        <v>3466</v>
      </c>
      <c r="H132" s="71">
        <v>3479</v>
      </c>
      <c r="I132" s="71">
        <v>3700</v>
      </c>
      <c r="J132" s="71">
        <v>3732</v>
      </c>
      <c r="K132" s="657">
        <v>3732</v>
      </c>
      <c r="L132" s="344">
        <v>3732</v>
      </c>
      <c r="M132" s="344">
        <v>3732</v>
      </c>
      <c r="N132" s="344">
        <v>3732</v>
      </c>
      <c r="O132" s="344">
        <v>3732</v>
      </c>
      <c r="P132" s="344">
        <v>3732</v>
      </c>
      <c r="Q132" s="655"/>
      <c r="R132" s="656"/>
      <c r="S132" s="656"/>
      <c r="T132" s="244"/>
      <c r="U132" s="244"/>
    </row>
    <row r="133" spans="3:26">
      <c r="C133" s="38" t="s">
        <v>83</v>
      </c>
      <c r="E133" s="40" t="s">
        <v>54</v>
      </c>
      <c r="F133" s="70">
        <v>2031</v>
      </c>
      <c r="G133" s="70">
        <v>2223</v>
      </c>
      <c r="H133" s="70">
        <v>2146</v>
      </c>
      <c r="I133" s="70">
        <v>2475</v>
      </c>
      <c r="J133" s="70">
        <v>2552</v>
      </c>
      <c r="K133" s="58">
        <v>3082</v>
      </c>
      <c r="L133" s="58">
        <f>L83*L65</f>
        <v>2256.561832818295</v>
      </c>
      <c r="M133" s="58">
        <f>M83*M65</f>
        <v>2070.4357454447272</v>
      </c>
      <c r="N133" s="58">
        <f>N83*N65</f>
        <v>1878.9917267495505</v>
      </c>
      <c r="O133" s="58">
        <f>O83*O65</f>
        <v>1674.8586942264287</v>
      </c>
      <c r="P133" s="58">
        <f>P83*P65</f>
        <v>1446.7016798095772</v>
      </c>
      <c r="Q133" s="655"/>
      <c r="R133" s="656"/>
      <c r="S133" s="656"/>
    </row>
    <row r="134" spans="3:26">
      <c r="C134" s="44" t="s">
        <v>24</v>
      </c>
      <c r="E134" s="41" t="s">
        <v>54</v>
      </c>
      <c r="F134" s="39">
        <f t="shared" ref="F134:K134" si="106">SUM(F127:F133)</f>
        <v>21120</v>
      </c>
      <c r="G134" s="39">
        <f t="shared" si="106"/>
        <v>26386</v>
      </c>
      <c r="H134" s="39">
        <f t="shared" si="106"/>
        <v>30542</v>
      </c>
      <c r="I134" s="39">
        <f t="shared" si="106"/>
        <v>28099</v>
      </c>
      <c r="J134" s="39">
        <f t="shared" si="106"/>
        <v>35650</v>
      </c>
      <c r="K134" s="39">
        <f t="shared" si="106"/>
        <v>39516.207287297184</v>
      </c>
      <c r="L134" s="39">
        <f t="shared" ref="L134:O134" si="107">SUM(L127:L133)</f>
        <v>42194.497958598608</v>
      </c>
      <c r="M134" s="39">
        <f t="shared" si="107"/>
        <v>46261.664852840186</v>
      </c>
      <c r="N134" s="39">
        <f t="shared" si="107"/>
        <v>48971.586721150707</v>
      </c>
      <c r="O134" s="39">
        <f t="shared" si="107"/>
        <v>51562.575497189224</v>
      </c>
      <c r="P134" s="39">
        <f t="shared" ref="P134" si="108">SUM(P127:P133)</f>
        <v>53844.350976317721</v>
      </c>
      <c r="Q134" s="655"/>
      <c r="R134" s="655"/>
      <c r="S134" s="655"/>
      <c r="T134" s="244"/>
      <c r="U134" s="244"/>
      <c r="V134" s="244"/>
      <c r="W134" s="244"/>
    </row>
    <row r="135" spans="3:26">
      <c r="Q135" s="655"/>
      <c r="R135" s="656"/>
      <c r="S135" s="656"/>
    </row>
    <row r="136" spans="3:26">
      <c r="C136" s="95" t="s">
        <v>25</v>
      </c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655"/>
      <c r="R136" s="656"/>
      <c r="S136" s="656"/>
    </row>
    <row r="137" spans="3:26"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/>
      <c r="R137" s="656"/>
      <c r="S137" s="656"/>
    </row>
    <row r="138" spans="3:26">
      <c r="C138" s="43" t="s">
        <v>52</v>
      </c>
      <c r="F138" s="53"/>
      <c r="G138" s="53"/>
      <c r="H138" s="53"/>
      <c r="I138" s="53"/>
      <c r="J138" s="53"/>
      <c r="Q138" s="655"/>
      <c r="R138" s="655"/>
      <c r="S138" s="655"/>
    </row>
    <row r="139" spans="3:26">
      <c r="C139" s="91" t="s">
        <v>108</v>
      </c>
      <c r="E139" s="40" t="s">
        <v>54</v>
      </c>
      <c r="F139" s="71">
        <v>958</v>
      </c>
      <c r="G139" s="71">
        <v>1124</v>
      </c>
      <c r="H139" s="71">
        <v>1472</v>
      </c>
      <c r="I139" s="71">
        <v>1755</v>
      </c>
      <c r="J139" s="71">
        <v>1478</v>
      </c>
      <c r="K139" s="27">
        <v>1654</v>
      </c>
      <c r="L139" s="27">
        <f>L70/(L81-K81)*L83</f>
        <v>1464.2990035364619</v>
      </c>
      <c r="M139" s="27">
        <f>M70/(M81-L81)*M83</f>
        <v>1539.6586756731826</v>
      </c>
      <c r="N139" s="27">
        <f>N70/(N81-M81)*N83</f>
        <v>1544.3767617119593</v>
      </c>
      <c r="O139" s="27">
        <f>O70/(O81-N81)*O83</f>
        <v>1651.9154244425049</v>
      </c>
      <c r="P139" s="27">
        <f>P70/(P81-O81)*P83</f>
        <v>1778.7315735363654</v>
      </c>
      <c r="Q139" s="655"/>
      <c r="R139" s="656"/>
      <c r="S139" s="656"/>
    </row>
    <row r="140" spans="3:26">
      <c r="C140" s="348" t="s">
        <v>45</v>
      </c>
      <c r="E140" s="40" t="s">
        <v>54</v>
      </c>
      <c r="F140" s="70">
        <v>2889</v>
      </c>
      <c r="G140" s="70">
        <v>3335</v>
      </c>
      <c r="H140" s="70">
        <v>4872</v>
      </c>
      <c r="I140" s="70">
        <v>5624</v>
      </c>
      <c r="J140" s="70">
        <v>5894</v>
      </c>
      <c r="K140" s="347">
        <f t="shared" ref="K140:P140" si="109">-K94*K71</f>
        <v>5782.4523716137537</v>
      </c>
      <c r="L140" s="28">
        <f t="shared" si="109"/>
        <v>5621.452725414938</v>
      </c>
      <c r="M140" s="28">
        <f t="shared" si="109"/>
        <v>5626.5733654936575</v>
      </c>
      <c r="N140" s="28">
        <f t="shared" si="109"/>
        <v>5673.5667061935583</v>
      </c>
      <c r="O140" s="28">
        <f t="shared" si="109"/>
        <v>5765.0756697572197</v>
      </c>
      <c r="P140" s="28">
        <f t="shared" si="109"/>
        <v>5896.9086418862416</v>
      </c>
      <c r="Q140" s="655"/>
      <c r="R140" s="656"/>
      <c r="S140" s="656"/>
    </row>
    <row r="141" spans="3:26">
      <c r="C141" s="36" t="s">
        <v>84</v>
      </c>
      <c r="E141" s="40" t="s">
        <v>55</v>
      </c>
      <c r="F141" s="39">
        <f t="shared" ref="F141:K141" si="110">SUM(F139:F140)</f>
        <v>3847</v>
      </c>
      <c r="G141" s="39">
        <f t="shared" si="110"/>
        <v>4459</v>
      </c>
      <c r="H141" s="39">
        <f t="shared" si="110"/>
        <v>6344</v>
      </c>
      <c r="I141" s="39">
        <f t="shared" si="110"/>
        <v>7379</v>
      </c>
      <c r="J141" s="39">
        <f t="shared" si="110"/>
        <v>7372</v>
      </c>
      <c r="K141" s="39">
        <f t="shared" si="110"/>
        <v>7436.4523716137537</v>
      </c>
      <c r="L141" s="39">
        <f t="shared" ref="L141:O141" si="111">SUM(L139:L140)</f>
        <v>7085.7517289513999</v>
      </c>
      <c r="M141" s="39">
        <f t="shared" si="111"/>
        <v>7166.2320411668406</v>
      </c>
      <c r="N141" s="39">
        <f t="shared" si="111"/>
        <v>7217.9434679055175</v>
      </c>
      <c r="O141" s="39">
        <f t="shared" si="111"/>
        <v>7416.9910941997241</v>
      </c>
      <c r="P141" s="39">
        <f t="shared" ref="P141" si="112">SUM(P139:P140)</f>
        <v>7675.6402154226071</v>
      </c>
      <c r="Q141" s="655"/>
      <c r="R141" s="656"/>
      <c r="S141" s="656"/>
    </row>
    <row r="142" spans="3:26">
      <c r="C142" s="36"/>
      <c r="E142" s="41"/>
      <c r="F142" s="39"/>
      <c r="G142" s="39"/>
      <c r="H142" s="39"/>
      <c r="I142" s="39"/>
      <c r="J142" s="39"/>
      <c r="K142" s="53"/>
      <c r="L142" s="53"/>
      <c r="M142" s="53"/>
      <c r="N142" s="53"/>
      <c r="O142" s="53"/>
      <c r="P142" s="53"/>
      <c r="Q142" s="244"/>
      <c r="R142" s="244"/>
    </row>
    <row r="143" spans="3:26">
      <c r="C143" s="36" t="s">
        <v>53</v>
      </c>
      <c r="E143" s="40"/>
      <c r="F143" s="27"/>
      <c r="G143" s="27"/>
      <c r="H143" s="27"/>
      <c r="I143" s="27"/>
      <c r="J143" s="27"/>
      <c r="K143" s="53"/>
      <c r="L143" s="53"/>
      <c r="M143" s="53"/>
      <c r="N143" s="53"/>
      <c r="O143" s="53"/>
      <c r="P143" s="53"/>
      <c r="Q143" s="655"/>
      <c r="R143" s="656"/>
      <c r="S143" s="656"/>
    </row>
    <row r="144" spans="3:26">
      <c r="C144" s="37" t="s">
        <v>85</v>
      </c>
      <c r="E144" s="40" t="s">
        <v>54</v>
      </c>
      <c r="F144" s="71">
        <v>5313</v>
      </c>
      <c r="G144" s="71">
        <v>5448</v>
      </c>
      <c r="H144" s="71">
        <v>5452</v>
      </c>
      <c r="I144" s="71">
        <v>5457</v>
      </c>
      <c r="J144" s="71">
        <v>5461</v>
      </c>
      <c r="K144" s="53">
        <v>6155.0338909090915</v>
      </c>
      <c r="L144" s="53">
        <v>5455.0338909090915</v>
      </c>
      <c r="M144" s="53">
        <v>6655.0338909090915</v>
      </c>
      <c r="N144" s="53">
        <v>5455.0338909090915</v>
      </c>
      <c r="O144" s="53">
        <v>5455.0338909090915</v>
      </c>
      <c r="P144" s="53">
        <v>5455.0338909090915</v>
      </c>
      <c r="Q144" s="655"/>
      <c r="R144" s="655"/>
      <c r="S144" s="655"/>
    </row>
    <row r="145" spans="2:19">
      <c r="C145" s="38" t="s">
        <v>86</v>
      </c>
      <c r="E145" s="40" t="s">
        <v>54</v>
      </c>
      <c r="F145" s="70">
        <v>1650</v>
      </c>
      <c r="G145" s="70">
        <v>1868</v>
      </c>
      <c r="H145" s="70">
        <v>1782</v>
      </c>
      <c r="I145" s="70">
        <v>1696</v>
      </c>
      <c r="J145" s="70">
        <v>1547</v>
      </c>
      <c r="K145" s="51">
        <v>1296.4625279099541</v>
      </c>
      <c r="L145" s="51">
        <v>1395.7693782015367</v>
      </c>
      <c r="M145" s="51">
        <v>1457.1301084398785</v>
      </c>
      <c r="N145" s="51">
        <v>1598.7980037411869</v>
      </c>
      <c r="O145" s="51">
        <v>1696.6845197069997</v>
      </c>
      <c r="P145" s="51">
        <v>1696.6845197069997</v>
      </c>
      <c r="Q145" s="655"/>
      <c r="R145" s="655"/>
      <c r="S145" s="655"/>
    </row>
    <row r="146" spans="2:19">
      <c r="C146" s="43" t="s">
        <v>26</v>
      </c>
      <c r="E146" s="41" t="s">
        <v>54</v>
      </c>
      <c r="F146" s="39">
        <f t="shared" ref="F146:K146" si="113">SUM(F141:F145)</f>
        <v>10810</v>
      </c>
      <c r="G146" s="39">
        <f t="shared" si="113"/>
        <v>11775</v>
      </c>
      <c r="H146" s="39">
        <f t="shared" si="113"/>
        <v>13578</v>
      </c>
      <c r="I146" s="39">
        <f t="shared" si="113"/>
        <v>14532</v>
      </c>
      <c r="J146" s="39">
        <f t="shared" si="113"/>
        <v>14380</v>
      </c>
      <c r="K146" s="39">
        <f t="shared" si="113"/>
        <v>14887.9487904328</v>
      </c>
      <c r="L146" s="39">
        <f t="shared" ref="L146:O146" si="114">SUM(L141:L145)</f>
        <v>13936.554998062027</v>
      </c>
      <c r="M146" s="39">
        <f t="shared" si="114"/>
        <v>15278.39604051581</v>
      </c>
      <c r="N146" s="39">
        <f t="shared" si="114"/>
        <v>14271.775362555796</v>
      </c>
      <c r="O146" s="39">
        <f t="shared" si="114"/>
        <v>14568.709504815815</v>
      </c>
      <c r="P146" s="39">
        <f t="shared" ref="P146" si="115">SUM(P141:P145)</f>
        <v>14827.358626038698</v>
      </c>
      <c r="Q146" s="655"/>
      <c r="R146" s="656"/>
      <c r="S146" s="656"/>
    </row>
    <row r="147" spans="2:19">
      <c r="C147" s="11"/>
      <c r="F147" s="10"/>
      <c r="G147" s="10"/>
      <c r="H147" s="10"/>
      <c r="I147" s="10"/>
      <c r="J147" s="10"/>
      <c r="Q147"/>
      <c r="R147" s="656"/>
      <c r="S147" s="656"/>
    </row>
    <row r="148" spans="2:19">
      <c r="C148" s="38" t="s">
        <v>299</v>
      </c>
      <c r="E148" s="40" t="s">
        <v>54</v>
      </c>
      <c r="F148" s="70">
        <v>10310</v>
      </c>
      <c r="G148" s="70">
        <v>14611</v>
      </c>
      <c r="H148" s="70">
        <v>16964</v>
      </c>
      <c r="I148" s="70">
        <v>13567</v>
      </c>
      <c r="J148" s="70">
        <v>21270</v>
      </c>
      <c r="K148" s="343">
        <f>J148+K159+K173+K179+K181+K182</f>
        <v>24628.258496864386</v>
      </c>
      <c r="L148" s="343">
        <f t="shared" ref="L148:P148" si="116">K148+L159+L173+L179+L181+L182</f>
        <v>28257.94296053658</v>
      </c>
      <c r="M148" s="343">
        <f t="shared" si="116"/>
        <v>30983.268812324368</v>
      </c>
      <c r="N148" s="343">
        <f t="shared" si="116"/>
        <v>34699.811358594925</v>
      </c>
      <c r="O148" s="343">
        <f t="shared" si="116"/>
        <v>36993.865992373409</v>
      </c>
      <c r="P148" s="343">
        <f t="shared" si="116"/>
        <v>39016.992350279026</v>
      </c>
      <c r="Q148" s="655"/>
      <c r="R148" s="656"/>
      <c r="S148" s="656"/>
    </row>
    <row r="149" spans="2:19">
      <c r="C149" s="43" t="s">
        <v>27</v>
      </c>
      <c r="E149" s="41" t="s">
        <v>54</v>
      </c>
      <c r="F149" s="39">
        <f t="shared" ref="F149:K149" si="117">SUM(F148:F148)</f>
        <v>10310</v>
      </c>
      <c r="G149" s="39">
        <f t="shared" si="117"/>
        <v>14611</v>
      </c>
      <c r="H149" s="39">
        <f t="shared" si="117"/>
        <v>16964</v>
      </c>
      <c r="I149" s="39">
        <f t="shared" si="117"/>
        <v>13567</v>
      </c>
      <c r="J149" s="39">
        <f t="shared" si="117"/>
        <v>21270</v>
      </c>
      <c r="K149" s="39">
        <f t="shared" si="117"/>
        <v>24628.258496864386</v>
      </c>
      <c r="L149" s="39">
        <f t="shared" ref="L149:O149" si="118">SUM(L148:L148)</f>
        <v>28257.94296053658</v>
      </c>
      <c r="M149" s="39">
        <f t="shared" si="118"/>
        <v>30983.268812324368</v>
      </c>
      <c r="N149" s="39">
        <f t="shared" si="118"/>
        <v>34699.811358594925</v>
      </c>
      <c r="O149" s="39">
        <f t="shared" si="118"/>
        <v>36993.865992373409</v>
      </c>
      <c r="P149" s="39">
        <f t="shared" ref="P149" si="119">SUM(P148:P148)</f>
        <v>39016.992350279026</v>
      </c>
      <c r="Q149" s="655"/>
      <c r="R149" s="656"/>
      <c r="S149" s="656"/>
    </row>
    <row r="150" spans="2:19">
      <c r="C150" s="43"/>
      <c r="E150" s="41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244"/>
      <c r="R150" s="244"/>
    </row>
    <row r="151" spans="2:19">
      <c r="C151" s="43" t="s">
        <v>28</v>
      </c>
      <c r="E151" s="41" t="s">
        <v>54</v>
      </c>
      <c r="F151" s="35">
        <f t="shared" ref="F151:K151" si="120">F146+F149</f>
        <v>21120</v>
      </c>
      <c r="G151" s="35">
        <f t="shared" si="120"/>
        <v>26386</v>
      </c>
      <c r="H151" s="35">
        <f t="shared" si="120"/>
        <v>30542</v>
      </c>
      <c r="I151" s="35">
        <f t="shared" si="120"/>
        <v>28099</v>
      </c>
      <c r="J151" s="35">
        <f t="shared" si="120"/>
        <v>35650</v>
      </c>
      <c r="K151" s="35">
        <f t="shared" si="120"/>
        <v>39516.207287297184</v>
      </c>
      <c r="L151" s="35">
        <f t="shared" ref="L151:O151" si="121">L146+L149</f>
        <v>42194.497958598608</v>
      </c>
      <c r="M151" s="35">
        <f t="shared" si="121"/>
        <v>46261.664852840178</v>
      </c>
      <c r="N151" s="35">
        <f t="shared" si="121"/>
        <v>48971.586721150721</v>
      </c>
      <c r="O151" s="35">
        <f t="shared" si="121"/>
        <v>51562.575497189224</v>
      </c>
      <c r="P151" s="35">
        <f t="shared" ref="P151" si="122">P146+P149</f>
        <v>53844.350976317728</v>
      </c>
      <c r="Q151" s="244"/>
      <c r="R151" s="244"/>
    </row>
    <row r="152" spans="2:19">
      <c r="C152" s="43"/>
      <c r="E152" s="41"/>
      <c r="K152" s="49"/>
      <c r="L152" s="349"/>
      <c r="M152" s="349"/>
      <c r="N152" s="349"/>
      <c r="O152" s="349"/>
      <c r="P152" s="349"/>
      <c r="Q152" s="244"/>
      <c r="R152" s="244"/>
    </row>
    <row r="153" spans="2:19">
      <c r="C153" s="43" t="s">
        <v>29</v>
      </c>
      <c r="E153" s="41" t="s">
        <v>300</v>
      </c>
      <c r="F153" s="54" t="str">
        <f>IF(F134=F151,"OK!",F134-F151)</f>
        <v>OK!</v>
      </c>
      <c r="G153" s="54" t="str">
        <f>IF(G134=G151,"OK!",G134-G151)</f>
        <v>OK!</v>
      </c>
      <c r="H153" s="54" t="str">
        <f>IF(H134=H151,"OK!",H134-H151)</f>
        <v>OK!</v>
      </c>
      <c r="I153" s="54" t="str">
        <f>IF(I134=I151,"OK!",I134-I151)</f>
        <v>OK!</v>
      </c>
      <c r="J153" s="54" t="str">
        <f>IF(J134=J151,"OK!",J134-J151)</f>
        <v>OK!</v>
      </c>
      <c r="K153" s="54" t="str">
        <f>IF(K151-K134=0,"OK!",K134-K151)</f>
        <v>OK!</v>
      </c>
      <c r="L153" s="54" t="str">
        <f t="shared" ref="L153:O153" si="123">IF(L151-L134=0,"OK!",L134-L151)</f>
        <v>OK!</v>
      </c>
      <c r="M153" s="54">
        <f t="shared" si="123"/>
        <v>7.2759576141834259E-12</v>
      </c>
      <c r="N153" s="54">
        <f t="shared" si="123"/>
        <v>-1.4551915228366852E-11</v>
      </c>
      <c r="O153" s="54" t="str">
        <f t="shared" si="123"/>
        <v>OK!</v>
      </c>
      <c r="P153" s="54">
        <f t="shared" ref="P153" si="124">IF(P151-P134=0,"OK!",P134-P151)</f>
        <v>-7.2759576141834259E-12</v>
      </c>
      <c r="Q153" s="54"/>
      <c r="R153" s="244"/>
    </row>
    <row r="154" spans="2:19">
      <c r="C154" s="43"/>
      <c r="F154" s="54"/>
      <c r="G154" s="55"/>
      <c r="H154" s="55"/>
      <c r="I154" s="55"/>
      <c r="J154" s="55"/>
    </row>
    <row r="155" spans="2:19">
      <c r="B155" s="42"/>
      <c r="C155" s="42"/>
      <c r="D155" s="42"/>
      <c r="E155" s="42"/>
      <c r="F155" s="47"/>
      <c r="G155" s="47"/>
      <c r="H155" s="647"/>
      <c r="I155" s="47"/>
      <c r="J155" s="47"/>
      <c r="K155" s="47"/>
      <c r="L155" s="48"/>
      <c r="M155" s="47"/>
      <c r="N155" s="647"/>
      <c r="O155" s="47"/>
      <c r="P155" s="47"/>
    </row>
    <row r="156" spans="2:19">
      <c r="B156" s="15" t="s">
        <v>19</v>
      </c>
      <c r="C156" s="42"/>
      <c r="D156" s="42"/>
      <c r="E156" s="15" t="str">
        <f>E17</f>
        <v>Units:</v>
      </c>
      <c r="F156" s="648">
        <f>$F$17</f>
        <v>43496</v>
      </c>
      <c r="G156" s="648">
        <f>$G$17</f>
        <v>43861</v>
      </c>
      <c r="H156" s="648">
        <f t="shared" ref="H156:O156" si="125">H17</f>
        <v>44227</v>
      </c>
      <c r="I156" s="648">
        <f t="shared" si="125"/>
        <v>44592</v>
      </c>
      <c r="J156" s="648">
        <f t="shared" si="125"/>
        <v>44957</v>
      </c>
      <c r="K156" s="648">
        <f t="shared" si="125"/>
        <v>45322</v>
      </c>
      <c r="L156" s="649">
        <f t="shared" si="125"/>
        <v>45688</v>
      </c>
      <c r="M156" s="648">
        <f t="shared" si="125"/>
        <v>46053</v>
      </c>
      <c r="N156" s="648">
        <f t="shared" si="125"/>
        <v>46418</v>
      </c>
      <c r="O156" s="648">
        <f t="shared" si="125"/>
        <v>46783</v>
      </c>
      <c r="P156" s="648">
        <f t="shared" ref="P156" si="126">P17</f>
        <v>47149</v>
      </c>
    </row>
    <row r="157" spans="2:19">
      <c r="C157" s="95" t="s">
        <v>30</v>
      </c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</row>
    <row r="158" spans="2:19"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</row>
    <row r="159" spans="2:19">
      <c r="C159" s="36" t="s">
        <v>31</v>
      </c>
      <c r="E159" s="41" t="s">
        <v>54</v>
      </c>
      <c r="F159" s="39">
        <f t="shared" ref="F159:O159" si="127">F101</f>
        <v>2706</v>
      </c>
      <c r="G159" s="39">
        <f t="shared" si="127"/>
        <v>3619.302985074627</v>
      </c>
      <c r="H159" s="39">
        <f t="shared" si="127"/>
        <v>5888.578235967927</v>
      </c>
      <c r="I159" s="39">
        <f t="shared" si="127"/>
        <v>6525.1304978951948</v>
      </c>
      <c r="J159" s="39">
        <f t="shared" si="127"/>
        <v>6855.9827940421164</v>
      </c>
      <c r="K159" s="39">
        <f t="shared" si="127"/>
        <v>7177.0278285863596</v>
      </c>
      <c r="L159" s="39">
        <f t="shared" si="127"/>
        <v>7016.7458934992974</v>
      </c>
      <c r="M159" s="39">
        <f t="shared" si="127"/>
        <v>7397.2100046436117</v>
      </c>
      <c r="N159" s="39">
        <f t="shared" si="127"/>
        <v>7878.0374515538824</v>
      </c>
      <c r="O159" s="39">
        <f t="shared" si="127"/>
        <v>8479.4899430824116</v>
      </c>
      <c r="P159" s="39">
        <f t="shared" ref="P159" si="128">P101</f>
        <v>9130.7504591728139</v>
      </c>
      <c r="Q159" s="244"/>
      <c r="R159" s="244"/>
    </row>
    <row r="160" spans="2:19">
      <c r="C160" s="37" t="s">
        <v>46</v>
      </c>
      <c r="E160" s="40"/>
      <c r="F160" s="27"/>
      <c r="G160" s="27"/>
      <c r="H160" s="27"/>
      <c r="I160" s="27"/>
      <c r="J160" s="27"/>
      <c r="K160" s="57"/>
      <c r="L160" s="57"/>
      <c r="M160" s="57"/>
      <c r="N160" s="57"/>
      <c r="O160" s="57"/>
      <c r="P160" s="57"/>
      <c r="Q160" s="244"/>
      <c r="R160" s="244"/>
    </row>
    <row r="161" spans="3:18">
      <c r="C161" s="61" t="s">
        <v>56</v>
      </c>
      <c r="E161" s="40" t="s">
        <v>54</v>
      </c>
      <c r="F161" s="71">
        <v>363</v>
      </c>
      <c r="G161" s="71">
        <v>376</v>
      </c>
      <c r="H161" s="71">
        <v>394</v>
      </c>
      <c r="I161" s="71">
        <v>444</v>
      </c>
      <c r="J161" s="71">
        <v>515</v>
      </c>
      <c r="K161" s="71">
        <v>392</v>
      </c>
      <c r="L161" s="53">
        <f>Debt!K60</f>
        <v>686.9816922155477</v>
      </c>
      <c r="M161" s="53">
        <f>Debt!L60</f>
        <v>749.46993591619969</v>
      </c>
      <c r="N161" s="53">
        <f>Debt!M60</f>
        <v>817.47749215279384</v>
      </c>
      <c r="O161" s="53">
        <f>Debt!N60</f>
        <v>892.0836808757133</v>
      </c>
      <c r="P161" s="53">
        <f>Debt!O60</f>
        <v>879.81317138917109</v>
      </c>
      <c r="Q161" s="244"/>
      <c r="R161" s="244"/>
    </row>
    <row r="162" spans="3:18">
      <c r="C162" s="61" t="s">
        <v>57</v>
      </c>
      <c r="E162" s="40" t="s">
        <v>54</v>
      </c>
      <c r="F162" s="71">
        <v>49</v>
      </c>
      <c r="G162" s="71">
        <v>-192</v>
      </c>
      <c r="H162" s="71">
        <v>77</v>
      </c>
      <c r="I162" s="71">
        <v>-329</v>
      </c>
      <c r="J162" s="350">
        <v>-77</v>
      </c>
      <c r="K162" s="53">
        <f t="shared" ref="K162:P162" si="129">J133-K133</f>
        <v>-530</v>
      </c>
      <c r="L162" s="53">
        <f t="shared" si="129"/>
        <v>825.43816718170501</v>
      </c>
      <c r="M162" s="53">
        <f t="shared" si="129"/>
        <v>186.12608737356777</v>
      </c>
      <c r="N162" s="53">
        <f t="shared" si="129"/>
        <v>191.44401869517674</v>
      </c>
      <c r="O162" s="53">
        <f t="shared" si="129"/>
        <v>204.13303252312176</v>
      </c>
      <c r="P162" s="53">
        <f t="shared" si="129"/>
        <v>228.15701441685155</v>
      </c>
      <c r="Q162" s="244"/>
      <c r="R162" s="244"/>
    </row>
    <row r="163" spans="3:18">
      <c r="C163" s="61" t="s">
        <v>58</v>
      </c>
      <c r="E163" s="40" t="s">
        <v>54</v>
      </c>
      <c r="F163" s="71">
        <v>-207</v>
      </c>
      <c r="G163" s="71">
        <v>-430</v>
      </c>
      <c r="H163" s="71">
        <v>-1990</v>
      </c>
      <c r="I163" s="71">
        <v>-1115</v>
      </c>
      <c r="J163" s="350">
        <v>903</v>
      </c>
      <c r="K163" s="53">
        <f t="shared" ref="K163" si="130">J125-K125</f>
        <v>-69</v>
      </c>
      <c r="L163" s="53">
        <f t="shared" ref="L163" si="131">K125-L125</f>
        <v>70.419303318792117</v>
      </c>
      <c r="M163" s="53">
        <f t="shared" ref="K163:P164" si="132">L125-M125</f>
        <v>-103.67266746389032</v>
      </c>
      <c r="N163" s="53">
        <f t="shared" si="132"/>
        <v>-138.06530184675921</v>
      </c>
      <c r="O163" s="53">
        <f t="shared" si="132"/>
        <v>-192.83916128552028</v>
      </c>
      <c r="P163" s="53">
        <f t="shared" si="132"/>
        <v>-232.12899709182057</v>
      </c>
      <c r="Q163" s="244"/>
      <c r="R163" s="244"/>
    </row>
    <row r="164" spans="3:18">
      <c r="C164" s="61" t="s">
        <v>59</v>
      </c>
      <c r="E164" s="40" t="s">
        <v>54</v>
      </c>
      <c r="F164" s="71">
        <v>248</v>
      </c>
      <c r="G164" s="71">
        <v>-2550</v>
      </c>
      <c r="H164" s="71">
        <v>-1711</v>
      </c>
      <c r="I164" s="71">
        <v>1763</v>
      </c>
      <c r="J164" s="350">
        <v>-3385</v>
      </c>
      <c r="K164" s="53">
        <f t="shared" si="132"/>
        <v>5519</v>
      </c>
      <c r="L164" s="53">
        <f t="shared" si="132"/>
        <v>-5725.5913772501135</v>
      </c>
      <c r="M164" s="53">
        <f t="shared" si="132"/>
        <v>-543.57852911297596</v>
      </c>
      <c r="N164" s="53">
        <f t="shared" si="132"/>
        <v>-660.12572650740913</v>
      </c>
      <c r="O164" s="53">
        <f t="shared" si="132"/>
        <v>-838.33237210871994</v>
      </c>
      <c r="P164" s="53">
        <f t="shared" si="132"/>
        <v>-991.12900907244148</v>
      </c>
      <c r="Q164" s="244"/>
      <c r="R164" s="244"/>
    </row>
    <row r="165" spans="3:18">
      <c r="C165" s="61" t="s">
        <v>110</v>
      </c>
      <c r="E165" s="40" t="s">
        <v>54</v>
      </c>
      <c r="F165" s="71"/>
      <c r="G165" s="71">
        <v>166</v>
      </c>
      <c r="H165" s="71">
        <v>348</v>
      </c>
      <c r="I165" s="71">
        <v>283</v>
      </c>
      <c r="J165" s="71">
        <v>-277</v>
      </c>
      <c r="K165" s="27">
        <f t="shared" ref="K165:P166" si="133">K139-J139</f>
        <v>176</v>
      </c>
      <c r="L165" s="53">
        <f t="shared" si="133"/>
        <v>-189.7009964635381</v>
      </c>
      <c r="M165" s="27">
        <f t="shared" si="133"/>
        <v>75.359672136720746</v>
      </c>
      <c r="N165" s="27">
        <f t="shared" si="133"/>
        <v>4.7180860387766188</v>
      </c>
      <c r="O165" s="27">
        <f t="shared" si="133"/>
        <v>107.53866273054564</v>
      </c>
      <c r="P165" s="27">
        <f t="shared" si="133"/>
        <v>126.81614909386053</v>
      </c>
      <c r="Q165" s="244"/>
      <c r="R165" s="244"/>
    </row>
    <row r="166" spans="3:18">
      <c r="C166" s="94" t="s">
        <v>45</v>
      </c>
      <c r="E166" s="40" t="s">
        <v>54</v>
      </c>
      <c r="F166" s="71"/>
      <c r="G166" s="71">
        <v>446</v>
      </c>
      <c r="H166" s="71">
        <v>1537</v>
      </c>
      <c r="I166" s="71">
        <v>752</v>
      </c>
      <c r="J166" s="350">
        <v>270</v>
      </c>
      <c r="K166" s="53">
        <f t="shared" si="133"/>
        <v>-111.54762838624629</v>
      </c>
      <c r="L166" s="53">
        <f t="shared" si="133"/>
        <v>-160.99964619881575</v>
      </c>
      <c r="M166" s="53">
        <f t="shared" si="133"/>
        <v>5.1206400787195889</v>
      </c>
      <c r="N166" s="53">
        <f t="shared" si="133"/>
        <v>46.993340699900727</v>
      </c>
      <c r="O166" s="53">
        <f t="shared" si="133"/>
        <v>91.508963563661382</v>
      </c>
      <c r="P166" s="53">
        <f t="shared" si="133"/>
        <v>131.83297212902198</v>
      </c>
      <c r="Q166" s="244"/>
      <c r="R166" s="244"/>
    </row>
    <row r="167" spans="3:18">
      <c r="C167" s="62" t="s">
        <v>60</v>
      </c>
      <c r="E167" s="40" t="s">
        <v>54</v>
      </c>
      <c r="F167" s="70">
        <v>44</v>
      </c>
      <c r="G167" s="70">
        <v>218</v>
      </c>
      <c r="H167" s="70">
        <v>-86</v>
      </c>
      <c r="I167" s="70">
        <v>-86</v>
      </c>
      <c r="J167" s="351">
        <v>-149</v>
      </c>
      <c r="K167" s="51">
        <f>K145-J145</f>
        <v>-250.53747209004587</v>
      </c>
      <c r="L167" s="51">
        <f t="shared" ref="L167:P167" si="134">L145-K145</f>
        <v>99.306850291582577</v>
      </c>
      <c r="M167" s="51">
        <f t="shared" si="134"/>
        <v>61.36073023834183</v>
      </c>
      <c r="N167" s="51">
        <f t="shared" si="134"/>
        <v>141.66789530130836</v>
      </c>
      <c r="O167" s="51">
        <f t="shared" si="134"/>
        <v>97.886515965812805</v>
      </c>
      <c r="P167" s="51">
        <f t="shared" si="134"/>
        <v>0</v>
      </c>
      <c r="Q167" s="244"/>
      <c r="R167" s="244"/>
    </row>
    <row r="168" spans="3:18">
      <c r="C168" s="43" t="s">
        <v>32</v>
      </c>
      <c r="E168" s="41" t="s">
        <v>54</v>
      </c>
      <c r="F168" s="39">
        <f t="shared" ref="F168:K168" si="135">SUM(F159:F167)</f>
        <v>3203</v>
      </c>
      <c r="G168" s="39">
        <f t="shared" si="135"/>
        <v>1653.302985074627</v>
      </c>
      <c r="H168" s="39">
        <f t="shared" si="135"/>
        <v>4457.578235967927</v>
      </c>
      <c r="I168" s="39">
        <f t="shared" si="135"/>
        <v>8237.1304978951957</v>
      </c>
      <c r="J168" s="39">
        <f t="shared" si="135"/>
        <v>4655.9827940421164</v>
      </c>
      <c r="K168" s="39">
        <f t="shared" si="135"/>
        <v>12302.942728110069</v>
      </c>
      <c r="L168" s="39">
        <f t="shared" ref="L168:O168" si="136">SUM(L159:L167)</f>
        <v>2622.599886594458</v>
      </c>
      <c r="M168" s="39">
        <f t="shared" si="136"/>
        <v>7827.3958738102947</v>
      </c>
      <c r="N168" s="39">
        <f t="shared" si="136"/>
        <v>8282.1472560876682</v>
      </c>
      <c r="O168" s="39">
        <f t="shared" si="136"/>
        <v>8841.4692653470247</v>
      </c>
      <c r="P168" s="39">
        <f t="shared" ref="P168" si="137">SUM(P159:P167)</f>
        <v>9274.1117600374564</v>
      </c>
      <c r="Q168" s="244"/>
      <c r="R168" s="244"/>
    </row>
    <row r="169" spans="3:18">
      <c r="C169" s="43"/>
      <c r="E169" s="41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244"/>
      <c r="R169" s="244"/>
    </row>
    <row r="170" spans="3:18">
      <c r="C170" s="95" t="s">
        <v>33</v>
      </c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44"/>
      <c r="R170" s="244"/>
    </row>
    <row r="171" spans="3:18">
      <c r="Q171" s="244"/>
      <c r="R171" s="244"/>
    </row>
    <row r="172" spans="3:18">
      <c r="C172" s="37" t="s">
        <v>66</v>
      </c>
      <c r="E172" s="40" t="s">
        <v>54</v>
      </c>
      <c r="F172" s="71">
        <v>-441</v>
      </c>
      <c r="G172" s="71">
        <v>-422</v>
      </c>
      <c r="H172" s="71">
        <v>-668</v>
      </c>
      <c r="I172" s="71">
        <v>-787</v>
      </c>
      <c r="J172" s="71">
        <v>-1106</v>
      </c>
      <c r="K172" s="57">
        <f>-Debt!J37</f>
        <v>-1190</v>
      </c>
      <c r="L172" s="57">
        <f>-Debt!K37</f>
        <v>-1183.9098887935374</v>
      </c>
      <c r="M172" s="57">
        <f>-Debt!L37</f>
        <v>-1214.6346274723567</v>
      </c>
      <c r="N172" s="57">
        <f>-Debt!M37</f>
        <v>-1257.663817200892</v>
      </c>
      <c r="O172" s="57">
        <f>-Debt!N37</f>
        <v>-1314.882457942655</v>
      </c>
      <c r="P172" s="57">
        <f>-Debt!O37</f>
        <v>-1386.9284153126396</v>
      </c>
      <c r="Q172" s="244"/>
      <c r="R172" s="244"/>
    </row>
    <row r="173" spans="3:18">
      <c r="C173" s="37" t="s">
        <v>67</v>
      </c>
      <c r="E173" s="40" t="s">
        <v>54</v>
      </c>
      <c r="F173" s="71">
        <v>-28</v>
      </c>
      <c r="G173" s="71">
        <v>-107</v>
      </c>
      <c r="H173" s="71">
        <v>-12</v>
      </c>
      <c r="I173" s="71">
        <v>-441</v>
      </c>
      <c r="J173" s="71">
        <v>-25</v>
      </c>
      <c r="K173" s="344">
        <f>AVERAGE(F173:J173)</f>
        <v>-122.6</v>
      </c>
      <c r="L173" s="344">
        <v>-122.6</v>
      </c>
      <c r="M173" s="344">
        <v>-122.6</v>
      </c>
      <c r="N173" s="344">
        <v>-122.6</v>
      </c>
      <c r="O173" s="344">
        <v>-122.6</v>
      </c>
      <c r="P173" s="344">
        <v>-122.6</v>
      </c>
      <c r="Q173" s="244"/>
      <c r="R173" s="244"/>
    </row>
    <row r="174" spans="3:18">
      <c r="C174" s="38" t="s">
        <v>68</v>
      </c>
      <c r="E174" s="40" t="s">
        <v>54</v>
      </c>
      <c r="F174" s="70">
        <v>26</v>
      </c>
      <c r="G174" s="70">
        <v>399</v>
      </c>
      <c r="H174" s="70">
        <v>-536</v>
      </c>
      <c r="I174" s="70">
        <v>-129</v>
      </c>
      <c r="J174" s="346">
        <f t="shared" ref="J174:P174" si="138">I130-J130</f>
        <v>-301</v>
      </c>
      <c r="K174" s="346">
        <f t="shared" si="138"/>
        <v>-506</v>
      </c>
      <c r="L174" s="346">
        <f t="shared" si="138"/>
        <v>611.80877301521787</v>
      </c>
      <c r="M174" s="346">
        <f t="shared" si="138"/>
        <v>-43.971774408301371</v>
      </c>
      <c r="N174" s="346">
        <f t="shared" si="138"/>
        <v>-65.467859557542397</v>
      </c>
      <c r="O174" s="346">
        <f t="shared" si="138"/>
        <v>-89.626323112448972</v>
      </c>
      <c r="P174" s="346">
        <f t="shared" si="138"/>
        <v>-91.045439913584687</v>
      </c>
      <c r="Q174" s="244"/>
      <c r="R174" s="244"/>
    </row>
    <row r="175" spans="3:18">
      <c r="C175" s="43" t="s">
        <v>33</v>
      </c>
      <c r="E175" s="41" t="s">
        <v>54</v>
      </c>
      <c r="F175" s="39">
        <f t="shared" ref="F175:K175" si="139">SUM(F172:F174)</f>
        <v>-443</v>
      </c>
      <c r="G175" s="39">
        <f t="shared" si="139"/>
        <v>-130</v>
      </c>
      <c r="H175" s="39">
        <f t="shared" si="139"/>
        <v>-1216</v>
      </c>
      <c r="I175" s="39">
        <f t="shared" si="139"/>
        <v>-1357</v>
      </c>
      <c r="J175" s="39">
        <f t="shared" si="139"/>
        <v>-1432</v>
      </c>
      <c r="K175" s="39">
        <f t="shared" si="139"/>
        <v>-1818.6</v>
      </c>
      <c r="L175" s="39">
        <f t="shared" ref="L175:O175" si="140">SUM(L172:L174)</f>
        <v>-694.70111577831949</v>
      </c>
      <c r="M175" s="39">
        <f t="shared" si="140"/>
        <v>-1381.2064018806579</v>
      </c>
      <c r="N175" s="39">
        <f t="shared" si="140"/>
        <v>-1445.7316767584343</v>
      </c>
      <c r="O175" s="39">
        <f t="shared" si="140"/>
        <v>-1527.1087810551039</v>
      </c>
      <c r="P175" s="39">
        <f t="shared" ref="P175" si="141">SUM(P172:P174)</f>
        <v>-1600.5738552262242</v>
      </c>
      <c r="Q175" s="244"/>
      <c r="R175" s="244"/>
    </row>
    <row r="176" spans="3:18" ht="17.5">
      <c r="F176" s="13"/>
      <c r="G176" s="12"/>
      <c r="H176" s="12"/>
      <c r="I176" s="12"/>
      <c r="J176" s="12"/>
      <c r="Q176" s="244"/>
      <c r="R176" s="244"/>
    </row>
    <row r="177" spans="3:18">
      <c r="C177" s="95" t="s">
        <v>34</v>
      </c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44"/>
      <c r="R177" s="244"/>
    </row>
    <row r="178" spans="3:18">
      <c r="E178" s="40"/>
      <c r="G178" s="49"/>
      <c r="H178" s="49"/>
      <c r="I178" s="49"/>
      <c r="J178" s="49"/>
      <c r="L178" s="49"/>
      <c r="Q178" s="244"/>
      <c r="R178" s="244"/>
    </row>
    <row r="179" spans="3:18">
      <c r="C179" s="37" t="s">
        <v>62</v>
      </c>
      <c r="E179" s="40" t="s">
        <v>54</v>
      </c>
      <c r="F179" s="71">
        <f>Debt!E14</f>
        <v>0</v>
      </c>
      <c r="G179" s="71">
        <f>Debt!F14</f>
        <v>1500</v>
      </c>
      <c r="H179" s="71">
        <f>Debt!G14</f>
        <v>0</v>
      </c>
      <c r="I179" s="71">
        <f>Debt!H14</f>
        <v>0</v>
      </c>
      <c r="J179" s="71">
        <f>Debt!I14</f>
        <v>0</v>
      </c>
      <c r="K179" s="71">
        <f>Debt!J14</f>
        <v>0</v>
      </c>
      <c r="L179" s="71">
        <f>Debt!K14</f>
        <v>700</v>
      </c>
      <c r="M179" s="71">
        <f>Debt!L14</f>
        <v>0</v>
      </c>
      <c r="N179" s="71">
        <f>Debt!M14</f>
        <v>1200</v>
      </c>
      <c r="O179" s="71">
        <f>Debt!N14</f>
        <v>0</v>
      </c>
      <c r="P179" s="71">
        <f>Debt!O14</f>
        <v>0</v>
      </c>
      <c r="Q179" s="244"/>
      <c r="R179" s="244"/>
    </row>
    <row r="180" spans="3:18">
      <c r="C180" s="37" t="s">
        <v>63</v>
      </c>
      <c r="E180" s="40" t="s">
        <v>54</v>
      </c>
      <c r="F180" s="71">
        <f>Debt!E13</f>
        <v>0</v>
      </c>
      <c r="G180" s="71">
        <f>Debt!F13</f>
        <v>-750</v>
      </c>
      <c r="H180" s="71">
        <f>Debt!G13</f>
        <v>0</v>
      </c>
      <c r="I180" s="71">
        <f>Debt!H13</f>
        <v>0</v>
      </c>
      <c r="J180" s="71">
        <f>Debt!I13</f>
        <v>0</v>
      </c>
      <c r="K180" s="330">
        <f t="shared" ref="K180:P180" si="142">K144-J144</f>
        <v>694.0338909090915</v>
      </c>
      <c r="L180" s="53">
        <f t="shared" si="142"/>
        <v>-700</v>
      </c>
      <c r="M180" s="330">
        <f t="shared" si="142"/>
        <v>1200</v>
      </c>
      <c r="N180" s="330">
        <f t="shared" si="142"/>
        <v>-1200</v>
      </c>
      <c r="O180" s="330">
        <f t="shared" si="142"/>
        <v>0</v>
      </c>
      <c r="P180" s="330">
        <f t="shared" si="142"/>
        <v>0</v>
      </c>
      <c r="Q180" s="244"/>
      <c r="R180" s="244"/>
    </row>
    <row r="181" spans="3:18">
      <c r="C181" s="37" t="s">
        <v>64</v>
      </c>
      <c r="E181" s="40" t="s">
        <v>54</v>
      </c>
      <c r="F181" s="71">
        <v>-2258</v>
      </c>
      <c r="G181" s="71">
        <v>-475</v>
      </c>
      <c r="H181" s="71">
        <v>-3575</v>
      </c>
      <c r="I181" s="71">
        <v>-5904</v>
      </c>
      <c r="J181" s="71">
        <v>-1962</v>
      </c>
      <c r="K181" s="330">
        <f t="shared" ref="K181:P181" si="143">-K101*K77</f>
        <v>-2368.4191834334988</v>
      </c>
      <c r="L181" s="330">
        <f t="shared" si="143"/>
        <v>-2596.1959805947399</v>
      </c>
      <c r="M181" s="330">
        <f t="shared" si="143"/>
        <v>-3032.8561019038807</v>
      </c>
      <c r="N181" s="330">
        <f t="shared" si="143"/>
        <v>-3545.1168531992466</v>
      </c>
      <c r="O181" s="330">
        <f t="shared" si="143"/>
        <v>-4154.9500721103814</v>
      </c>
      <c r="P181" s="330">
        <f t="shared" si="143"/>
        <v>-4839.2977433615906</v>
      </c>
      <c r="Q181" s="244"/>
      <c r="R181" s="244"/>
    </row>
    <row r="182" spans="3:18">
      <c r="C182" s="38" t="s">
        <v>65</v>
      </c>
      <c r="E182" s="40" t="s">
        <v>54</v>
      </c>
      <c r="F182" s="70">
        <v>-771</v>
      </c>
      <c r="G182" s="70">
        <v>-787</v>
      </c>
      <c r="H182" s="70">
        <v>-838</v>
      </c>
      <c r="I182" s="70">
        <v>-873</v>
      </c>
      <c r="J182" s="70">
        <v>-975</v>
      </c>
      <c r="K182" s="58">
        <f t="shared" ref="K182:P182" si="144">-K101*K78</f>
        <v>-1327.7501482884766</v>
      </c>
      <c r="L182" s="58">
        <f t="shared" si="144"/>
        <v>-1368.2654492323629</v>
      </c>
      <c r="M182" s="58">
        <f t="shared" si="144"/>
        <v>-1516.4280509519406</v>
      </c>
      <c r="N182" s="58">
        <f t="shared" si="144"/>
        <v>-1693.7780520840849</v>
      </c>
      <c r="O182" s="58">
        <f t="shared" si="144"/>
        <v>-1907.8852371935429</v>
      </c>
      <c r="P182" s="58">
        <f t="shared" si="144"/>
        <v>-2145.7263579056116</v>
      </c>
      <c r="Q182" s="244"/>
      <c r="R182" s="244"/>
    </row>
    <row r="183" spans="3:18">
      <c r="C183" s="36" t="s">
        <v>61</v>
      </c>
      <c r="E183" s="41" t="s">
        <v>54</v>
      </c>
      <c r="F183" s="39">
        <f t="shared" ref="F183:K183" si="145">SUM(F179:F182)</f>
        <v>-3029</v>
      </c>
      <c r="G183" s="39">
        <f t="shared" si="145"/>
        <v>-512</v>
      </c>
      <c r="H183" s="39">
        <f t="shared" si="145"/>
        <v>-4413</v>
      </c>
      <c r="I183" s="39">
        <f t="shared" si="145"/>
        <v>-6777</v>
      </c>
      <c r="J183" s="39">
        <f t="shared" si="145"/>
        <v>-2937</v>
      </c>
      <c r="K183" s="39">
        <f t="shared" si="145"/>
        <v>-3002.1354408128836</v>
      </c>
      <c r="L183" s="39">
        <f t="shared" ref="L183:O183" si="146">SUM(L179:L182)</f>
        <v>-3964.4614298271026</v>
      </c>
      <c r="M183" s="39">
        <f t="shared" si="146"/>
        <v>-3349.284152855821</v>
      </c>
      <c r="N183" s="39">
        <f t="shared" si="146"/>
        <v>-5238.8949052833314</v>
      </c>
      <c r="O183" s="39">
        <f t="shared" si="146"/>
        <v>-6062.8353093039241</v>
      </c>
      <c r="P183" s="39">
        <f t="shared" ref="P183" si="147">SUM(P179:P182)</f>
        <v>-6985.0241012672022</v>
      </c>
      <c r="Q183" s="244"/>
      <c r="R183" s="244"/>
    </row>
    <row r="184" spans="3:18">
      <c r="C184" s="26"/>
      <c r="D184" s="12"/>
      <c r="E184" s="12"/>
      <c r="F184" s="12"/>
      <c r="G184" s="12"/>
      <c r="H184" s="12"/>
      <c r="I184" s="12"/>
      <c r="J184" s="12"/>
      <c r="Q184" s="244"/>
      <c r="R184" s="244"/>
    </row>
    <row r="185" spans="3:18">
      <c r="C185" s="26"/>
      <c r="D185" s="12"/>
      <c r="E185" s="12"/>
      <c r="F185" s="12"/>
      <c r="G185" s="12"/>
      <c r="H185" s="12"/>
      <c r="Q185" s="244"/>
      <c r="R185" s="244"/>
    </row>
    <row r="186" spans="3:18">
      <c r="C186" s="26"/>
      <c r="D186" s="12"/>
      <c r="E186" s="12"/>
      <c r="F186" s="12"/>
      <c r="G186" s="12"/>
      <c r="H186" s="12"/>
      <c r="I186" s="12"/>
      <c r="J186" s="12"/>
      <c r="Q186" s="244"/>
      <c r="R186" s="244"/>
    </row>
    <row r="187" spans="3:18">
      <c r="C187" s="43" t="s">
        <v>35</v>
      </c>
      <c r="E187" s="40" t="s">
        <v>54</v>
      </c>
      <c r="F187" s="65">
        <f t="shared" ref="F187:O187" si="148">F168+F175+F183</f>
        <v>-269</v>
      </c>
      <c r="G187" s="65">
        <f t="shared" si="148"/>
        <v>1011.302985074627</v>
      </c>
      <c r="H187" s="65">
        <f t="shared" si="148"/>
        <v>-1171.421764032073</v>
      </c>
      <c r="I187" s="65">
        <f t="shared" si="148"/>
        <v>103.13049789519573</v>
      </c>
      <c r="J187" s="65">
        <f t="shared" si="148"/>
        <v>286.98279404211644</v>
      </c>
      <c r="K187" s="65">
        <f t="shared" si="148"/>
        <v>7482.2072872971848</v>
      </c>
      <c r="L187" s="65">
        <f t="shared" si="148"/>
        <v>-2036.5626590109641</v>
      </c>
      <c r="M187" s="65">
        <f t="shared" si="148"/>
        <v>3096.9053190738159</v>
      </c>
      <c r="N187" s="65">
        <f t="shared" si="148"/>
        <v>1597.5206740459025</v>
      </c>
      <c r="O187" s="65">
        <f t="shared" si="148"/>
        <v>1251.5251749879972</v>
      </c>
      <c r="P187" s="65">
        <f t="shared" ref="P187" si="149">P168+P175+P183</f>
        <v>688.51380354402954</v>
      </c>
      <c r="Q187" s="244"/>
      <c r="R187" s="244"/>
    </row>
    <row r="188" spans="3:18">
      <c r="C188" s="64" t="s">
        <v>36</v>
      </c>
      <c r="E188" s="40" t="s">
        <v>54</v>
      </c>
      <c r="F188" s="96">
        <v>3440</v>
      </c>
      <c r="G188" s="60">
        <f>F189</f>
        <v>3618</v>
      </c>
      <c r="H188" s="60">
        <f t="shared" ref="H188:P188" si="150">G189</f>
        <v>5738</v>
      </c>
      <c r="I188" s="60">
        <f t="shared" si="150"/>
        <v>5459</v>
      </c>
      <c r="J188" s="60">
        <f t="shared" si="150"/>
        <v>2581</v>
      </c>
      <c r="K188" s="60">
        <f>J189</f>
        <v>6869</v>
      </c>
      <c r="L188" s="60">
        <f t="shared" si="150"/>
        <v>14351.207287297184</v>
      </c>
      <c r="M188" s="60">
        <f t="shared" si="150"/>
        <v>12314.64462828622</v>
      </c>
      <c r="N188" s="60">
        <f t="shared" si="150"/>
        <v>15411.549947360036</v>
      </c>
      <c r="O188" s="60">
        <f t="shared" si="150"/>
        <v>17009.070621405939</v>
      </c>
      <c r="P188" s="60">
        <f t="shared" si="150"/>
        <v>18260.595796393936</v>
      </c>
      <c r="Q188" s="244"/>
      <c r="R188" s="244"/>
    </row>
    <row r="189" spans="3:18">
      <c r="C189" s="43" t="s">
        <v>37</v>
      </c>
      <c r="E189" s="41" t="s">
        <v>54</v>
      </c>
      <c r="F189" s="69">
        <v>3618</v>
      </c>
      <c r="G189" s="69">
        <v>5738</v>
      </c>
      <c r="H189" s="69">
        <v>5459</v>
      </c>
      <c r="I189" s="69">
        <v>2581</v>
      </c>
      <c r="J189" s="69">
        <v>6869</v>
      </c>
      <c r="K189" s="63">
        <f t="shared" ref="K189:O189" si="151">SUM(K187:K188)</f>
        <v>14351.207287297184</v>
      </c>
      <c r="L189" s="63">
        <f t="shared" si="151"/>
        <v>12314.64462828622</v>
      </c>
      <c r="M189" s="63">
        <f t="shared" si="151"/>
        <v>15411.549947360036</v>
      </c>
      <c r="N189" s="63">
        <f t="shared" si="151"/>
        <v>17009.070621405939</v>
      </c>
      <c r="O189" s="63">
        <f t="shared" si="151"/>
        <v>18260.595796393936</v>
      </c>
      <c r="P189" s="63">
        <f t="shared" ref="P189" si="152">SUM(P187:P188)</f>
        <v>18949.109599937965</v>
      </c>
      <c r="Q189" s="244"/>
      <c r="R189" s="244"/>
    </row>
    <row r="190" spans="3:18">
      <c r="G190" s="198"/>
      <c r="H190" s="198"/>
      <c r="I190" s="198"/>
      <c r="J190" s="69"/>
      <c r="K190" s="198"/>
      <c r="L190" s="198"/>
      <c r="M190" s="198"/>
      <c r="N190" s="198"/>
      <c r="O190" s="198"/>
    </row>
    <row r="191" spans="3:18">
      <c r="J191" s="198"/>
      <c r="O191" s="198"/>
    </row>
  </sheetData>
  <sortState xmlns:xlrd2="http://schemas.microsoft.com/office/spreadsheetml/2017/richdata2" ref="R110:T116">
    <sortCondition ref="R110:R116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2BECA-EF86-4879-B6A7-789FD6CDA284}">
  <dimension ref="B2:O60"/>
  <sheetViews>
    <sheetView showGridLines="0" topLeftCell="A11" zoomScale="61" zoomScaleNormal="85" workbookViewId="0">
      <selection activeCell="L53" sqref="L53"/>
    </sheetView>
  </sheetViews>
  <sheetFormatPr defaultRowHeight="14.5"/>
  <cols>
    <col min="2" max="2" width="51.54296875" customWidth="1"/>
    <col min="3" max="3" width="7.54296875" bestFit="1" customWidth="1"/>
    <col min="4" max="4" width="7.81640625" bestFit="1" customWidth="1"/>
    <col min="5" max="9" width="10.1796875" bestFit="1" customWidth="1"/>
    <col min="10" max="10" width="9.81640625" bestFit="1" customWidth="1"/>
    <col min="11" max="13" width="9.26953125" bestFit="1" customWidth="1"/>
    <col min="14" max="14" width="8.7265625" bestFit="1" customWidth="1"/>
    <col min="15" max="15" width="9" bestFit="1" customWidth="1"/>
  </cols>
  <sheetData>
    <row r="2" spans="2:15" ht="16">
      <c r="B2" s="42"/>
      <c r="C2" s="42"/>
      <c r="D2" s="42"/>
      <c r="E2" s="42"/>
      <c r="F2" s="42"/>
      <c r="G2" s="14"/>
      <c r="H2" s="47"/>
      <c r="I2" s="47"/>
      <c r="J2" s="48"/>
      <c r="K2" s="47"/>
      <c r="L2" s="47"/>
      <c r="M2" s="14"/>
      <c r="N2" s="47"/>
      <c r="O2" s="47"/>
    </row>
    <row r="3" spans="2:15" ht="16">
      <c r="B3" s="15" t="s">
        <v>266</v>
      </c>
      <c r="C3" s="15" t="s">
        <v>15</v>
      </c>
      <c r="D3" s="42"/>
      <c r="E3" s="1">
        <v>43496</v>
      </c>
      <c r="F3" s="1">
        <f>EOMONTH(E3,12)</f>
        <v>43861</v>
      </c>
      <c r="G3" s="1">
        <f t="shared" ref="G3:O3" si="0">EOMONTH(F3,12)</f>
        <v>44227</v>
      </c>
      <c r="H3" s="1">
        <f t="shared" si="0"/>
        <v>44592</v>
      </c>
      <c r="I3" s="1">
        <f t="shared" si="0"/>
        <v>44957</v>
      </c>
      <c r="J3" s="2">
        <f t="shared" si="0"/>
        <v>45322</v>
      </c>
      <c r="K3" s="305">
        <f t="shared" si="0"/>
        <v>45688</v>
      </c>
      <c r="L3" s="1">
        <f t="shared" si="0"/>
        <v>46053</v>
      </c>
      <c r="M3" s="1">
        <f t="shared" si="0"/>
        <v>46418</v>
      </c>
      <c r="N3" s="1">
        <f t="shared" si="0"/>
        <v>46783</v>
      </c>
      <c r="O3" s="1">
        <f t="shared" si="0"/>
        <v>47149</v>
      </c>
    </row>
    <row r="5" spans="2:15" ht="16">
      <c r="B5" s="267" t="s">
        <v>273</v>
      </c>
      <c r="C5" s="40" t="s">
        <v>54</v>
      </c>
      <c r="D5" s="312">
        <f>Model!J144</f>
        <v>5461</v>
      </c>
      <c r="E5" s="316">
        <v>55</v>
      </c>
      <c r="F5" s="314">
        <v>0</v>
      </c>
      <c r="G5" s="313"/>
      <c r="J5" s="302"/>
      <c r="K5" s="302"/>
    </row>
    <row r="6" spans="2:15" ht="16">
      <c r="B6" s="267" t="s">
        <v>269</v>
      </c>
      <c r="C6" s="40" t="s">
        <v>54</v>
      </c>
      <c r="D6" s="315">
        <f>F158</f>
        <v>0</v>
      </c>
      <c r="E6" s="316">
        <v>50</v>
      </c>
      <c r="F6" s="302"/>
      <c r="G6" s="302"/>
      <c r="J6" s="302"/>
      <c r="K6" s="302"/>
    </row>
    <row r="7" spans="2:15" ht="16">
      <c r="B7" s="267"/>
      <c r="C7" s="40"/>
      <c r="D7" s="302"/>
      <c r="E7" s="302"/>
      <c r="F7" s="302"/>
      <c r="G7" s="302"/>
      <c r="H7" s="302"/>
      <c r="I7" s="302"/>
      <c r="J7" s="302"/>
      <c r="K7" s="302"/>
    </row>
    <row r="8" spans="2:15" ht="16">
      <c r="B8" s="267" t="s">
        <v>272</v>
      </c>
      <c r="C8" s="40" t="s">
        <v>9</v>
      </c>
      <c r="D8" s="302"/>
      <c r="E8" s="320">
        <v>1.4999999999999999E-2</v>
      </c>
      <c r="F8" s="320">
        <v>3.0000000000000001E-3</v>
      </c>
      <c r="G8" s="320">
        <v>3.0000000000000001E-3</v>
      </c>
      <c r="H8" s="320">
        <v>3.0000000000000001E-3</v>
      </c>
      <c r="I8" s="320">
        <v>0.05</v>
      </c>
      <c r="J8" s="242">
        <v>0.05</v>
      </c>
      <c r="K8" s="242">
        <v>3.5000000000000003E-2</v>
      </c>
      <c r="L8" s="242">
        <v>0.03</v>
      </c>
      <c r="M8" s="242">
        <v>0.03</v>
      </c>
      <c r="N8" s="242">
        <v>0.03</v>
      </c>
      <c r="O8" s="242">
        <v>0.03</v>
      </c>
    </row>
    <row r="9" spans="2:15" ht="16">
      <c r="B9" s="267"/>
      <c r="C9" s="40"/>
      <c r="D9" s="302"/>
      <c r="E9" s="317"/>
      <c r="F9" s="317"/>
      <c r="G9" s="317"/>
      <c r="H9" s="317"/>
      <c r="I9" s="317"/>
    </row>
    <row r="10" spans="2:15" ht="16">
      <c r="B10" s="267" t="s">
        <v>270</v>
      </c>
      <c r="C10" s="40" t="s">
        <v>9</v>
      </c>
      <c r="D10" s="302"/>
      <c r="E10" s="73">
        <f>Model!F124*$E$6</f>
        <v>180900</v>
      </c>
      <c r="F10" s="73">
        <f>Model!G124*$E$6</f>
        <v>286900</v>
      </c>
      <c r="G10" s="73">
        <f>Model!H124*$E$6</f>
        <v>272950</v>
      </c>
      <c r="H10" s="73">
        <f>Model!I124*$E$6</f>
        <v>129050</v>
      </c>
      <c r="I10" s="73">
        <f>Model!J124*$E$6</f>
        <v>343450</v>
      </c>
    </row>
    <row r="12" spans="2:15" ht="16">
      <c r="B12" s="267" t="s">
        <v>277</v>
      </c>
      <c r="C12" s="40" t="s">
        <v>54</v>
      </c>
      <c r="D12" s="302"/>
      <c r="E12" s="321">
        <f>4750</f>
        <v>4750</v>
      </c>
      <c r="F12" s="321">
        <f t="shared" ref="F12:O12" si="1">E15</f>
        <v>4750</v>
      </c>
      <c r="G12" s="321">
        <f t="shared" si="1"/>
        <v>5500</v>
      </c>
      <c r="H12" s="321">
        <f t="shared" si="1"/>
        <v>5500</v>
      </c>
      <c r="I12" s="321">
        <f t="shared" si="1"/>
        <v>5500</v>
      </c>
      <c r="J12" s="321">
        <f t="shared" si="1"/>
        <v>5500</v>
      </c>
      <c r="K12" s="321">
        <f t="shared" si="1"/>
        <v>5500</v>
      </c>
      <c r="L12" s="321">
        <f t="shared" si="1"/>
        <v>5500</v>
      </c>
      <c r="M12" s="321">
        <f t="shared" si="1"/>
        <v>5500</v>
      </c>
      <c r="N12" s="321">
        <f t="shared" si="1"/>
        <v>5500</v>
      </c>
      <c r="O12" s="321">
        <f t="shared" si="1"/>
        <v>5500</v>
      </c>
    </row>
    <row r="13" spans="2:15" ht="16">
      <c r="B13" s="268" t="s">
        <v>275</v>
      </c>
      <c r="C13" s="40" t="s">
        <v>54</v>
      </c>
      <c r="D13" s="302"/>
      <c r="E13" s="323">
        <v>0</v>
      </c>
      <c r="F13" s="323">
        <v>-750</v>
      </c>
      <c r="G13" s="323">
        <v>0</v>
      </c>
      <c r="H13" s="323">
        <v>0</v>
      </c>
      <c r="I13" s="323">
        <v>0</v>
      </c>
      <c r="J13" s="323">
        <v>0</v>
      </c>
      <c r="K13" s="323">
        <v>-700</v>
      </c>
      <c r="L13" s="323">
        <v>0</v>
      </c>
      <c r="M13" s="323">
        <v>-1200</v>
      </c>
      <c r="N13" s="323">
        <v>0</v>
      </c>
      <c r="O13" s="323">
        <v>0</v>
      </c>
    </row>
    <row r="14" spans="2:15" ht="16">
      <c r="B14" s="268" t="s">
        <v>276</v>
      </c>
      <c r="C14" s="40" t="s">
        <v>54</v>
      </c>
      <c r="D14" s="302"/>
      <c r="E14" s="321">
        <v>0</v>
      </c>
      <c r="F14" s="329">
        <v>1500</v>
      </c>
      <c r="G14" s="323">
        <v>0</v>
      </c>
      <c r="H14" s="323">
        <v>0</v>
      </c>
      <c r="I14" s="323">
        <v>0</v>
      </c>
      <c r="J14" s="323">
        <v>0</v>
      </c>
      <c r="K14">
        <v>700</v>
      </c>
      <c r="L14" s="323">
        <v>0</v>
      </c>
      <c r="M14" s="322">
        <v>1200</v>
      </c>
      <c r="N14" s="323">
        <v>0</v>
      </c>
      <c r="O14" s="323">
        <v>0</v>
      </c>
    </row>
    <row r="15" spans="2:15" ht="16">
      <c r="B15" s="267" t="s">
        <v>281</v>
      </c>
      <c r="E15" s="330">
        <f t="shared" ref="E15:N15" si="2">SUM(E12:E14)</f>
        <v>4750</v>
      </c>
      <c r="F15" s="330">
        <f t="shared" si="2"/>
        <v>5500</v>
      </c>
      <c r="G15" s="330">
        <f t="shared" si="2"/>
        <v>5500</v>
      </c>
      <c r="H15" s="330">
        <f t="shared" si="2"/>
        <v>5500</v>
      </c>
      <c r="I15" s="330">
        <f t="shared" si="2"/>
        <v>5500</v>
      </c>
      <c r="J15" s="330">
        <f t="shared" si="2"/>
        <v>5500</v>
      </c>
      <c r="K15" s="330">
        <f t="shared" si="2"/>
        <v>5500</v>
      </c>
      <c r="L15" s="330">
        <f t="shared" si="2"/>
        <v>5500</v>
      </c>
      <c r="M15" s="330">
        <f t="shared" si="2"/>
        <v>5500</v>
      </c>
      <c r="N15" s="330">
        <f t="shared" si="2"/>
        <v>5500</v>
      </c>
      <c r="O15" s="330">
        <f t="shared" ref="O15" si="3">SUM(O12:O14)</f>
        <v>5500</v>
      </c>
    </row>
    <row r="16" spans="2:15" ht="16">
      <c r="B16" s="268" t="s">
        <v>280</v>
      </c>
      <c r="C16" s="40" t="s">
        <v>54</v>
      </c>
      <c r="D16" s="302"/>
      <c r="E16" s="323">
        <v>-10</v>
      </c>
      <c r="F16" s="323">
        <v>-15</v>
      </c>
      <c r="G16" s="323">
        <v>-14</v>
      </c>
      <c r="H16" s="323">
        <v>-12</v>
      </c>
      <c r="I16" s="323">
        <v>-11</v>
      </c>
      <c r="J16" s="337">
        <f t="shared" ref="J16:O16" si="4">-J15*J17</f>
        <v>-12.715789473684213</v>
      </c>
      <c r="K16" s="337">
        <f t="shared" si="4"/>
        <v>-12.715789473684213</v>
      </c>
      <c r="L16" s="337">
        <f t="shared" si="4"/>
        <v>-12.715789473684213</v>
      </c>
      <c r="M16" s="337">
        <f t="shared" si="4"/>
        <v>-12.715789473684213</v>
      </c>
      <c r="N16" s="337">
        <f t="shared" si="4"/>
        <v>-12.715789473684213</v>
      </c>
      <c r="O16" s="337">
        <f t="shared" si="4"/>
        <v>-12.715789473684213</v>
      </c>
    </row>
    <row r="17" spans="2:15" ht="16">
      <c r="B17" s="332" t="s">
        <v>285</v>
      </c>
      <c r="C17" s="40"/>
      <c r="D17" s="302"/>
      <c r="E17" s="334">
        <f>-E16/E15</f>
        <v>2.1052631578947368E-3</v>
      </c>
      <c r="F17" s="334">
        <f>-F16/F15</f>
        <v>2.7272727272727275E-3</v>
      </c>
      <c r="G17" s="334">
        <f>-G16/G15</f>
        <v>2.5454545454545456E-3</v>
      </c>
      <c r="H17" s="334">
        <f>-H16/H15</f>
        <v>2.1818181818181819E-3</v>
      </c>
      <c r="I17" s="334">
        <f>-I16/I15</f>
        <v>2E-3</v>
      </c>
      <c r="J17" s="336">
        <f>AVERAGE(E17:I17)</f>
        <v>2.3119617224880385E-3</v>
      </c>
      <c r="K17" s="336">
        <v>2.3119617224880385E-3</v>
      </c>
      <c r="L17" s="336">
        <v>2.3119617224880385E-3</v>
      </c>
      <c r="M17" s="336">
        <v>2.3119617224880385E-3</v>
      </c>
      <c r="N17" s="336">
        <v>2.3119617224880385E-3</v>
      </c>
      <c r="O17" s="336">
        <v>2.3119617224880385E-3</v>
      </c>
    </row>
    <row r="18" spans="2:15" ht="16">
      <c r="B18" s="268" t="s">
        <v>279</v>
      </c>
      <c r="C18" s="40" t="s">
        <v>54</v>
      </c>
      <c r="D18" s="302"/>
      <c r="E18" s="323">
        <v>-27</v>
      </c>
      <c r="F18" s="323">
        <v>-37</v>
      </c>
      <c r="G18" s="323">
        <v>-34</v>
      </c>
      <c r="H18" s="323">
        <v>-31</v>
      </c>
      <c r="I18" s="323">
        <v>-28</v>
      </c>
      <c r="J18" s="337">
        <f t="shared" ref="J18:O18" si="5">-J15*J19</f>
        <v>-32.252631578947373</v>
      </c>
      <c r="K18" s="337">
        <f t="shared" si="5"/>
        <v>-32.252631578947373</v>
      </c>
      <c r="L18" s="337">
        <f t="shared" si="5"/>
        <v>-32.252631578947373</v>
      </c>
      <c r="M18" s="337">
        <f t="shared" si="5"/>
        <v>-32.252631578947373</v>
      </c>
      <c r="N18" s="337">
        <f t="shared" si="5"/>
        <v>-32.252631578947373</v>
      </c>
      <c r="O18" s="337">
        <f t="shared" si="5"/>
        <v>-32.252631578947373</v>
      </c>
    </row>
    <row r="19" spans="2:15" ht="16">
      <c r="B19" s="332" t="s">
        <v>285</v>
      </c>
      <c r="C19" s="40"/>
      <c r="D19" s="328"/>
      <c r="E19" s="333">
        <f>-E18/E15</f>
        <v>5.6842105263157899E-3</v>
      </c>
      <c r="F19" s="333">
        <f>-F18/F15</f>
        <v>6.7272727272727276E-3</v>
      </c>
      <c r="G19" s="333">
        <f>-G18/G15</f>
        <v>6.1818181818181816E-3</v>
      </c>
      <c r="H19" s="333">
        <f>-H18/H15</f>
        <v>5.6363636363636364E-3</v>
      </c>
      <c r="I19" s="333">
        <f>-I18/I15</f>
        <v>5.0909090909090913E-3</v>
      </c>
      <c r="J19" s="335">
        <f>AVERAGE(E19:I19)</f>
        <v>5.8641148325358858E-3</v>
      </c>
      <c r="K19" s="335">
        <v>5.8641148325358858E-3</v>
      </c>
      <c r="L19" s="335">
        <v>5.8641148325358858E-3</v>
      </c>
      <c r="M19" s="335">
        <v>5.8641148325358858E-3</v>
      </c>
      <c r="N19" s="335">
        <v>5.8641148325358858E-3</v>
      </c>
      <c r="O19" s="335">
        <v>5.8641148325358858E-3</v>
      </c>
    </row>
    <row r="20" spans="2:15" ht="16">
      <c r="B20" s="319" t="s">
        <v>282</v>
      </c>
      <c r="C20" s="40" t="s">
        <v>54</v>
      </c>
      <c r="D20" s="302"/>
      <c r="E20" s="39">
        <f t="shared" ref="E20:N20" si="6">SUM(E15:E18)</f>
        <v>4713.0021052631582</v>
      </c>
      <c r="F20" s="39">
        <f t="shared" si="6"/>
        <v>5448.0027272727275</v>
      </c>
      <c r="G20" s="39">
        <f t="shared" si="6"/>
        <v>5452.0025454545457</v>
      </c>
      <c r="H20" s="39">
        <f t="shared" si="6"/>
        <v>5457.0021818181822</v>
      </c>
      <c r="I20" s="39">
        <f t="shared" si="6"/>
        <v>5461.0020000000004</v>
      </c>
      <c r="J20" s="39">
        <f t="shared" si="6"/>
        <v>5455.0338909090915</v>
      </c>
      <c r="K20" s="39">
        <f t="shared" si="6"/>
        <v>5455.0338909090915</v>
      </c>
      <c r="L20" s="39">
        <f t="shared" si="6"/>
        <v>5455.0338909090915</v>
      </c>
      <c r="M20" s="39">
        <f t="shared" si="6"/>
        <v>5455.0338909090915</v>
      </c>
      <c r="N20" s="39">
        <f t="shared" si="6"/>
        <v>5455.0338909090915</v>
      </c>
      <c r="O20" s="39">
        <f t="shared" ref="O20" si="7">SUM(O15:O18)</f>
        <v>5455.0338909090915</v>
      </c>
    </row>
    <row r="21" spans="2:15">
      <c r="B21" s="327" t="s">
        <v>283</v>
      </c>
      <c r="D21" s="327"/>
      <c r="E21" s="327">
        <v>600</v>
      </c>
      <c r="F21" s="327"/>
      <c r="G21" s="327"/>
      <c r="H21" s="327"/>
      <c r="I21" s="327"/>
      <c r="J21" s="327">
        <v>700</v>
      </c>
      <c r="K21" s="327"/>
      <c r="L21" s="327">
        <v>1200</v>
      </c>
      <c r="M21" s="327"/>
      <c r="N21" s="327"/>
      <c r="O21" s="327"/>
    </row>
    <row r="22" spans="2:15" ht="16">
      <c r="B22" s="331" t="s">
        <v>284</v>
      </c>
      <c r="C22" s="40"/>
      <c r="D22" s="302"/>
      <c r="E22" s="39">
        <f t="shared" ref="E22:N22" si="8">SUM(E20:E21)</f>
        <v>5313.0021052631582</v>
      </c>
      <c r="F22" s="39">
        <f t="shared" si="8"/>
        <v>5448.0027272727275</v>
      </c>
      <c r="G22" s="39">
        <f t="shared" si="8"/>
        <v>5452.0025454545457</v>
      </c>
      <c r="H22" s="39">
        <f t="shared" si="8"/>
        <v>5457.0021818181822</v>
      </c>
      <c r="I22" s="39">
        <f t="shared" si="8"/>
        <v>5461.0020000000004</v>
      </c>
      <c r="J22" s="39">
        <f t="shared" si="8"/>
        <v>6155.0338909090915</v>
      </c>
      <c r="K22" s="39">
        <f t="shared" si="8"/>
        <v>5455.0338909090915</v>
      </c>
      <c r="L22" s="39">
        <f t="shared" si="8"/>
        <v>6655.0338909090915</v>
      </c>
      <c r="M22" s="39">
        <f t="shared" si="8"/>
        <v>5455.0338909090915</v>
      </c>
      <c r="N22" s="39">
        <f t="shared" si="8"/>
        <v>5455.0338909090915</v>
      </c>
      <c r="O22" s="39">
        <f t="shared" ref="O22" si="9">SUM(O20:O21)</f>
        <v>5455.0338909090915</v>
      </c>
    </row>
    <row r="23" spans="2:15" ht="16">
      <c r="B23" s="267"/>
      <c r="C23" s="40"/>
      <c r="D23" s="302"/>
      <c r="E23" s="302"/>
      <c r="F23" s="302"/>
      <c r="G23" s="302"/>
      <c r="H23" s="302"/>
      <c r="I23" s="302"/>
      <c r="K23" s="338"/>
    </row>
    <row r="24" spans="2:15" ht="16">
      <c r="B24" s="267" t="s">
        <v>278</v>
      </c>
      <c r="C24" s="40" t="s">
        <v>54</v>
      </c>
      <c r="D24" s="302"/>
      <c r="E24" s="318">
        <f>Model!F98</f>
        <v>-237</v>
      </c>
      <c r="F24" s="318">
        <f>Model!G98</f>
        <v>-240</v>
      </c>
      <c r="G24" s="318">
        <f>Model!H98</f>
        <v>-236</v>
      </c>
      <c r="H24" s="318">
        <f>Model!I98</f>
        <v>-228</v>
      </c>
      <c r="I24" s="318">
        <f>Model!J98</f>
        <v>-238</v>
      </c>
      <c r="J24" s="318">
        <f>-J15*J25</f>
        <v>-245.28793855391666</v>
      </c>
      <c r="K24" s="318">
        <f>-((K14*(K8+E5/10000))+((K15-K14)*K25))</f>
        <v>-233.19881538692644</v>
      </c>
      <c r="L24" s="318">
        <f>-((L14*(L8+F5/10000))+((L15-L14)*L25))</f>
        <v>-234.72260096418657</v>
      </c>
      <c r="M24" s="318">
        <f>-((M14*(M8+G5/10000))+((M15-M14)*M25))</f>
        <v>-219.51039711745494</v>
      </c>
      <c r="N24" s="318">
        <f>-((N14*(N8+H5/10000))+((N15-N14)*N25))</f>
        <v>-234.72260096418657</v>
      </c>
      <c r="O24" s="318">
        <f>-((O14*(O8+I5/10000))+((O15-O14)*O25))</f>
        <v>-234.72260096418657</v>
      </c>
    </row>
    <row r="25" spans="2:15" ht="16">
      <c r="B25" s="324" t="s">
        <v>274</v>
      </c>
      <c r="C25" s="325" t="s">
        <v>9</v>
      </c>
      <c r="D25" s="302"/>
      <c r="E25" s="302">
        <f>-E24/E20</f>
        <v>5.0286419294261427E-2</v>
      </c>
      <c r="F25" s="302">
        <f>-F24/F20</f>
        <v>4.4052841383239193E-2</v>
      </c>
      <c r="G25" s="302">
        <f>-G24/G20</f>
        <v>4.328684699473561E-2</v>
      </c>
      <c r="H25" s="302">
        <f>-H24/H20</f>
        <v>4.1781181755737216E-2</v>
      </c>
      <c r="I25" s="302">
        <f>-I24/I20</f>
        <v>4.3581745621041702E-2</v>
      </c>
      <c r="J25" s="326">
        <f>AVERAGE(E25:I25)</f>
        <v>4.459780700980303E-2</v>
      </c>
      <c r="K25" s="326">
        <v>4.2676836538943011E-2</v>
      </c>
      <c r="L25" s="326">
        <v>4.2676836538943011E-2</v>
      </c>
      <c r="M25" s="326">
        <v>4.2676836538943011E-2</v>
      </c>
      <c r="N25" s="326">
        <v>4.2676836538943011E-2</v>
      </c>
      <c r="O25" s="326">
        <v>4.2676836538943011E-2</v>
      </c>
    </row>
    <row r="28" spans="2:15" ht="16">
      <c r="B28" s="267" t="s">
        <v>271</v>
      </c>
      <c r="C28" s="40" t="s">
        <v>54</v>
      </c>
      <c r="D28" s="302"/>
      <c r="E28" s="318">
        <f>Model!F124*(Debt!E8+Debt!$E$6)/10000</f>
        <v>18.095426999999997</v>
      </c>
      <c r="F28" s="318">
        <f>Model!G124*(Debt!F8+Debt!$E$6)/10000</f>
        <v>28.691721399999999</v>
      </c>
      <c r="G28" s="318">
        <f>Model!H124*(Debt!G8+Debt!$E$6)/10000</f>
        <v>27.296637699999998</v>
      </c>
      <c r="H28" s="318">
        <f>Model!I124*(Debt!H8+Debt!$E$6)/10000</f>
        <v>12.905774300000001</v>
      </c>
      <c r="I28" s="318">
        <f>Model!J124*(Debt!I8+Debt!$E$6)/10000</f>
        <v>34.379344999999994</v>
      </c>
      <c r="J28" s="318">
        <f>Model!K124*(Debt!J8+Debt!$E$6)/10000</f>
        <v>71.827792472922411</v>
      </c>
      <c r="K28" s="318">
        <f>Model!L124*(Debt!K8+Debt!$E$6)/10000</f>
        <v>61.616324397630095</v>
      </c>
      <c r="L28" s="318">
        <f>Model!M124*(Debt!L8+Debt!$E$6)/10000</f>
        <v>77.103984386642267</v>
      </c>
      <c r="M28" s="318">
        <f>Model!N124*(Debt!M8+Debt!$E$6)/10000</f>
        <v>85.096380318893907</v>
      </c>
      <c r="N28" s="318">
        <f>Model!O124*(Debt!N8+Debt!$E$6)/10000</f>
        <v>91.357760769358876</v>
      </c>
      <c r="O28" s="318">
        <f>Model!P124*(Debt!O8+Debt!$E$6)/10000</f>
        <v>94.802395328489638</v>
      </c>
    </row>
    <row r="29" spans="2:15" ht="16">
      <c r="B29" s="267"/>
      <c r="C29" s="40"/>
      <c r="D29" s="302"/>
      <c r="E29" s="302"/>
      <c r="F29" s="302"/>
      <c r="G29" s="302"/>
      <c r="H29" s="302"/>
      <c r="I29" s="302"/>
    </row>
    <row r="30" spans="2:15" ht="16">
      <c r="B30" s="16" t="s">
        <v>99</v>
      </c>
      <c r="C30" s="40" t="s">
        <v>9</v>
      </c>
      <c r="D30" s="302"/>
      <c r="E30" s="81">
        <f>Model!F117</f>
        <v>0.34007552966779747</v>
      </c>
      <c r="F30" s="81">
        <f>Model!G117</f>
        <v>0.27159878358841416</v>
      </c>
      <c r="G30" s="81">
        <f>Model!H117</f>
        <v>0.24321912919343328</v>
      </c>
      <c r="H30" s="81">
        <f>Model!I117</f>
        <v>0.28684819175777965</v>
      </c>
      <c r="I30" s="81">
        <f>Model!J117</f>
        <v>0.20429463918297108</v>
      </c>
      <c r="J30" s="81">
        <f>Model!K117</f>
        <v>0.1999472250523063</v>
      </c>
      <c r="K30" s="81">
        <f>Model!L117</f>
        <v>0.16180813444467956</v>
      </c>
      <c r="L30" s="81">
        <f>Model!M117</f>
        <v>0.17681546225349226</v>
      </c>
      <c r="M30" s="81">
        <f>Model!N117</f>
        <v>0.13584995427112176</v>
      </c>
      <c r="N30" s="81">
        <f>Model!O117</f>
        <v>0.12850825123638665</v>
      </c>
      <c r="O30" s="81">
        <f>Model!P117</f>
        <v>0.12266213959589879</v>
      </c>
    </row>
    <row r="31" spans="2:15" ht="16">
      <c r="B31" s="267" t="s">
        <v>286</v>
      </c>
      <c r="C31" s="40"/>
      <c r="D31" s="302"/>
      <c r="E31" s="81"/>
      <c r="F31" s="81"/>
      <c r="G31" s="81"/>
      <c r="H31" s="81"/>
      <c r="I31" s="81"/>
      <c r="J31" s="339">
        <v>0.25</v>
      </c>
      <c r="K31" s="339">
        <v>0.25</v>
      </c>
      <c r="L31" s="339">
        <v>0.25</v>
      </c>
      <c r="M31" s="339">
        <v>0.25</v>
      </c>
      <c r="N31" s="339">
        <v>0.25</v>
      </c>
      <c r="O31" s="339">
        <v>0.25</v>
      </c>
    </row>
    <row r="32" spans="2:15" ht="16">
      <c r="B32" s="267" t="s">
        <v>287</v>
      </c>
      <c r="C32" s="40" t="s">
        <v>54</v>
      </c>
      <c r="D32" s="302"/>
      <c r="E32" s="318"/>
      <c r="F32" s="318"/>
      <c r="G32" s="318"/>
      <c r="H32" s="318"/>
      <c r="I32" s="318"/>
      <c r="J32" s="81"/>
      <c r="K32" s="81"/>
      <c r="L32" s="81"/>
      <c r="M32" s="81"/>
      <c r="N32" s="81"/>
      <c r="O32" s="81"/>
    </row>
    <row r="34" spans="2:15" ht="16">
      <c r="B34" s="42"/>
      <c r="C34" s="42"/>
      <c r="D34" s="42"/>
      <c r="E34" s="42"/>
      <c r="F34" s="42"/>
      <c r="G34" s="14"/>
      <c r="H34" s="47"/>
      <c r="I34" s="47"/>
      <c r="J34" s="48"/>
      <c r="K34" s="47"/>
      <c r="L34" s="47"/>
      <c r="M34" s="14"/>
      <c r="N34" s="47"/>
      <c r="O34" s="47"/>
    </row>
    <row r="35" spans="2:15" ht="16">
      <c r="B35" s="15" t="s">
        <v>295</v>
      </c>
      <c r="C35" s="42"/>
      <c r="D35" s="42"/>
      <c r="E35" s="1">
        <v>43496</v>
      </c>
      <c r="F35" s="1">
        <f>EOMONTH(E35,12)</f>
        <v>43861</v>
      </c>
      <c r="G35" s="1">
        <f t="shared" ref="G35:O35" si="10">EOMONTH(F35,12)</f>
        <v>44227</v>
      </c>
      <c r="H35" s="1">
        <f t="shared" si="10"/>
        <v>44592</v>
      </c>
      <c r="I35" s="1">
        <f t="shared" si="10"/>
        <v>44957</v>
      </c>
      <c r="J35" s="2">
        <f t="shared" si="10"/>
        <v>45322</v>
      </c>
      <c r="K35" s="305">
        <f t="shared" si="10"/>
        <v>45688</v>
      </c>
      <c r="L35" s="1">
        <f>EOMONTH(K35,12)</f>
        <v>46053</v>
      </c>
      <c r="M35" s="1">
        <f t="shared" si="10"/>
        <v>46418</v>
      </c>
      <c r="N35" s="1">
        <f t="shared" si="10"/>
        <v>46783</v>
      </c>
      <c r="O35" s="1">
        <f t="shared" si="10"/>
        <v>47149</v>
      </c>
    </row>
    <row r="37" spans="2:15" ht="16">
      <c r="B37" s="268" t="s">
        <v>267</v>
      </c>
      <c r="C37" s="40" t="s">
        <v>54</v>
      </c>
      <c r="E37" s="66">
        <v>441</v>
      </c>
      <c r="F37" s="66">
        <v>422</v>
      </c>
      <c r="G37" s="66">
        <v>668</v>
      </c>
      <c r="H37" s="66">
        <v>787</v>
      </c>
      <c r="I37" s="66">
        <v>1106</v>
      </c>
      <c r="J37" s="66">
        <v>1190</v>
      </c>
      <c r="K37" s="309">
        <f>-Model!L94*K38</f>
        <v>1183.9098887935374</v>
      </c>
      <c r="L37" s="309">
        <f>-Model!M94*L38</f>
        <v>1214.6346274723567</v>
      </c>
      <c r="M37" s="309">
        <f>-Model!N94*M38</f>
        <v>1257.663817200892</v>
      </c>
      <c r="N37" s="309">
        <f>-Model!O94*N38</f>
        <v>1314.882457942655</v>
      </c>
      <c r="O37" s="309">
        <f>-Model!P94*O38</f>
        <v>1386.9284153126396</v>
      </c>
    </row>
    <row r="38" spans="2:15" ht="16">
      <c r="B38" s="268" t="s">
        <v>289</v>
      </c>
      <c r="C38" s="40" t="s">
        <v>9</v>
      </c>
      <c r="E38" s="306">
        <f>E37/-Model!F94</f>
        <v>0.14525691699604742</v>
      </c>
      <c r="F38" s="306">
        <f>F37/-Model!G94</f>
        <v>0.12684099789600239</v>
      </c>
      <c r="G38" s="306">
        <f>G37/-Model!H94</f>
        <v>0.16596273291925465</v>
      </c>
      <c r="H38" s="306">
        <f>H37/-Model!I94</f>
        <v>0.18715814506539832</v>
      </c>
      <c r="I38" s="306">
        <f>I37/-Model!J94</f>
        <v>0.23382663847780127</v>
      </c>
      <c r="J38" s="306">
        <f>J37/-Model!K94</f>
        <v>0.23658051689860835</v>
      </c>
      <c r="K38" s="5">
        <f>J38-0.5%</f>
        <v>0.23158051689860834</v>
      </c>
      <c r="L38" s="5">
        <f t="shared" ref="L38:O38" si="11">K38-0.5%</f>
        <v>0.22658051689860834</v>
      </c>
      <c r="M38" s="5">
        <f t="shared" si="11"/>
        <v>0.22158051689860833</v>
      </c>
      <c r="N38" s="5">
        <f t="shared" si="11"/>
        <v>0.21658051689860833</v>
      </c>
      <c r="O38" s="5">
        <f t="shared" si="11"/>
        <v>0.21158051689860832</v>
      </c>
    </row>
    <row r="39" spans="2:15" ht="16">
      <c r="B39" s="37" t="s">
        <v>82</v>
      </c>
      <c r="C39" s="40" t="s">
        <v>54</v>
      </c>
      <c r="E39" s="66">
        <v>156</v>
      </c>
      <c r="F39" s="66">
        <v>153</v>
      </c>
      <c r="G39" s="66">
        <v>104</v>
      </c>
      <c r="H39" s="66">
        <v>339</v>
      </c>
      <c r="I39" s="66">
        <v>294</v>
      </c>
      <c r="J39" s="246">
        <f>I39+J40</f>
        <v>333</v>
      </c>
      <c r="K39" s="246">
        <f t="shared" ref="K39:O39" si="12">J39+K40</f>
        <v>372</v>
      </c>
      <c r="L39" s="246">
        <f t="shared" si="12"/>
        <v>411</v>
      </c>
      <c r="M39" s="246">
        <f t="shared" si="12"/>
        <v>450</v>
      </c>
      <c r="N39" s="246">
        <f t="shared" si="12"/>
        <v>489</v>
      </c>
      <c r="O39" s="246">
        <f t="shared" si="12"/>
        <v>528</v>
      </c>
    </row>
    <row r="40" spans="2:15" ht="16">
      <c r="B40" s="61" t="s">
        <v>290</v>
      </c>
      <c r="C40" s="40" t="s">
        <v>54</v>
      </c>
      <c r="E40" s="66">
        <v>57</v>
      </c>
      <c r="F40" s="73">
        <f>F39-E39</f>
        <v>-3</v>
      </c>
      <c r="G40" s="73">
        <f t="shared" ref="G40:I40" si="13">G39-F39</f>
        <v>-49</v>
      </c>
      <c r="H40" s="73">
        <f t="shared" si="13"/>
        <v>235</v>
      </c>
      <c r="I40" s="73">
        <f t="shared" si="13"/>
        <v>-45</v>
      </c>
      <c r="J40" s="309">
        <f>AVERAGE(E40:I40)</f>
        <v>39</v>
      </c>
      <c r="K40" s="309">
        <v>39</v>
      </c>
      <c r="L40" s="309">
        <v>39</v>
      </c>
      <c r="M40" s="309">
        <v>39</v>
      </c>
      <c r="N40" s="309">
        <v>39</v>
      </c>
      <c r="O40" s="309">
        <v>39</v>
      </c>
    </row>
    <row r="41" spans="2:15" ht="16">
      <c r="B41" s="38" t="s">
        <v>268</v>
      </c>
      <c r="C41" s="40" t="s">
        <v>9</v>
      </c>
      <c r="E41" s="307">
        <f>E40/Model!F83</f>
        <v>3.90197152245345E-3</v>
      </c>
      <c r="F41" s="307">
        <f>F40/Model!G83</f>
        <v>-1.7439832577607255E-4</v>
      </c>
      <c r="G41" s="307">
        <f>G40/Model!H83</f>
        <v>-2.1246151844946451E-3</v>
      </c>
      <c r="H41" s="307">
        <f>H40/Model!I83</f>
        <v>9.1138258677525685E-3</v>
      </c>
      <c r="I41" s="307">
        <f>I40/Model!J83</f>
        <v>-1.6970245502884941E-3</v>
      </c>
      <c r="J41" s="308">
        <f>AVERAGE(E41:I41)</f>
        <v>1.8039518659293615E-3</v>
      </c>
      <c r="K41" s="308">
        <v>1.8039518659293615E-3</v>
      </c>
      <c r="L41" s="308">
        <v>1.8039518659293615E-3</v>
      </c>
      <c r="M41" s="308">
        <v>1.8039518659293615E-3</v>
      </c>
      <c r="N41" s="308">
        <v>1.8039518659293615E-3</v>
      </c>
      <c r="O41" s="308">
        <v>1.8039518659293615E-3</v>
      </c>
    </row>
    <row r="42" spans="2:15" ht="16">
      <c r="B42" s="37" t="s">
        <v>296</v>
      </c>
      <c r="C42" s="40"/>
      <c r="E42" s="73">
        <f>SUM(E37,E40)</f>
        <v>498</v>
      </c>
      <c r="F42" s="73">
        <f t="shared" ref="F42:N42" si="14">SUM(F37,F40)</f>
        <v>419</v>
      </c>
      <c r="G42" s="73">
        <f t="shared" si="14"/>
        <v>619</v>
      </c>
      <c r="H42" s="73">
        <f t="shared" si="14"/>
        <v>1022</v>
      </c>
      <c r="I42" s="73">
        <f t="shared" si="14"/>
        <v>1061</v>
      </c>
      <c r="J42" s="246">
        <f t="shared" si="14"/>
        <v>1229</v>
      </c>
      <c r="K42" s="246">
        <f t="shared" si="14"/>
        <v>1222.9098887935374</v>
      </c>
      <c r="L42" s="246">
        <f t="shared" si="14"/>
        <v>1253.6346274723567</v>
      </c>
      <c r="M42" s="246">
        <f t="shared" si="14"/>
        <v>1296.663817200892</v>
      </c>
      <c r="N42" s="246">
        <f t="shared" si="14"/>
        <v>1353.882457942655</v>
      </c>
      <c r="O42" s="246">
        <f t="shared" ref="O42" si="15">SUM(O37,O40)</f>
        <v>1425.9284153126396</v>
      </c>
    </row>
    <row r="43" spans="2:15" ht="16">
      <c r="B43" s="37"/>
      <c r="C43" s="40"/>
      <c r="E43" s="306"/>
      <c r="F43" s="306"/>
      <c r="G43" s="306"/>
      <c r="H43" s="306"/>
      <c r="I43" s="306"/>
      <c r="J43" s="310"/>
      <c r="K43" s="310"/>
      <c r="L43" s="310"/>
      <c r="M43" s="310"/>
      <c r="N43" s="310"/>
      <c r="O43" s="310"/>
    </row>
    <row r="44" spans="2:15" ht="16">
      <c r="B44" s="37"/>
      <c r="C44" s="40"/>
      <c r="E44" s="306"/>
      <c r="F44" s="306"/>
      <c r="G44" s="306"/>
      <c r="H44" s="306"/>
      <c r="I44" s="306"/>
      <c r="J44" s="310"/>
      <c r="K44" s="310"/>
      <c r="L44" s="310"/>
      <c r="M44" s="310"/>
      <c r="N44" s="310"/>
      <c r="O44" s="310"/>
    </row>
    <row r="45" spans="2:15" ht="16">
      <c r="B45" s="37" t="s">
        <v>81</v>
      </c>
      <c r="C45" s="40" t="s">
        <v>54</v>
      </c>
      <c r="D45" s="322"/>
      <c r="E45" s="66">
        <v>1685</v>
      </c>
      <c r="F45" s="66">
        <v>1757</v>
      </c>
      <c r="G45" s="66">
        <v>2038</v>
      </c>
      <c r="H45" s="66">
        <v>2646</v>
      </c>
      <c r="I45" s="66">
        <v>3017</v>
      </c>
      <c r="J45" s="660">
        <v>3339</v>
      </c>
      <c r="K45" s="309">
        <f t="shared" ref="K45:O45" si="16">J45+K37-K60</f>
        <v>3835.9281965779901</v>
      </c>
      <c r="L45" s="309">
        <f t="shared" si="16"/>
        <v>4301.092888134147</v>
      </c>
      <c r="M45" s="309">
        <f t="shared" si="16"/>
        <v>4741.2792131822453</v>
      </c>
      <c r="N45" s="309">
        <f t="shared" si="16"/>
        <v>5164.0779902491877</v>
      </c>
      <c r="O45" s="309">
        <f t="shared" si="16"/>
        <v>5671.193234172657</v>
      </c>
    </row>
    <row r="46" spans="2:15" ht="16">
      <c r="B46" s="61"/>
      <c r="C46" s="40"/>
      <c r="E46" s="73"/>
      <c r="F46" s="306">
        <f t="shared" ref="F46:O46" si="17">F45/E45-1</f>
        <v>4.2729970326409461E-2</v>
      </c>
      <c r="G46" s="306">
        <f t="shared" si="17"/>
        <v>0.1599317017643711</v>
      </c>
      <c r="H46" s="306">
        <f t="shared" si="17"/>
        <v>0.29833169774288515</v>
      </c>
      <c r="I46" s="306">
        <f t="shared" si="17"/>
        <v>0.14021164021164023</v>
      </c>
      <c r="J46" s="340">
        <f t="shared" si="17"/>
        <v>0.10672853828306272</v>
      </c>
      <c r="K46" s="340">
        <f t="shared" si="17"/>
        <v>0.1488254556987092</v>
      </c>
      <c r="L46" s="340">
        <f t="shared" si="17"/>
        <v>0.12126522388274297</v>
      </c>
      <c r="M46" s="340">
        <f t="shared" si="17"/>
        <v>0.10234290132688928</v>
      </c>
      <c r="N46" s="340">
        <f t="shared" si="17"/>
        <v>8.9173988296540108E-2</v>
      </c>
      <c r="O46" s="340">
        <f t="shared" si="17"/>
        <v>9.8200539356881222E-2</v>
      </c>
    </row>
    <row r="47" spans="2:15" ht="16">
      <c r="B47" s="61"/>
      <c r="C47" s="40"/>
      <c r="E47" s="73"/>
      <c r="F47" s="306"/>
      <c r="G47" s="306"/>
      <c r="H47" s="306"/>
      <c r="I47" s="306"/>
      <c r="J47" s="306"/>
      <c r="K47" s="306"/>
      <c r="L47" s="306"/>
      <c r="M47" s="306"/>
      <c r="N47" s="306"/>
      <c r="O47" s="306"/>
    </row>
    <row r="48" spans="2:15" ht="16">
      <c r="B48" s="37" t="s">
        <v>298</v>
      </c>
      <c r="C48" s="40" t="s">
        <v>54</v>
      </c>
      <c r="E48" s="73">
        <f>SUM(E45,E39)</f>
        <v>1841</v>
      </c>
      <c r="F48" s="73">
        <f t="shared" ref="F48:N48" si="18">SUM(F45,F39)</f>
        <v>1910</v>
      </c>
      <c r="G48" s="73">
        <f t="shared" si="18"/>
        <v>2142</v>
      </c>
      <c r="H48" s="73">
        <f t="shared" si="18"/>
        <v>2985</v>
      </c>
      <c r="I48" s="73">
        <f t="shared" si="18"/>
        <v>3311</v>
      </c>
      <c r="J48" s="73">
        <f t="shared" si="18"/>
        <v>3672</v>
      </c>
      <c r="K48" s="73">
        <f t="shared" si="18"/>
        <v>4207.9281965779901</v>
      </c>
      <c r="L48" s="73">
        <f t="shared" si="18"/>
        <v>4712.092888134147</v>
      </c>
      <c r="M48" s="73">
        <f t="shared" si="18"/>
        <v>5191.2792131822453</v>
      </c>
      <c r="N48" s="73">
        <f t="shared" si="18"/>
        <v>5653.0779902491877</v>
      </c>
      <c r="O48" s="73">
        <f t="shared" ref="O48" si="19">SUM(O45,O39)</f>
        <v>6199.193234172657</v>
      </c>
    </row>
    <row r="49" spans="2:15" ht="16">
      <c r="B49" s="26"/>
      <c r="C49" s="40"/>
      <c r="E49" s="73"/>
      <c r="F49" s="73"/>
      <c r="G49" s="73"/>
      <c r="H49" s="73"/>
      <c r="I49" s="73"/>
      <c r="J49" s="311"/>
      <c r="K49" s="311"/>
      <c r="L49" s="311"/>
      <c r="M49" s="311"/>
      <c r="N49" s="311"/>
      <c r="O49" s="311"/>
    </row>
    <row r="50" spans="2:15" ht="16">
      <c r="B50" s="267" t="s">
        <v>262</v>
      </c>
      <c r="C50" s="40" t="s">
        <v>9</v>
      </c>
      <c r="E50" s="342">
        <f>E53/E45</f>
        <v>0.21543026706231455</v>
      </c>
      <c r="F50" s="342">
        <f>F53/F45</f>
        <v>0.21400113830392714</v>
      </c>
      <c r="G50" s="342">
        <f>G53/G45</f>
        <v>0.19332679097154074</v>
      </c>
      <c r="H50" s="342">
        <f>H53/H45</f>
        <v>0.16780045351473924</v>
      </c>
      <c r="I50" s="342">
        <f>I53/I45</f>
        <v>0.1706993702353331</v>
      </c>
      <c r="J50" s="342">
        <v>0.18</v>
      </c>
      <c r="K50" s="342">
        <f>J50-1%</f>
        <v>0.16999999999999998</v>
      </c>
      <c r="L50" s="342">
        <f t="shared" ref="L50:O50" si="20">K50-1%</f>
        <v>0.15999999999999998</v>
      </c>
      <c r="M50" s="342">
        <f t="shared" si="20"/>
        <v>0.14999999999999997</v>
      </c>
      <c r="N50" s="342">
        <f t="shared" si="20"/>
        <v>0.13999999999999996</v>
      </c>
      <c r="O50" s="342">
        <f t="shared" si="20"/>
        <v>0.12999999999999995</v>
      </c>
    </row>
    <row r="51" spans="2:15" ht="16">
      <c r="B51" s="267" t="s">
        <v>263</v>
      </c>
      <c r="C51" s="40" t="s">
        <v>9</v>
      </c>
      <c r="E51" s="5"/>
      <c r="F51" s="5"/>
      <c r="G51" s="5"/>
      <c r="H51" s="5"/>
      <c r="I51" s="5"/>
      <c r="J51" s="5">
        <v>7.0000000000000007E-2</v>
      </c>
      <c r="K51" s="5">
        <f>J51+0.2%</f>
        <v>7.2000000000000008E-2</v>
      </c>
      <c r="L51" s="5">
        <f t="shared" ref="L51:O51" si="21">K51+0.2%</f>
        <v>7.400000000000001E-2</v>
      </c>
      <c r="M51" s="5">
        <f t="shared" si="21"/>
        <v>7.6000000000000012E-2</v>
      </c>
      <c r="N51" s="5">
        <f t="shared" si="21"/>
        <v>7.8000000000000014E-2</v>
      </c>
      <c r="O51" s="5">
        <f t="shared" si="21"/>
        <v>8.0000000000000016E-2</v>
      </c>
    </row>
    <row r="52" spans="2:15" ht="16">
      <c r="B52" s="267"/>
      <c r="C52" s="40"/>
      <c r="E52" s="310"/>
      <c r="F52" s="310"/>
      <c r="G52" s="310"/>
      <c r="H52" s="310"/>
      <c r="I52" s="310"/>
      <c r="J52" s="310"/>
      <c r="K52" s="310"/>
      <c r="L52" s="310"/>
      <c r="M52" s="310"/>
      <c r="N52" s="310"/>
      <c r="O52" s="310"/>
    </row>
    <row r="53" spans="2:15" ht="16">
      <c r="B53" s="267" t="s">
        <v>288</v>
      </c>
      <c r="C53" s="40" t="s">
        <v>54</v>
      </c>
      <c r="E53" s="65">
        <f>Model!F161</f>
        <v>363</v>
      </c>
      <c r="F53" s="65">
        <f>Model!G161</f>
        <v>376</v>
      </c>
      <c r="G53" s="65">
        <f>Model!H161</f>
        <v>394</v>
      </c>
      <c r="H53" s="65">
        <f>Model!I161</f>
        <v>444</v>
      </c>
      <c r="I53" s="65">
        <f>Model!J161</f>
        <v>515</v>
      </c>
      <c r="J53" s="65">
        <f>$I$45*J50</f>
        <v>543.05999999999995</v>
      </c>
      <c r="K53" s="65">
        <f t="shared" ref="K53:N53" si="22">$I$45*K50</f>
        <v>512.89</v>
      </c>
      <c r="L53" s="65">
        <f t="shared" si="22"/>
        <v>482.71999999999991</v>
      </c>
      <c r="M53" s="65">
        <f t="shared" si="22"/>
        <v>452.5499999999999</v>
      </c>
      <c r="N53" s="65">
        <f t="shared" si="22"/>
        <v>422.37999999999988</v>
      </c>
      <c r="O53" s="65">
        <f t="shared" ref="O53" si="23">$I$45*O50</f>
        <v>392.20999999999987</v>
      </c>
    </row>
    <row r="54" spans="2:15" ht="16">
      <c r="B54" s="267" t="s">
        <v>264</v>
      </c>
      <c r="C54" s="40" t="s">
        <v>54</v>
      </c>
      <c r="E54" s="16"/>
      <c r="F54" s="16"/>
      <c r="G54" s="16"/>
      <c r="J54" s="65">
        <f>$J$42*J51</f>
        <v>86.03</v>
      </c>
      <c r="K54" s="65">
        <f t="shared" ref="K54:N54" si="24">$J$42*K51</f>
        <v>88.488000000000014</v>
      </c>
      <c r="L54" s="65">
        <f t="shared" si="24"/>
        <v>90.946000000000012</v>
      </c>
      <c r="M54" s="65">
        <f t="shared" si="24"/>
        <v>93.404000000000011</v>
      </c>
      <c r="N54" s="65">
        <f t="shared" si="24"/>
        <v>95.862000000000023</v>
      </c>
      <c r="O54" s="65">
        <f t="shared" ref="O54" si="25">$J$42*O51</f>
        <v>98.320000000000022</v>
      </c>
    </row>
    <row r="55" spans="2:15" ht="16">
      <c r="B55" s="267" t="s">
        <v>291</v>
      </c>
      <c r="C55" s="40" t="s">
        <v>54</v>
      </c>
      <c r="E55" s="16"/>
      <c r="F55" s="16"/>
      <c r="G55" s="16"/>
      <c r="J55" s="65"/>
      <c r="K55" s="65">
        <f>$K$42*J51</f>
        <v>85.603692215547625</v>
      </c>
      <c r="L55" s="65">
        <f t="shared" ref="L55:O55" si="26">$K$42*K51</f>
        <v>88.049511993134701</v>
      </c>
      <c r="M55" s="65">
        <f t="shared" si="26"/>
        <v>90.495331770721791</v>
      </c>
      <c r="N55" s="65">
        <f t="shared" si="26"/>
        <v>92.941151548308866</v>
      </c>
      <c r="O55" s="65">
        <f t="shared" si="26"/>
        <v>95.386971325895942</v>
      </c>
    </row>
    <row r="56" spans="2:15" ht="16">
      <c r="B56" s="267" t="s">
        <v>292</v>
      </c>
      <c r="C56" s="40" t="s">
        <v>54</v>
      </c>
      <c r="E56" s="16"/>
      <c r="F56" s="16"/>
      <c r="G56" s="16"/>
      <c r="J56" s="65"/>
      <c r="K56" s="65"/>
      <c r="L56" s="65">
        <f>$L$42*J51</f>
        <v>87.754423923064977</v>
      </c>
      <c r="M56" s="65">
        <f t="shared" ref="M56:O56" si="27">$L$42*K51</f>
        <v>90.261693178009693</v>
      </c>
      <c r="N56" s="65">
        <f t="shared" si="27"/>
        <v>92.76896243295441</v>
      </c>
      <c r="O56" s="65">
        <f t="shared" si="27"/>
        <v>95.276231687899127</v>
      </c>
    </row>
    <row r="57" spans="2:15" ht="16">
      <c r="B57" s="267" t="s">
        <v>293</v>
      </c>
      <c r="C57" s="40" t="s">
        <v>54</v>
      </c>
      <c r="E57" s="16"/>
      <c r="F57" s="16"/>
      <c r="G57" s="16"/>
      <c r="J57" s="65"/>
      <c r="K57" s="65"/>
      <c r="L57" s="65"/>
      <c r="M57" s="65">
        <f>$M$42*J51</f>
        <v>90.766467204062451</v>
      </c>
      <c r="N57" s="65">
        <f>$M$42*K51</f>
        <v>93.359794838464239</v>
      </c>
      <c r="O57" s="65">
        <f>$M$42*L51</f>
        <v>95.953122472866028</v>
      </c>
    </row>
    <row r="58" spans="2:15" ht="16">
      <c r="B58" s="267" t="s">
        <v>294</v>
      </c>
      <c r="C58" s="40" t="s">
        <v>54</v>
      </c>
      <c r="E58" s="16"/>
      <c r="F58" s="16"/>
      <c r="G58" s="16"/>
      <c r="J58" s="65"/>
      <c r="K58" s="65"/>
      <c r="L58" s="65"/>
      <c r="M58" s="65"/>
      <c r="N58" s="65">
        <f>N42*J51</f>
        <v>94.771772055985863</v>
      </c>
      <c r="O58" s="65">
        <f>O42*K51</f>
        <v>102.66684590251006</v>
      </c>
    </row>
    <row r="59" spans="2:15" ht="16">
      <c r="B59" s="267"/>
      <c r="C59" s="40"/>
      <c r="E59" s="16"/>
      <c r="F59" s="16"/>
      <c r="G59" s="16"/>
      <c r="J59" s="65"/>
      <c r="K59" s="65"/>
      <c r="L59" s="65"/>
      <c r="M59" s="65"/>
      <c r="N59" s="65"/>
      <c r="O59" s="65">
        <f>O37*J51</f>
        <v>97.084989071884777</v>
      </c>
    </row>
    <row r="60" spans="2:15" ht="16">
      <c r="B60" s="303" t="s">
        <v>265</v>
      </c>
      <c r="C60" s="40" t="s">
        <v>54</v>
      </c>
      <c r="E60" s="304">
        <f t="shared" ref="E60:I60" si="28">SUM(E53:E58)</f>
        <v>363</v>
      </c>
      <c r="F60" s="304">
        <f t="shared" si="28"/>
        <v>376</v>
      </c>
      <c r="G60" s="304">
        <f t="shared" si="28"/>
        <v>394</v>
      </c>
      <c r="H60" s="304">
        <f t="shared" si="28"/>
        <v>444</v>
      </c>
      <c r="I60" s="304">
        <f t="shared" si="28"/>
        <v>515</v>
      </c>
      <c r="J60" s="304">
        <f>SUM(J53:J58)</f>
        <v>629.08999999999992</v>
      </c>
      <c r="K60" s="304">
        <f t="shared" ref="K60:N60" si="29">SUM(K53:K58)</f>
        <v>686.9816922155477</v>
      </c>
      <c r="L60" s="304">
        <f t="shared" si="29"/>
        <v>749.46993591619969</v>
      </c>
      <c r="M60" s="304">
        <f t="shared" si="29"/>
        <v>817.47749215279384</v>
      </c>
      <c r="N60" s="304">
        <f t="shared" si="29"/>
        <v>892.0836808757133</v>
      </c>
      <c r="O60" s="304">
        <f t="shared" ref="O60" si="30">SUM(O53:O58)</f>
        <v>879.81317138917109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504DC-7297-4B85-BE41-24C081F62891}">
  <dimension ref="A2:P43"/>
  <sheetViews>
    <sheetView showGridLines="0" zoomScale="50" workbookViewId="0">
      <selection activeCell="K8" sqref="K8"/>
    </sheetView>
  </sheetViews>
  <sheetFormatPr defaultRowHeight="14.5"/>
  <cols>
    <col min="2" max="2" width="3.54296875" customWidth="1"/>
    <col min="3" max="3" width="41.453125" bestFit="1" customWidth="1"/>
    <col min="4" max="4" width="7.54296875" bestFit="1" customWidth="1"/>
    <col min="5" max="6" width="8.7265625" bestFit="1" customWidth="1"/>
    <col min="7" max="7" width="12" bestFit="1" customWidth="1"/>
    <col min="8" max="9" width="14.26953125" bestFit="1" customWidth="1"/>
    <col min="12" max="12" width="45.453125" bestFit="1" customWidth="1"/>
    <col min="13" max="16" width="28.81640625" bestFit="1" customWidth="1"/>
  </cols>
  <sheetData>
    <row r="2" spans="1:16" s="616" customFormat="1" ht="18.5">
      <c r="A2"/>
      <c r="B2" s="615" t="str">
        <f>CompanyName&amp;" - Q1 Financial Results"</f>
        <v>Applied Materials - Q1 Financial Results</v>
      </c>
      <c r="C2" s="267"/>
      <c r="D2" s="80"/>
      <c r="E2" s="80"/>
      <c r="F2" s="80"/>
      <c r="G2" s="267"/>
      <c r="H2" s="267"/>
      <c r="I2" s="267"/>
    </row>
    <row r="3" spans="1:16" s="616" customFormat="1" ht="16">
      <c r="A3"/>
      <c r="B3" s="617" t="str">
        <f>+[1]WMT_Model!$B$3</f>
        <v>($ in Millions Except Per Share and Per Unit Data)</v>
      </c>
      <c r="C3" s="267"/>
      <c r="D3" s="80"/>
      <c r="E3" s="80"/>
      <c r="F3" s="80"/>
      <c r="G3" s="267"/>
      <c r="H3" s="267"/>
      <c r="I3" s="267"/>
    </row>
    <row r="4" spans="1:16" ht="16">
      <c r="B4" s="16"/>
      <c r="C4" s="16"/>
      <c r="D4" s="67"/>
      <c r="E4" s="67"/>
      <c r="F4" s="67"/>
      <c r="G4" s="16"/>
      <c r="H4" s="16"/>
      <c r="I4" s="16"/>
    </row>
    <row r="5" spans="1:16" ht="16">
      <c r="B5" s="538"/>
      <c r="C5" s="538"/>
      <c r="D5" s="539"/>
      <c r="E5" s="539"/>
      <c r="F5" s="539"/>
      <c r="G5" s="538"/>
      <c r="H5" s="538"/>
      <c r="I5" s="538"/>
    </row>
    <row r="6" spans="1:16" ht="16">
      <c r="B6" s="600" t="s">
        <v>412</v>
      </c>
      <c r="C6" s="538"/>
      <c r="D6" s="539"/>
      <c r="E6" s="539"/>
      <c r="F6" s="539"/>
      <c r="G6" s="538"/>
      <c r="H6" s="444" t="s">
        <v>421</v>
      </c>
      <c r="I6" s="444" t="s">
        <v>420</v>
      </c>
    </row>
    <row r="7" spans="1:16" ht="16">
      <c r="B7" s="22"/>
      <c r="C7" s="24"/>
      <c r="D7" s="618"/>
      <c r="E7" s="618"/>
      <c r="F7" s="618"/>
      <c r="G7" s="24"/>
      <c r="H7" s="606"/>
      <c r="I7" s="606"/>
    </row>
    <row r="8" spans="1:16" ht="16">
      <c r="B8" s="16"/>
      <c r="C8" s="43" t="s">
        <v>17</v>
      </c>
      <c r="D8" s="67"/>
      <c r="E8" s="67"/>
      <c r="F8" s="67"/>
      <c r="G8" s="16"/>
      <c r="H8" s="544">
        <v>6425</v>
      </c>
      <c r="I8" s="544">
        <v>6778</v>
      </c>
    </row>
    <row r="9" spans="1:16" ht="16">
      <c r="B9" s="16"/>
      <c r="C9" s="80" t="s">
        <v>413</v>
      </c>
      <c r="D9" s="67"/>
      <c r="E9" s="67"/>
      <c r="F9" s="67"/>
      <c r="G9" s="16"/>
      <c r="H9" s="65"/>
      <c r="I9" s="543">
        <f>I8/H8-1</f>
        <v>5.4941634241245207E-2</v>
      </c>
    </row>
    <row r="10" spans="1:16" ht="16">
      <c r="B10" s="16"/>
      <c r="C10" s="43" t="s">
        <v>119</v>
      </c>
      <c r="D10" s="67"/>
      <c r="E10" s="67"/>
      <c r="F10" s="67"/>
      <c r="G10" s="16"/>
      <c r="H10" s="544">
        <v>1802</v>
      </c>
      <c r="I10" s="544">
        <v>1942</v>
      </c>
    </row>
    <row r="11" spans="1:16" ht="16">
      <c r="B11" s="16"/>
      <c r="C11" s="80" t="s">
        <v>414</v>
      </c>
      <c r="D11" s="67"/>
      <c r="E11" s="67"/>
      <c r="F11" s="67"/>
      <c r="G11" s="16"/>
      <c r="H11" s="65"/>
      <c r="I11" s="543">
        <f>+I10/I8</f>
        <v>0.28651519622307464</v>
      </c>
    </row>
    <row r="12" spans="1:16" ht="16">
      <c r="B12" s="16"/>
      <c r="C12" s="16"/>
      <c r="D12" s="67"/>
      <c r="E12" s="67"/>
      <c r="F12" s="67"/>
      <c r="G12" s="16"/>
      <c r="H12" s="330"/>
      <c r="I12" s="65"/>
    </row>
    <row r="13" spans="1:16" ht="16">
      <c r="B13" s="16"/>
      <c r="C13" s="267" t="s">
        <v>425</v>
      </c>
      <c r="D13" s="67"/>
      <c r="E13" s="67"/>
      <c r="F13" s="67"/>
      <c r="G13" s="16"/>
      <c r="H13" s="541">
        <v>-246</v>
      </c>
      <c r="I13" s="541">
        <v>-255</v>
      </c>
    </row>
    <row r="14" spans="1:16" ht="16">
      <c r="B14" s="16"/>
      <c r="C14" s="16"/>
      <c r="D14" s="67"/>
      <c r="E14" s="67"/>
      <c r="F14" s="67"/>
      <c r="G14" s="16"/>
      <c r="H14" s="65"/>
      <c r="I14" s="65"/>
    </row>
    <row r="15" spans="1:16" ht="16">
      <c r="B15" s="16"/>
      <c r="C15" s="43" t="s">
        <v>415</v>
      </c>
      <c r="D15" s="67"/>
      <c r="E15" s="67"/>
      <c r="F15" s="67"/>
      <c r="G15" s="16"/>
      <c r="H15" s="545">
        <f>+H10+H13</f>
        <v>1556</v>
      </c>
      <c r="I15" s="545">
        <f>+I10+I13</f>
        <v>1687</v>
      </c>
      <c r="L15" s="534"/>
      <c r="M15" s="534"/>
      <c r="N15" s="534"/>
      <c r="O15" s="534"/>
      <c r="P15" s="534"/>
    </row>
    <row r="16" spans="1:16" ht="16">
      <c r="B16" s="16"/>
      <c r="C16" s="16"/>
      <c r="D16" s="67"/>
      <c r="E16" s="67"/>
      <c r="F16" s="67"/>
      <c r="G16" s="16"/>
      <c r="H16" s="65"/>
      <c r="I16" s="65"/>
      <c r="L16" s="535"/>
      <c r="M16" s="535"/>
      <c r="N16" s="535"/>
      <c r="O16" s="535"/>
      <c r="P16" s="535"/>
    </row>
    <row r="17" spans="2:16" ht="16">
      <c r="B17" s="16"/>
      <c r="C17" s="43" t="s">
        <v>122</v>
      </c>
      <c r="D17" s="67"/>
      <c r="E17" s="67"/>
      <c r="F17" s="67"/>
      <c r="G17" s="16"/>
      <c r="H17" s="65"/>
      <c r="I17" s="65"/>
      <c r="L17" s="535"/>
      <c r="M17" s="535"/>
      <c r="N17" s="535"/>
      <c r="O17" s="535"/>
      <c r="P17" s="535"/>
    </row>
    <row r="18" spans="2:16" ht="16">
      <c r="B18" s="16"/>
      <c r="C18" s="267" t="s">
        <v>424</v>
      </c>
      <c r="D18" s="67"/>
      <c r="E18" s="67"/>
      <c r="F18" s="67"/>
      <c r="G18" s="16"/>
      <c r="H18" s="66">
        <v>385</v>
      </c>
      <c r="I18" s="66">
        <v>282</v>
      </c>
      <c r="L18" s="535"/>
      <c r="M18" s="535"/>
      <c r="N18" s="535"/>
      <c r="O18" s="535"/>
      <c r="P18" s="535"/>
    </row>
    <row r="19" spans="2:16" ht="16">
      <c r="B19" s="16"/>
      <c r="C19" s="267" t="s">
        <v>123</v>
      </c>
      <c r="D19" s="67"/>
      <c r="E19" s="67"/>
      <c r="F19" s="67"/>
      <c r="G19" s="16"/>
      <c r="H19" s="66">
        <v>-174</v>
      </c>
      <c r="I19" s="66">
        <v>-385</v>
      </c>
      <c r="L19" s="535"/>
      <c r="M19" s="535"/>
      <c r="N19" s="535"/>
      <c r="O19" s="535"/>
      <c r="P19" s="535"/>
    </row>
    <row r="20" spans="2:16" ht="16">
      <c r="B20" s="16"/>
      <c r="C20" s="267" t="s">
        <v>423</v>
      </c>
      <c r="D20" s="67"/>
      <c r="E20" s="67"/>
      <c r="F20" s="67"/>
      <c r="G20" s="16"/>
      <c r="H20" s="199">
        <v>189</v>
      </c>
      <c r="I20" s="199">
        <v>-199</v>
      </c>
      <c r="L20" s="535"/>
      <c r="M20" s="535"/>
      <c r="N20" s="535"/>
      <c r="O20" s="535"/>
      <c r="P20" s="535"/>
    </row>
    <row r="21" spans="2:16" ht="16">
      <c r="B21" s="16"/>
      <c r="C21" s="303" t="s">
        <v>416</v>
      </c>
      <c r="D21" s="536"/>
      <c r="E21" s="536"/>
      <c r="F21" s="536"/>
      <c r="G21" s="537"/>
      <c r="H21" s="545">
        <f>SUM(H18:H20)</f>
        <v>400</v>
      </c>
      <c r="I21" s="545">
        <f>SUM(I18:I20)</f>
        <v>-302</v>
      </c>
      <c r="L21" s="535"/>
      <c r="M21" s="535"/>
      <c r="N21" s="535"/>
      <c r="O21" s="535"/>
      <c r="P21" s="535"/>
    </row>
    <row r="22" spans="2:16" ht="16">
      <c r="B22" s="16"/>
      <c r="C22" s="16"/>
      <c r="D22" s="67"/>
      <c r="E22" s="67"/>
      <c r="F22" s="67"/>
      <c r="G22" s="16"/>
      <c r="H22" s="65"/>
      <c r="I22" s="65"/>
      <c r="L22" s="535"/>
      <c r="M22" s="535"/>
      <c r="N22" s="535"/>
      <c r="O22" s="535"/>
      <c r="P22" s="535"/>
    </row>
    <row r="23" spans="2:16" ht="16">
      <c r="B23" s="16"/>
      <c r="C23" s="43" t="s">
        <v>124</v>
      </c>
      <c r="D23" s="67"/>
      <c r="E23" s="67"/>
      <c r="F23" s="67"/>
      <c r="G23" s="16"/>
      <c r="H23" s="65"/>
      <c r="I23" s="65"/>
      <c r="L23" s="535"/>
      <c r="M23" s="535"/>
      <c r="N23" s="535"/>
      <c r="O23" s="535"/>
      <c r="P23" s="535"/>
    </row>
    <row r="24" spans="2:16" ht="16">
      <c r="B24" s="16"/>
      <c r="C24" s="267" t="s">
        <v>417</v>
      </c>
      <c r="D24" s="67"/>
      <c r="E24" s="67"/>
      <c r="F24" s="67"/>
      <c r="G24" s="16"/>
      <c r="H24" s="66">
        <v>838</v>
      </c>
      <c r="I24" s="66">
        <v>195</v>
      </c>
      <c r="L24" s="535"/>
      <c r="M24" s="535"/>
      <c r="N24" s="535"/>
      <c r="O24" s="535"/>
      <c r="P24" s="535"/>
    </row>
    <row r="25" spans="2:16" ht="16">
      <c r="B25" s="16"/>
      <c r="C25" s="267" t="s">
        <v>59</v>
      </c>
      <c r="D25" s="67"/>
      <c r="E25" s="67"/>
      <c r="F25" s="67"/>
      <c r="G25" s="16"/>
      <c r="H25" s="66">
        <v>123</v>
      </c>
      <c r="I25" s="66">
        <v>157</v>
      </c>
      <c r="L25" s="535"/>
      <c r="M25" s="535"/>
      <c r="N25" s="535"/>
      <c r="O25" s="535"/>
      <c r="P25" s="535"/>
    </row>
    <row r="26" spans="2:16" ht="16">
      <c r="B26" s="16"/>
      <c r="C26" s="267" t="s">
        <v>418</v>
      </c>
      <c r="D26" s="67"/>
      <c r="E26" s="67"/>
      <c r="F26" s="67"/>
      <c r="G26" s="16"/>
      <c r="H26" s="66">
        <v>-441</v>
      </c>
      <c r="I26" s="66">
        <v>-20</v>
      </c>
      <c r="L26" s="535"/>
      <c r="M26" s="535"/>
      <c r="N26" s="535"/>
      <c r="O26" s="535"/>
      <c r="P26" s="535"/>
    </row>
    <row r="27" spans="2:16" ht="16">
      <c r="B27" s="16"/>
      <c r="C27" s="267" t="s">
        <v>422</v>
      </c>
      <c r="D27" s="67"/>
      <c r="E27" s="67"/>
      <c r="F27" s="67"/>
      <c r="G27" s="16"/>
      <c r="H27" s="66">
        <v>71</v>
      </c>
      <c r="I27" s="66">
        <v>24</v>
      </c>
      <c r="L27" s="535"/>
      <c r="M27" s="535"/>
      <c r="N27" s="535"/>
      <c r="O27" s="535"/>
      <c r="P27" s="535"/>
    </row>
    <row r="28" spans="2:16" ht="16">
      <c r="B28" s="16"/>
      <c r="C28" s="303" t="s">
        <v>419</v>
      </c>
      <c r="D28" s="536"/>
      <c r="E28" s="536"/>
      <c r="F28" s="536"/>
      <c r="G28" s="537"/>
      <c r="H28" s="546">
        <f>SUM(H24:H27)</f>
        <v>591</v>
      </c>
      <c r="I28" s="546">
        <f>SUM(I24:I27)</f>
        <v>356</v>
      </c>
      <c r="L28" s="535"/>
      <c r="M28" s="535"/>
      <c r="N28" s="535"/>
      <c r="O28" s="535"/>
      <c r="P28" s="535"/>
    </row>
    <row r="29" spans="2:16" ht="16">
      <c r="B29" s="16"/>
      <c r="C29" s="16"/>
      <c r="D29" s="67"/>
      <c r="E29" s="67"/>
      <c r="F29" s="67"/>
      <c r="G29" s="16"/>
      <c r="H29" s="65"/>
      <c r="I29" s="65"/>
      <c r="L29" s="535"/>
      <c r="M29" s="535"/>
      <c r="N29" s="535"/>
      <c r="O29" s="535"/>
      <c r="P29" s="535"/>
    </row>
    <row r="30" spans="2:16" ht="16">
      <c r="B30" s="16"/>
      <c r="C30" s="43" t="s">
        <v>427</v>
      </c>
      <c r="D30" s="67"/>
      <c r="E30" s="67"/>
      <c r="F30" s="67"/>
      <c r="G30" s="16"/>
      <c r="H30" s="65">
        <v>-797</v>
      </c>
      <c r="I30" s="65">
        <v>-783</v>
      </c>
    </row>
    <row r="31" spans="2:16" ht="16">
      <c r="B31" s="16"/>
      <c r="C31" s="16"/>
      <c r="D31" s="67"/>
      <c r="E31" s="67"/>
      <c r="F31" s="67"/>
      <c r="G31" s="16"/>
      <c r="H31" s="65"/>
      <c r="I31" s="65"/>
    </row>
    <row r="32" spans="2:16" ht="16">
      <c r="B32" s="16"/>
      <c r="C32" s="43" t="s">
        <v>426</v>
      </c>
      <c r="D32" s="67"/>
      <c r="E32" s="67"/>
      <c r="F32" s="67"/>
      <c r="G32" s="16"/>
      <c r="H32" s="542">
        <f>SUM(H15,H21,H28,H30)</f>
        <v>1750</v>
      </c>
      <c r="I32" s="542">
        <f>SUM(I15,I21,I28,I30)</f>
        <v>958</v>
      </c>
    </row>
    <row r="34" spans="12:12" ht="16">
      <c r="L34" s="535"/>
    </row>
    <row r="35" spans="12:12" ht="16">
      <c r="L35" s="535"/>
    </row>
    <row r="36" spans="12:12" ht="16">
      <c r="L36" s="535"/>
    </row>
    <row r="38" spans="12:12" ht="16">
      <c r="L38" s="535"/>
    </row>
    <row r="39" spans="12:12" ht="16">
      <c r="L39" s="535"/>
    </row>
    <row r="40" spans="12:12" ht="16">
      <c r="L40" s="535"/>
    </row>
    <row r="41" spans="12:12" ht="16">
      <c r="L41" s="535"/>
    </row>
    <row r="42" spans="12:12" ht="16">
      <c r="L42" s="535"/>
    </row>
    <row r="43" spans="12:12" ht="16">
      <c r="L43" s="53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DF8AF-EAAB-489C-8336-E59EBD76A01D}">
  <sheetPr codeName="Sheet2"/>
  <dimension ref="B2:T110"/>
  <sheetViews>
    <sheetView showGridLines="0" topLeftCell="A79" zoomScale="61" zoomScaleNormal="100" workbookViewId="0">
      <selection activeCell="E100" sqref="E100"/>
    </sheetView>
  </sheetViews>
  <sheetFormatPr defaultColWidth="8.7265625" defaultRowHeight="16"/>
  <cols>
    <col min="1" max="1" width="8.7265625" style="16"/>
    <col min="2" max="2" width="3.81640625" style="16" customWidth="1"/>
    <col min="3" max="3" width="53" style="16" customWidth="1"/>
    <col min="4" max="4" width="13.453125" style="16" customWidth="1"/>
    <col min="5" max="5" width="9.81640625" style="16" bestFit="1" customWidth="1"/>
    <col min="6" max="6" width="10.54296875" style="16" bestFit="1" customWidth="1"/>
    <col min="7" max="7" width="11.7265625" style="16" bestFit="1" customWidth="1"/>
    <col min="8" max="8" width="10.54296875" style="16" bestFit="1" customWidth="1"/>
    <col min="9" max="9" width="15" style="16" customWidth="1"/>
    <col min="10" max="10" width="10.54296875" style="16" bestFit="1" customWidth="1"/>
    <col min="11" max="11" width="12.81640625" style="16" bestFit="1" customWidth="1"/>
    <col min="12" max="13" width="15" style="16" bestFit="1" customWidth="1"/>
    <col min="14" max="14" width="12.81640625" style="16" bestFit="1" customWidth="1"/>
    <col min="15" max="16" width="12" style="16" bestFit="1" customWidth="1"/>
    <col min="17" max="17" width="15" style="16" bestFit="1" customWidth="1"/>
    <col min="18" max="20" width="10.54296875" style="16" bestFit="1" customWidth="1"/>
    <col min="21" max="16384" width="8.7265625" style="16"/>
  </cols>
  <sheetData>
    <row r="2" spans="2:17">
      <c r="B2" s="42"/>
      <c r="C2" s="42"/>
      <c r="D2" s="42"/>
      <c r="E2" s="42"/>
      <c r="F2" s="42"/>
      <c r="G2" s="14"/>
      <c r="H2" s="47"/>
      <c r="I2" s="47"/>
      <c r="J2" s="47"/>
      <c r="K2" s="48"/>
      <c r="L2" s="47"/>
      <c r="M2" s="14"/>
      <c r="N2" s="47"/>
      <c r="O2" s="42"/>
      <c r="P2" s="42"/>
    </row>
    <row r="3" spans="2:17">
      <c r="B3" s="15" t="s">
        <v>200</v>
      </c>
      <c r="C3" s="42"/>
      <c r="D3" s="42"/>
      <c r="E3" s="1" t="s">
        <v>15</v>
      </c>
      <c r="F3" s="1">
        <f>EOMONTH(G3,-12)</f>
        <v>43496</v>
      </c>
      <c r="G3" s="1">
        <f>EOMONTH(H3,-12)</f>
        <v>43861</v>
      </c>
      <c r="H3" s="1">
        <v>44227</v>
      </c>
      <c r="I3" s="1">
        <v>44592</v>
      </c>
      <c r="J3" s="1">
        <v>44957</v>
      </c>
      <c r="K3" s="2">
        <v>45322</v>
      </c>
      <c r="L3" s="1">
        <v>45688</v>
      </c>
      <c r="M3" s="1">
        <v>46053</v>
      </c>
      <c r="N3" s="1">
        <v>46418</v>
      </c>
      <c r="O3" s="1">
        <v>46783</v>
      </c>
      <c r="P3" s="1">
        <f>EOMONTH(O3,12)</f>
        <v>47149</v>
      </c>
    </row>
    <row r="4" spans="2:17">
      <c r="B4" s="22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</row>
    <row r="5" spans="2:17">
      <c r="B5" s="22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</row>
    <row r="6" spans="2:17">
      <c r="B6" s="22"/>
      <c r="C6" s="97"/>
      <c r="D6" s="22"/>
      <c r="E6" s="87" t="s">
        <v>500</v>
      </c>
      <c r="F6" s="22"/>
      <c r="G6" s="92" t="s">
        <v>498</v>
      </c>
      <c r="I6" s="22"/>
      <c r="J6" s="22"/>
      <c r="K6" s="22"/>
      <c r="L6" s="22"/>
      <c r="M6" s="22"/>
      <c r="N6" s="22"/>
      <c r="O6" s="22"/>
    </row>
    <row r="7" spans="2:17">
      <c r="B7" s="22"/>
      <c r="C7" s="16" t="s">
        <v>1</v>
      </c>
      <c r="E7" s="17" t="s">
        <v>2</v>
      </c>
      <c r="G7" s="29" t="s">
        <v>47</v>
      </c>
      <c r="H7" s="3"/>
      <c r="I7" s="22"/>
      <c r="N7" s="18"/>
    </row>
    <row r="8" spans="2:17">
      <c r="B8" s="22"/>
      <c r="C8" s="16" t="s">
        <v>3</v>
      </c>
      <c r="E8" s="17" t="s">
        <v>2</v>
      </c>
      <c r="G8" s="4" t="s">
        <v>48</v>
      </c>
      <c r="H8" s="18"/>
      <c r="I8" s="245" t="s">
        <v>203</v>
      </c>
      <c r="J8" s="245"/>
      <c r="K8" s="245"/>
      <c r="L8" s="245"/>
      <c r="N8" s="245" t="s">
        <v>204</v>
      </c>
      <c r="O8" s="245"/>
      <c r="P8" s="245"/>
      <c r="Q8" s="245"/>
    </row>
    <row r="9" spans="2:17">
      <c r="B9" s="22"/>
      <c r="C9" s="16" t="s">
        <v>4</v>
      </c>
      <c r="E9" s="17" t="s">
        <v>5</v>
      </c>
      <c r="G9" s="19">
        <f>SharePrice</f>
        <v>175.55</v>
      </c>
      <c r="H9" s="20"/>
      <c r="I9" s="18"/>
      <c r="J9" s="18"/>
      <c r="K9" s="18"/>
      <c r="L9" s="18"/>
      <c r="N9" s="18"/>
      <c r="O9" s="18"/>
      <c r="P9" s="18"/>
      <c r="Q9" s="18"/>
    </row>
    <row r="10" spans="2:17">
      <c r="B10" s="22"/>
      <c r="C10" s="18" t="s">
        <v>6</v>
      </c>
      <c r="E10" s="17" t="s">
        <v>7</v>
      </c>
      <c r="G10" s="99">
        <v>824.4</v>
      </c>
      <c r="H10" s="18"/>
      <c r="I10" s="18" t="s">
        <v>385</v>
      </c>
      <c r="J10" s="18"/>
      <c r="K10" s="18"/>
      <c r="L10" s="221">
        <f>PubComps!S37</f>
        <v>19.034560906615475</v>
      </c>
      <c r="N10" s="18" t="s">
        <v>205</v>
      </c>
      <c r="O10" s="18"/>
      <c r="P10" s="18"/>
      <c r="Q10" s="678">
        <v>1.4999999999999999E-2</v>
      </c>
    </row>
    <row r="11" spans="2:17">
      <c r="B11" s="22"/>
      <c r="C11" s="18"/>
      <c r="E11" s="18"/>
      <c r="G11" s="18"/>
      <c r="H11" s="18"/>
      <c r="I11" s="18" t="s">
        <v>386</v>
      </c>
      <c r="J11" s="18"/>
      <c r="K11" s="18"/>
      <c r="L11" s="221">
        <f>PubComps!S41</f>
        <v>15.292711622965236</v>
      </c>
      <c r="N11" s="18"/>
      <c r="O11" s="18"/>
      <c r="P11" s="18"/>
      <c r="Q11" s="18"/>
    </row>
    <row r="12" spans="2:17">
      <c r="B12" s="22"/>
      <c r="C12" s="18" t="s">
        <v>8</v>
      </c>
      <c r="E12" s="17" t="s">
        <v>9</v>
      </c>
      <c r="G12" s="5">
        <f>AVERAGE(F51:O51)</f>
        <v>0.12944125444128557</v>
      </c>
      <c r="H12" s="18"/>
      <c r="I12" s="18"/>
      <c r="J12" s="18"/>
      <c r="K12" s="18"/>
      <c r="L12" s="222"/>
      <c r="N12" s="18"/>
      <c r="O12" s="18"/>
      <c r="P12" s="18"/>
      <c r="Q12" s="18"/>
    </row>
    <row r="13" spans="2:17">
      <c r="B13" s="22"/>
      <c r="C13" s="18" t="s">
        <v>10</v>
      </c>
      <c r="E13" s="17" t="s">
        <v>9</v>
      </c>
      <c r="G13" s="445">
        <v>0.11643306046171654</v>
      </c>
      <c r="H13" s="18"/>
      <c r="I13" s="18" t="s">
        <v>206</v>
      </c>
      <c r="J13" s="18"/>
      <c r="K13" s="223"/>
      <c r="L13" s="462">
        <f>INDEX(L14:L16,MATCH(Scenario,I14:I16,0),1)</f>
        <v>19</v>
      </c>
      <c r="N13" s="18" t="s">
        <v>207</v>
      </c>
      <c r="O13" s="18"/>
      <c r="P13" s="18"/>
      <c r="Q13" s="678">
        <f>INDEX(Q14:Q16,MATCH(Scenario,N14:N16,0),1)</f>
        <v>0.06</v>
      </c>
    </row>
    <row r="14" spans="2:17">
      <c r="B14" s="22"/>
      <c r="C14" s="18"/>
      <c r="E14" s="17"/>
      <c r="G14" s="445"/>
      <c r="H14" s="18"/>
      <c r="I14" s="16" t="s">
        <v>497</v>
      </c>
      <c r="J14" s="18"/>
      <c r="K14" s="223"/>
      <c r="L14" s="462">
        <v>21</v>
      </c>
      <c r="N14" s="16" t="s">
        <v>497</v>
      </c>
      <c r="O14" s="18"/>
      <c r="P14" s="18"/>
      <c r="Q14" s="678">
        <v>7.0000000000000007E-2</v>
      </c>
    </row>
    <row r="15" spans="2:17">
      <c r="B15" s="22"/>
      <c r="C15" s="18"/>
      <c r="E15" s="17"/>
      <c r="G15" s="445"/>
      <c r="H15" s="18"/>
      <c r="I15" s="16" t="s">
        <v>498</v>
      </c>
      <c r="J15" s="18"/>
      <c r="K15" s="223"/>
      <c r="L15" s="462">
        <v>19</v>
      </c>
      <c r="N15" s="16" t="s">
        <v>498</v>
      </c>
      <c r="O15" s="18"/>
      <c r="P15" s="18"/>
      <c r="Q15" s="678">
        <v>0.06</v>
      </c>
    </row>
    <row r="16" spans="2:17">
      <c r="B16" s="22"/>
      <c r="C16" s="18"/>
      <c r="E16" s="17"/>
      <c r="G16" s="445"/>
      <c r="H16" s="18"/>
      <c r="I16" s="16" t="s">
        <v>499</v>
      </c>
      <c r="J16" s="18"/>
      <c r="K16" s="223"/>
      <c r="L16" s="462">
        <v>17</v>
      </c>
      <c r="N16" s="16" t="s">
        <v>499</v>
      </c>
      <c r="O16" s="18"/>
      <c r="P16" s="18"/>
      <c r="Q16" s="678">
        <v>0.05</v>
      </c>
    </row>
    <row r="17" spans="2:17">
      <c r="B17" s="22"/>
      <c r="C17" s="18"/>
      <c r="E17" s="17"/>
      <c r="G17" s="445"/>
      <c r="H17" s="18"/>
      <c r="I17" s="18"/>
      <c r="J17" s="18"/>
      <c r="K17" s="223"/>
      <c r="L17" s="680"/>
      <c r="N17" s="18"/>
      <c r="O17" s="18"/>
      <c r="P17" s="18"/>
      <c r="Q17" s="311"/>
    </row>
    <row r="18" spans="2:17">
      <c r="B18" s="22"/>
      <c r="C18" s="18"/>
      <c r="E18" s="17"/>
      <c r="G18" s="445"/>
      <c r="H18" s="18"/>
      <c r="I18" s="18"/>
      <c r="J18" s="18"/>
      <c r="K18" s="223"/>
      <c r="L18" s="680"/>
      <c r="N18" s="18"/>
      <c r="O18" s="18"/>
      <c r="P18" s="18"/>
      <c r="Q18" s="311"/>
    </row>
    <row r="19" spans="2:17">
      <c r="B19" s="22"/>
      <c r="C19" s="18"/>
      <c r="E19" s="17"/>
      <c r="G19" s="21"/>
      <c r="H19" s="18"/>
      <c r="I19" s="18" t="s">
        <v>208</v>
      </c>
      <c r="J19" s="18"/>
      <c r="K19" s="18"/>
      <c r="L19" s="451">
        <f>L13*O79</f>
        <v>198833.85937313625</v>
      </c>
      <c r="N19" s="18" t="s">
        <v>208</v>
      </c>
      <c r="O19" s="18"/>
      <c r="P19" s="18"/>
      <c r="Q19" s="679">
        <f>O77*(1+Q13)/(DiscountRate-Q13)</f>
        <v>190009.81008699344</v>
      </c>
    </row>
    <row r="20" spans="2:17">
      <c r="B20" s="22"/>
      <c r="C20" s="130" t="s">
        <v>162</v>
      </c>
      <c r="D20" s="129"/>
      <c r="E20" s="131"/>
      <c r="F20" s="129"/>
      <c r="G20" s="206">
        <f>G9*G10</f>
        <v>144723.42000000001</v>
      </c>
      <c r="H20" s="18"/>
      <c r="I20" s="18" t="s">
        <v>209</v>
      </c>
      <c r="J20" s="18"/>
      <c r="K20" s="18"/>
      <c r="L20" s="450">
        <f>(L19*DiscountRate-O77)/(L19+O77)</f>
        <v>6.2383195610594029E-2</v>
      </c>
      <c r="N20" s="18" t="s">
        <v>210</v>
      </c>
      <c r="O20" s="18"/>
      <c r="P20" s="18"/>
      <c r="Q20" s="154">
        <f>Q19/O79</f>
        <v>18.156798862299986</v>
      </c>
    </row>
    <row r="21" spans="2:17">
      <c r="B21" s="22"/>
      <c r="C21" s="132" t="s">
        <v>163</v>
      </c>
      <c r="E21" s="17"/>
      <c r="G21" s="246">
        <v>-6132</v>
      </c>
      <c r="H21" s="18"/>
      <c r="I21" s="18"/>
      <c r="J21" s="18"/>
      <c r="K21" s="18"/>
      <c r="L21" s="18"/>
      <c r="N21" s="18"/>
      <c r="O21" s="18"/>
      <c r="P21" s="18"/>
      <c r="Q21" s="18"/>
    </row>
    <row r="22" spans="2:17">
      <c r="B22" s="22"/>
      <c r="C22" s="132" t="s">
        <v>164</v>
      </c>
      <c r="E22" s="17"/>
      <c r="G22" s="246">
        <v>0</v>
      </c>
      <c r="H22" s="18"/>
      <c r="I22" s="132" t="s">
        <v>211</v>
      </c>
      <c r="J22" s="18"/>
      <c r="K22" s="223"/>
      <c r="L22" s="453">
        <f>L19/((1+DiscountRate)^5)</f>
        <v>114637.55091372122</v>
      </c>
      <c r="N22" s="132" t="s">
        <v>211</v>
      </c>
      <c r="O22" s="18"/>
      <c r="P22" s="223"/>
      <c r="Q22" s="456">
        <f>Q19/((1+DiscountRate)^5)</f>
        <v>109550.05021090053</v>
      </c>
    </row>
    <row r="23" spans="2:17">
      <c r="B23" s="22"/>
      <c r="C23" s="132" t="s">
        <v>165</v>
      </c>
      <c r="E23" s="17"/>
      <c r="G23" s="246">
        <v>5461</v>
      </c>
      <c r="H23" s="18"/>
      <c r="I23" s="224" t="s">
        <v>212</v>
      </c>
      <c r="J23" s="225"/>
      <c r="K23" s="225"/>
      <c r="L23" s="454">
        <f>NPV(DiscountRate,$K$77:$O$77)</f>
        <v>35884.189619420278</v>
      </c>
      <c r="N23" s="224" t="s">
        <v>212</v>
      </c>
      <c r="O23" s="225"/>
      <c r="P23" s="225"/>
      <c r="Q23" s="457">
        <f>NPV(DiscountRate,$K$77:$O$77)</f>
        <v>35884.189619420278</v>
      </c>
    </row>
    <row r="24" spans="2:17">
      <c r="B24" s="22"/>
      <c r="C24" s="132" t="s">
        <v>166</v>
      </c>
      <c r="E24" s="17"/>
      <c r="G24" s="246">
        <v>0</v>
      </c>
      <c r="H24" s="18"/>
      <c r="I24" s="226" t="s">
        <v>213</v>
      </c>
      <c r="J24" s="128"/>
      <c r="K24" s="128"/>
      <c r="L24" s="455">
        <f>SUM(L22:L23)</f>
        <v>150521.74053314151</v>
      </c>
      <c r="N24" s="226" t="s">
        <v>213</v>
      </c>
      <c r="O24" s="128"/>
      <c r="P24" s="128"/>
      <c r="Q24" s="455">
        <f>SUM(Q22:Q23)</f>
        <v>145434.23983032082</v>
      </c>
    </row>
    <row r="25" spans="2:17">
      <c r="B25" s="22"/>
      <c r="C25" s="132" t="s">
        <v>167</v>
      </c>
      <c r="E25" s="17"/>
      <c r="G25" s="246">
        <v>370</v>
      </c>
      <c r="H25" s="18"/>
      <c r="I25" s="132"/>
      <c r="J25" s="18"/>
      <c r="K25" s="18"/>
      <c r="L25" s="227"/>
      <c r="N25" s="132"/>
      <c r="O25" s="18"/>
      <c r="P25" s="18"/>
      <c r="Q25" s="227"/>
    </row>
    <row r="26" spans="2:17">
      <c r="B26" s="22"/>
      <c r="C26" s="132" t="s">
        <v>168</v>
      </c>
      <c r="E26" s="17"/>
      <c r="G26" s="246">
        <v>0</v>
      </c>
      <c r="H26" s="18"/>
      <c r="I26" s="228" t="s">
        <v>214</v>
      </c>
      <c r="J26" s="18"/>
      <c r="K26" s="18"/>
      <c r="L26" s="229">
        <f>L23/L22</f>
        <v>0.31302299581074894</v>
      </c>
      <c r="N26" s="228" t="s">
        <v>214</v>
      </c>
      <c r="O26" s="18"/>
      <c r="P26" s="18"/>
      <c r="Q26" s="229">
        <f>Q23/Q22</f>
        <v>0.3275597733669473</v>
      </c>
    </row>
    <row r="27" spans="2:17">
      <c r="B27" s="22"/>
      <c r="C27" s="132" t="s">
        <v>169</v>
      </c>
      <c r="E27" s="17"/>
      <c r="G27" s="246">
        <v>0</v>
      </c>
      <c r="H27" s="18"/>
      <c r="I27" s="18"/>
      <c r="J27" s="18"/>
      <c r="K27" s="18"/>
      <c r="L27" s="18"/>
      <c r="N27" s="18"/>
      <c r="O27" s="18"/>
      <c r="P27" s="18"/>
      <c r="Q27" s="18"/>
    </row>
    <row r="28" spans="2:17">
      <c r="B28" s="22"/>
      <c r="C28" s="133" t="s">
        <v>170</v>
      </c>
      <c r="D28" s="133"/>
      <c r="E28" s="133"/>
      <c r="F28" s="133"/>
      <c r="G28" s="205">
        <f>SUM(G20:G27)</f>
        <v>144422.42000000001</v>
      </c>
      <c r="H28" s="18"/>
      <c r="I28" s="18" t="s">
        <v>215</v>
      </c>
      <c r="J28" s="18"/>
      <c r="K28" s="18"/>
      <c r="L28" s="463">
        <f>-G21</f>
        <v>6132</v>
      </c>
      <c r="N28" s="18" t="s">
        <v>215</v>
      </c>
      <c r="O28" s="18"/>
      <c r="P28" s="18"/>
      <c r="Q28" s="463">
        <f>L28</f>
        <v>6132</v>
      </c>
    </row>
    <row r="29" spans="2:17">
      <c r="B29" s="22"/>
      <c r="C29" s="18"/>
      <c r="E29" s="17"/>
      <c r="G29" s="21"/>
      <c r="H29" s="18"/>
      <c r="I29" s="230" t="s">
        <v>216</v>
      </c>
      <c r="J29" s="18"/>
      <c r="K29" s="18"/>
      <c r="L29" s="463">
        <f t="shared" ref="L29:L34" si="0">-G22</f>
        <v>0</v>
      </c>
      <c r="N29" s="230" t="s">
        <v>216</v>
      </c>
      <c r="O29" s="18"/>
      <c r="P29" s="18"/>
      <c r="Q29" s="463">
        <f t="shared" ref="Q29:Q34" si="1">L29</f>
        <v>0</v>
      </c>
    </row>
    <row r="30" spans="2:17">
      <c r="B30" s="22"/>
      <c r="C30" s="18"/>
      <c r="E30" s="17"/>
      <c r="G30" s="21"/>
      <c r="H30" s="18"/>
      <c r="I30" s="230" t="s">
        <v>217</v>
      </c>
      <c r="J30" s="18"/>
      <c r="K30" s="18"/>
      <c r="L30" s="463">
        <f t="shared" si="0"/>
        <v>-5461</v>
      </c>
      <c r="N30" s="230" t="s">
        <v>217</v>
      </c>
      <c r="O30" s="18"/>
      <c r="P30" s="18"/>
      <c r="Q30" s="463">
        <f t="shared" si="1"/>
        <v>-5461</v>
      </c>
    </row>
    <row r="31" spans="2:17">
      <c r="B31" s="22"/>
      <c r="C31" s="18"/>
      <c r="E31" s="17"/>
      <c r="G31" s="21"/>
      <c r="H31" s="18"/>
      <c r="I31" s="230" t="s">
        <v>218</v>
      </c>
      <c r="J31" s="18"/>
      <c r="K31" s="18"/>
      <c r="L31" s="463">
        <f t="shared" si="0"/>
        <v>0</v>
      </c>
      <c r="N31" s="230" t="s">
        <v>218</v>
      </c>
      <c r="O31" s="18"/>
      <c r="P31" s="18"/>
      <c r="Q31" s="463">
        <f t="shared" si="1"/>
        <v>0</v>
      </c>
    </row>
    <row r="32" spans="2:17">
      <c r="B32" s="22"/>
      <c r="C32" s="18"/>
      <c r="E32" s="17"/>
      <c r="G32" s="21"/>
      <c r="H32" s="18"/>
      <c r="I32" s="230" t="s">
        <v>219</v>
      </c>
      <c r="J32" s="18"/>
      <c r="K32" s="18"/>
      <c r="L32" s="463">
        <f t="shared" si="0"/>
        <v>-370</v>
      </c>
      <c r="N32" s="230" t="s">
        <v>219</v>
      </c>
      <c r="O32" s="18"/>
      <c r="P32" s="18"/>
      <c r="Q32" s="463">
        <f t="shared" si="1"/>
        <v>-370</v>
      </c>
    </row>
    <row r="33" spans="2:20">
      <c r="B33" s="22"/>
      <c r="C33" s="18"/>
      <c r="E33" s="17"/>
      <c r="G33" s="21"/>
      <c r="H33" s="18"/>
      <c r="I33" s="230" t="s">
        <v>220</v>
      </c>
      <c r="J33" s="18"/>
      <c r="K33" s="18"/>
      <c r="L33" s="463">
        <f t="shared" si="0"/>
        <v>0</v>
      </c>
      <c r="N33" s="230" t="s">
        <v>220</v>
      </c>
      <c r="O33" s="18"/>
      <c r="P33" s="18"/>
      <c r="Q33" s="463">
        <f t="shared" si="1"/>
        <v>0</v>
      </c>
    </row>
    <row r="34" spans="2:20">
      <c r="B34" s="22"/>
      <c r="C34" s="18"/>
      <c r="E34" s="17"/>
      <c r="G34" s="21"/>
      <c r="H34" s="18"/>
      <c r="I34" s="230" t="s">
        <v>221</v>
      </c>
      <c r="J34" s="18"/>
      <c r="K34" s="18"/>
      <c r="L34" s="463">
        <f t="shared" si="0"/>
        <v>0</v>
      </c>
      <c r="N34" s="230" t="s">
        <v>221</v>
      </c>
      <c r="O34" s="18"/>
      <c r="P34" s="18"/>
      <c r="Q34" s="463">
        <f t="shared" si="1"/>
        <v>0</v>
      </c>
    </row>
    <row r="35" spans="2:20">
      <c r="B35" s="22"/>
      <c r="C35" s="18"/>
      <c r="E35" s="17"/>
      <c r="G35" s="21"/>
      <c r="H35" s="18"/>
      <c r="I35" s="132"/>
      <c r="J35" s="18"/>
      <c r="K35" s="18"/>
      <c r="L35" s="105"/>
      <c r="N35" s="132"/>
      <c r="O35" s="18"/>
      <c r="P35" s="18"/>
      <c r="Q35" s="227"/>
    </row>
    <row r="36" spans="2:20">
      <c r="B36" s="22"/>
      <c r="C36" s="18"/>
      <c r="E36" s="17"/>
      <c r="G36" s="21"/>
      <c r="H36" s="18"/>
      <c r="I36" s="231" t="s">
        <v>222</v>
      </c>
      <c r="J36" s="232"/>
      <c r="K36" s="232"/>
      <c r="L36" s="233">
        <f>L24+SUM(L28:L34)</f>
        <v>150822.74053314151</v>
      </c>
      <c r="N36" s="231" t="s">
        <v>222</v>
      </c>
      <c r="O36" s="232"/>
      <c r="P36" s="232"/>
      <c r="Q36" s="233">
        <f>SUM(Q24:Q35)</f>
        <v>145735.56739009419</v>
      </c>
    </row>
    <row r="37" spans="2:20">
      <c r="B37" s="22"/>
      <c r="C37" s="18"/>
      <c r="E37" s="17"/>
      <c r="G37" s="21"/>
      <c r="H37" s="18"/>
      <c r="I37" s="234"/>
      <c r="J37" s="18"/>
      <c r="K37" s="18"/>
      <c r="L37" s="235"/>
      <c r="N37" s="234"/>
      <c r="O37" s="18"/>
      <c r="P37" s="18"/>
      <c r="Q37" s="235"/>
    </row>
    <row r="38" spans="2:20">
      <c r="B38" s="22"/>
      <c r="C38" s="18"/>
      <c r="E38" s="17"/>
      <c r="G38" s="21"/>
      <c r="H38" s="18"/>
      <c r="I38" s="18" t="s">
        <v>6</v>
      </c>
      <c r="J38" s="18"/>
      <c r="K38" s="18"/>
      <c r="L38" s="452">
        <f>DilutedShares</f>
        <v>824.4</v>
      </c>
      <c r="N38" s="18" t="s">
        <v>6</v>
      </c>
      <c r="O38" s="18"/>
      <c r="P38" s="18"/>
      <c r="Q38" s="452">
        <f>DilutedShares</f>
        <v>824.4</v>
      </c>
    </row>
    <row r="39" spans="2:20">
      <c r="B39" s="22"/>
      <c r="C39" s="18"/>
      <c r="E39" s="17"/>
      <c r="G39" s="21"/>
      <c r="H39" s="18"/>
      <c r="I39" s="18"/>
      <c r="J39" s="18"/>
      <c r="K39" s="18"/>
      <c r="L39" s="65"/>
      <c r="N39" s="18"/>
      <c r="O39" s="18"/>
      <c r="P39" s="18"/>
      <c r="Q39" s="65"/>
    </row>
    <row r="40" spans="2:20">
      <c r="B40" s="22"/>
      <c r="C40" s="18"/>
      <c r="E40" s="17"/>
      <c r="G40" s="21"/>
      <c r="H40" s="18"/>
      <c r="I40" s="236" t="s">
        <v>223</v>
      </c>
      <c r="J40" s="237"/>
      <c r="K40" s="237"/>
      <c r="L40" s="238">
        <f>L36/L38</f>
        <v>182.94849652249093</v>
      </c>
      <c r="N40" s="236" t="s">
        <v>223</v>
      </c>
      <c r="O40" s="237"/>
      <c r="P40" s="237"/>
      <c r="Q40" s="238">
        <f>Q36/Q38</f>
        <v>176.77773822185128</v>
      </c>
    </row>
    <row r="41" spans="2:20">
      <c r="B41" s="22"/>
      <c r="C41" s="18"/>
      <c r="E41" s="17"/>
      <c r="G41" s="21"/>
      <c r="H41" s="18"/>
      <c r="I41" s="239" t="s">
        <v>224</v>
      </c>
      <c r="J41" s="240"/>
      <c r="K41" s="240"/>
      <c r="L41" s="241">
        <f>L40/DCF!G9-1</f>
        <v>4.2144668313818912E-2</v>
      </c>
      <c r="N41" s="239" t="s">
        <v>224</v>
      </c>
      <c r="O41" s="240"/>
      <c r="P41" s="240"/>
      <c r="Q41" s="241">
        <f>Q40/G9-1</f>
        <v>6.993666886079497E-3</v>
      </c>
    </row>
    <row r="42" spans="2:20">
      <c r="B42" s="22"/>
      <c r="C42" s="18"/>
      <c r="E42" s="17"/>
      <c r="G42" s="21"/>
      <c r="H42" s="18"/>
      <c r="I42" s="22"/>
    </row>
    <row r="43" spans="2:20">
      <c r="B43" s="22"/>
      <c r="C43" s="18"/>
      <c r="E43" s="17"/>
      <c r="G43" s="21"/>
      <c r="H43" s="18"/>
      <c r="I43" s="22"/>
    </row>
    <row r="44" spans="2:20">
      <c r="B44" s="22"/>
      <c r="C44" s="18"/>
      <c r="E44" s="17"/>
      <c r="G44" s="21"/>
      <c r="H44" s="18"/>
      <c r="I44" s="22"/>
    </row>
    <row r="45" spans="2:20">
      <c r="B45" s="42"/>
      <c r="C45" s="42"/>
      <c r="D45" s="42"/>
      <c r="E45" s="42"/>
      <c r="F45" s="42"/>
      <c r="G45" s="14"/>
      <c r="H45" s="47"/>
      <c r="I45" s="47"/>
      <c r="J45" s="47"/>
      <c r="K45" s="48"/>
      <c r="L45" s="47"/>
      <c r="M45" s="14"/>
      <c r="N45" s="47"/>
      <c r="O45" s="42"/>
      <c r="P45" s="42"/>
    </row>
    <row r="46" spans="2:20">
      <c r="B46" s="15" t="s">
        <v>161</v>
      </c>
      <c r="C46" s="42"/>
      <c r="D46" s="42"/>
      <c r="E46" s="1" t="s">
        <v>15</v>
      </c>
      <c r="F46" s="1">
        <f>EOMONTH(G46,-12)</f>
        <v>43496</v>
      </c>
      <c r="G46" s="1">
        <f>EOMONTH(H46,-12)</f>
        <v>43861</v>
      </c>
      <c r="H46" s="1">
        <v>44227</v>
      </c>
      <c r="I46" s="1">
        <v>44592</v>
      </c>
      <c r="J46" s="1">
        <v>44957</v>
      </c>
      <c r="K46" s="2">
        <v>45322</v>
      </c>
      <c r="L46" s="1">
        <v>45688</v>
      </c>
      <c r="M46" s="1">
        <v>46053</v>
      </c>
      <c r="N46" s="1">
        <v>46418</v>
      </c>
      <c r="O46" s="1">
        <f>O3</f>
        <v>46783</v>
      </c>
      <c r="P46" s="1">
        <f>P3</f>
        <v>47149</v>
      </c>
    </row>
    <row r="47" spans="2:20">
      <c r="C47" s="31"/>
      <c r="E47" s="41"/>
      <c r="F47" s="125"/>
      <c r="G47" s="125"/>
      <c r="H47" s="125"/>
      <c r="I47" s="125"/>
      <c r="J47" s="125"/>
      <c r="K47" s="81"/>
      <c r="L47" s="81"/>
      <c r="M47" s="81"/>
      <c r="N47" s="81"/>
      <c r="O47" s="81"/>
      <c r="P47" s="81"/>
    </row>
    <row r="48" spans="2:20">
      <c r="C48" s="45" t="s">
        <v>155</v>
      </c>
      <c r="E48" s="40" t="s">
        <v>54</v>
      </c>
      <c r="F48" s="125">
        <f>Model!F127-Model!F141</f>
        <v>8455</v>
      </c>
      <c r="G48" s="125">
        <f>Model!G127-Model!G141</f>
        <v>12943</v>
      </c>
      <c r="H48" s="125">
        <f>Model!H127-Model!H141</f>
        <v>14480</v>
      </c>
      <c r="I48" s="125">
        <f>Model!I127-Model!I141</f>
        <v>9919</v>
      </c>
      <c r="J48" s="125">
        <f>Model!J127-Model!J141</f>
        <v>16696</v>
      </c>
      <c r="K48" s="125">
        <f>Model!K127-Model!K141</f>
        <v>18663.754915683428</v>
      </c>
      <c r="L48" s="125">
        <f>Model!L127-Model!L141</f>
        <v>22633.06497326614</v>
      </c>
      <c r="M48" s="125">
        <f>Model!M127-Model!M141</f>
        <v>26296.741176701384</v>
      </c>
      <c r="N48" s="125">
        <f>Model!N127-Model!N141</f>
        <v>28640.741452362774</v>
      </c>
      <c r="O48" s="125">
        <f>Model!O127-Model!O141</f>
        <v>30724.390534450809</v>
      </c>
      <c r="P48" s="125">
        <f>Model!P127-Model!P141</f>
        <v>32377.513222936213</v>
      </c>
      <c r="Q48" s="318"/>
      <c r="R48" s="318"/>
      <c r="S48" s="318"/>
      <c r="T48" s="318"/>
    </row>
    <row r="49" spans="2:20">
      <c r="C49" s="45" t="s">
        <v>156</v>
      </c>
      <c r="E49" s="40" t="s">
        <v>54</v>
      </c>
      <c r="F49" s="203">
        <v>1776</v>
      </c>
      <c r="G49" s="202">
        <v>4488</v>
      </c>
      <c r="H49" s="202">
        <v>1537</v>
      </c>
      <c r="I49" s="202">
        <v>-4561</v>
      </c>
      <c r="J49" s="202">
        <v>6777</v>
      </c>
      <c r="K49" s="202">
        <v>3272.3274123646843</v>
      </c>
      <c r="L49" s="202">
        <v>2649.4453574752915</v>
      </c>
      <c r="M49" s="202">
        <v>3659.3473076932496</v>
      </c>
      <c r="N49" s="202">
        <v>2286.2725043129794</v>
      </c>
      <c r="O49" s="202">
        <v>1934.318709059411</v>
      </c>
      <c r="P49" s="202">
        <v>1934.318709059411</v>
      </c>
      <c r="Q49" s="202"/>
      <c r="R49" s="202"/>
      <c r="S49" s="202"/>
      <c r="T49" s="202"/>
    </row>
    <row r="50" spans="2:20">
      <c r="C50" s="31"/>
      <c r="E50" s="41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</row>
    <row r="51" spans="2:20">
      <c r="C51" s="45" t="s">
        <v>160</v>
      </c>
      <c r="E51" s="41" t="s">
        <v>9</v>
      </c>
      <c r="F51" s="81">
        <f>-F64/F62</f>
        <v>0.16805970149253732</v>
      </c>
      <c r="G51" s="81">
        <f t="shared" ref="G51:O51" si="2">-G64/G62</f>
        <v>0.12530990795576502</v>
      </c>
      <c r="H51" s="81">
        <f t="shared" si="2"/>
        <v>0.1281690130267765</v>
      </c>
      <c r="I51" s="81">
        <f t="shared" si="2"/>
        <v>0.13790237854840831</v>
      </c>
      <c r="J51" s="81">
        <f t="shared" si="2"/>
        <v>0.11235913382306192</v>
      </c>
      <c r="K51" s="81">
        <f t="shared" si="2"/>
        <v>0.12393503495217663</v>
      </c>
      <c r="L51" s="81">
        <f t="shared" si="2"/>
        <v>0.12553736979761296</v>
      </c>
      <c r="M51" s="81">
        <f t="shared" si="2"/>
        <v>0.12558182968554318</v>
      </c>
      <c r="N51" s="81">
        <f t="shared" si="2"/>
        <v>0.12506316999543945</v>
      </c>
      <c r="O51" s="81">
        <f t="shared" si="2"/>
        <v>0.12249500513553443</v>
      </c>
      <c r="P51" s="81">
        <f t="shared" ref="P51" si="3">-P64/P62</f>
        <v>0.12452220486533963</v>
      </c>
    </row>
    <row r="53" spans="2:20">
      <c r="B53" s="42"/>
      <c r="C53" s="42"/>
      <c r="D53" s="42"/>
      <c r="E53" s="42"/>
      <c r="F53" s="42"/>
      <c r="G53" s="14"/>
      <c r="H53" s="47"/>
      <c r="I53" s="47"/>
      <c r="J53" s="47"/>
      <c r="K53" s="48"/>
      <c r="L53" s="47"/>
      <c r="M53" s="14"/>
      <c r="N53" s="47"/>
      <c r="O53" s="42"/>
      <c r="P53" s="42"/>
    </row>
    <row r="54" spans="2:20">
      <c r="B54" s="15" t="s">
        <v>117</v>
      </c>
      <c r="C54" s="42"/>
      <c r="D54" s="42"/>
      <c r="E54" s="1" t="s">
        <v>15</v>
      </c>
      <c r="F54" s="200">
        <f>EOMONTH(G54,-12)</f>
        <v>43496</v>
      </c>
      <c r="G54" s="200">
        <f>EOMONTH(H54,-12)</f>
        <v>43861</v>
      </c>
      <c r="H54" s="200">
        <v>44227</v>
      </c>
      <c r="I54" s="200">
        <v>44592</v>
      </c>
      <c r="J54" s="200">
        <v>44957</v>
      </c>
      <c r="K54" s="201">
        <v>45322</v>
      </c>
      <c r="L54" s="200">
        <v>45688</v>
      </c>
      <c r="M54" s="200">
        <v>46053</v>
      </c>
      <c r="N54" s="200">
        <v>46418</v>
      </c>
      <c r="O54" s="200">
        <f>O46</f>
        <v>46783</v>
      </c>
      <c r="P54" s="200">
        <f>P46</f>
        <v>47149</v>
      </c>
    </row>
    <row r="56" spans="2:20">
      <c r="C56" s="43" t="s">
        <v>17</v>
      </c>
      <c r="D56" s="43"/>
      <c r="E56" s="43"/>
      <c r="F56" s="39">
        <f>Model!F83</f>
        <v>14608</v>
      </c>
      <c r="G56" s="39">
        <f>Model!G83</f>
        <v>17202</v>
      </c>
      <c r="H56" s="39">
        <f>Model!H83</f>
        <v>23063</v>
      </c>
      <c r="I56" s="39">
        <f>Model!I83</f>
        <v>25785</v>
      </c>
      <c r="J56" s="39">
        <f>Model!J83</f>
        <v>26517</v>
      </c>
      <c r="K56" s="39">
        <f>Model!K83</f>
        <v>27176</v>
      </c>
      <c r="L56" s="39">
        <f>Model!L83</f>
        <v>28207.022910228687</v>
      </c>
      <c r="M56" s="39">
        <f>Model!M83</f>
        <v>29577.653506353243</v>
      </c>
      <c r="N56" s="39">
        <f>Model!N83</f>
        <v>31316.528779159173</v>
      </c>
      <c r="O56" s="39">
        <f>Model!O83</f>
        <v>33497.173884528573</v>
      </c>
      <c r="P56" s="39">
        <f>Model!P83</f>
        <v>36167.54199523943</v>
      </c>
    </row>
    <row r="57" spans="2:20">
      <c r="C57" s="80" t="s">
        <v>125</v>
      </c>
      <c r="D57" s="43"/>
      <c r="E57" s="43"/>
      <c r="F57" s="39"/>
      <c r="G57" s="81">
        <f>G56/F56-1</f>
        <v>0.17757393209200445</v>
      </c>
      <c r="H57" s="81">
        <f t="shared" ref="H57:P57" si="4">H56/G56-1</f>
        <v>0.34071619579118706</v>
      </c>
      <c r="I57" s="81">
        <f t="shared" si="4"/>
        <v>0.11802454147335562</v>
      </c>
      <c r="J57" s="81">
        <f t="shared" si="4"/>
        <v>2.8388598022105915E-2</v>
      </c>
      <c r="K57" s="81">
        <f t="shared" si="4"/>
        <v>2.4851981747558094E-2</v>
      </c>
      <c r="L57" s="81">
        <f t="shared" si="4"/>
        <v>3.7938729401997495E-2</v>
      </c>
      <c r="M57" s="81">
        <f t="shared" si="4"/>
        <v>4.8591820572015276E-2</v>
      </c>
      <c r="N57" s="81">
        <f t="shared" si="4"/>
        <v>5.8790169829814998E-2</v>
      </c>
      <c r="O57" s="81">
        <f t="shared" si="4"/>
        <v>6.9632401494657215E-2</v>
      </c>
      <c r="P57" s="81">
        <f t="shared" si="4"/>
        <v>7.971920616097794E-2</v>
      </c>
    </row>
    <row r="59" spans="2:20">
      <c r="C59" s="45" t="s">
        <v>50</v>
      </c>
      <c r="E59" s="40" t="s">
        <v>54</v>
      </c>
      <c r="F59" s="202">
        <f>Model!F85</f>
        <v>-8222</v>
      </c>
      <c r="G59" s="202">
        <f>Model!G85</f>
        <v>-9510</v>
      </c>
      <c r="H59" s="202">
        <f>Model!H85</f>
        <v>-12149</v>
      </c>
      <c r="I59" s="202">
        <f>Model!I85</f>
        <v>-13792</v>
      </c>
      <c r="J59" s="202">
        <f>Model!J85</f>
        <v>-14133</v>
      </c>
      <c r="K59" s="202">
        <f>Model!K85</f>
        <v>-14279</v>
      </c>
      <c r="L59" s="202">
        <f>Model!L85</f>
        <v>-15033.746456622623</v>
      </c>
      <c r="M59" s="202">
        <f>Model!M85</f>
        <v>-15764.263566967998</v>
      </c>
      <c r="N59" s="202">
        <f>Model!N85</f>
        <v>-16691.047299312013</v>
      </c>
      <c r="O59" s="202">
        <f>Model!O85</f>
        <v>-17853.285006224021</v>
      </c>
      <c r="P59" s="202">
        <f>Model!P85</f>
        <v>-19276.534714285888</v>
      </c>
    </row>
    <row r="60" spans="2:20">
      <c r="C60" s="45" t="s">
        <v>118</v>
      </c>
      <c r="E60" s="40" t="s">
        <v>54</v>
      </c>
      <c r="F60" s="65">
        <f>Model!F94</f>
        <v>-3036</v>
      </c>
      <c r="G60" s="65">
        <f>Model!G94</f>
        <v>-3327</v>
      </c>
      <c r="H60" s="65">
        <f>Model!H94</f>
        <v>-4025</v>
      </c>
      <c r="I60" s="65">
        <f>Model!I94</f>
        <v>-4205</v>
      </c>
      <c r="J60" s="65">
        <f>Model!J94</f>
        <v>-4730</v>
      </c>
      <c r="K60" s="65">
        <f>Model!K94</f>
        <v>-5030</v>
      </c>
      <c r="L60" s="65">
        <f>Model!L94</f>
        <v>-5112.303507431423</v>
      </c>
      <c r="M60" s="65">
        <f>Model!M94</f>
        <v>-5360.7196421742165</v>
      </c>
      <c r="N60" s="65">
        <f>Model!N94</f>
        <v>-5675.8772603476627</v>
      </c>
      <c r="O60" s="65">
        <f>Model!O94</f>
        <v>-6071.1022245745871</v>
      </c>
      <c r="P60" s="65">
        <f>Model!P94</f>
        <v>-6555.0856744398197</v>
      </c>
    </row>
    <row r="62" spans="2:20">
      <c r="C62" s="43" t="s">
        <v>119</v>
      </c>
      <c r="E62" s="41" t="s">
        <v>54</v>
      </c>
      <c r="F62" s="39">
        <f>SUM(F56:F60)</f>
        <v>3350</v>
      </c>
      <c r="G62" s="39">
        <f t="shared" ref="G62:O62" si="5">SUM(G56:G60)</f>
        <v>4365.177573932091</v>
      </c>
      <c r="H62" s="39">
        <f t="shared" si="5"/>
        <v>6889.3407161957912</v>
      </c>
      <c r="I62" s="39">
        <f t="shared" si="5"/>
        <v>7788.1180245414726</v>
      </c>
      <c r="J62" s="39">
        <f t="shared" si="5"/>
        <v>7654.0283885980207</v>
      </c>
      <c r="K62" s="39">
        <f t="shared" si="5"/>
        <v>7867.0248519817469</v>
      </c>
      <c r="L62" s="39">
        <f t="shared" si="5"/>
        <v>8061.0108849040425</v>
      </c>
      <c r="M62" s="39">
        <f t="shared" si="5"/>
        <v>8452.7188890315992</v>
      </c>
      <c r="N62" s="39">
        <f t="shared" si="5"/>
        <v>8949.6630096693279</v>
      </c>
      <c r="O62" s="39">
        <f t="shared" si="5"/>
        <v>9572.8562861314567</v>
      </c>
      <c r="P62" s="39">
        <f t="shared" ref="P62" si="6">SUM(P56:P60)</f>
        <v>10336.001325719881</v>
      </c>
    </row>
    <row r="64" spans="2:20">
      <c r="C64" s="18" t="s">
        <v>120</v>
      </c>
      <c r="E64" s="40" t="s">
        <v>54</v>
      </c>
      <c r="F64" s="203">
        <v>-563</v>
      </c>
      <c r="G64" s="203">
        <v>-547</v>
      </c>
      <c r="H64" s="203">
        <v>-883</v>
      </c>
      <c r="I64" s="203">
        <v>-1074</v>
      </c>
      <c r="J64" s="203">
        <v>-860</v>
      </c>
      <c r="K64" s="65">
        <f>Model!K100</f>
        <v>-975</v>
      </c>
      <c r="L64" s="65">
        <f>Model!L100</f>
        <v>-1011.9581044007821</v>
      </c>
      <c r="M64" s="65">
        <f>Model!M100</f>
        <v>-1061.50790390214</v>
      </c>
      <c r="N64" s="65">
        <f>Model!N100</f>
        <v>-1119.2732263801715</v>
      </c>
      <c r="O64" s="65">
        <f>Model!O100</f>
        <v>-1172.6270799314059</v>
      </c>
      <c r="P64" s="65">
        <f>Model!P100</f>
        <v>-1287.061674569713</v>
      </c>
    </row>
    <row r="66" spans="3:20">
      <c r="C66" s="100" t="s">
        <v>121</v>
      </c>
      <c r="E66" s="41" t="s">
        <v>54</v>
      </c>
      <c r="F66" s="39">
        <f>SUM(F62:F64)</f>
        <v>2787</v>
      </c>
      <c r="G66" s="39">
        <f t="shared" ref="G66:O66" si="7">SUM(G62:G64)</f>
        <v>3818.177573932091</v>
      </c>
      <c r="H66" s="39">
        <f t="shared" si="7"/>
        <v>6006.3407161957912</v>
      </c>
      <c r="I66" s="39">
        <f t="shared" si="7"/>
        <v>6714.1180245414726</v>
      </c>
      <c r="J66" s="39">
        <f t="shared" si="7"/>
        <v>6794.0283885980207</v>
      </c>
      <c r="K66" s="39">
        <f t="shared" si="7"/>
        <v>6892.0248519817469</v>
      </c>
      <c r="L66" s="39">
        <f t="shared" si="7"/>
        <v>7049.0527805032607</v>
      </c>
      <c r="M66" s="39">
        <f t="shared" si="7"/>
        <v>7391.210985129459</v>
      </c>
      <c r="N66" s="39">
        <f t="shared" si="7"/>
        <v>7830.3897832891562</v>
      </c>
      <c r="O66" s="39">
        <f t="shared" si="7"/>
        <v>8400.2292062000506</v>
      </c>
      <c r="P66" s="39">
        <f t="shared" ref="P66" si="8">SUM(P62:P64)</f>
        <v>9048.9396511501673</v>
      </c>
    </row>
    <row r="68" spans="3:20">
      <c r="C68" s="100" t="s">
        <v>122</v>
      </c>
      <c r="E68" s="41"/>
    </row>
    <row r="69" spans="3:20">
      <c r="C69" s="37" t="s">
        <v>56</v>
      </c>
      <c r="E69" s="40" t="s">
        <v>54</v>
      </c>
      <c r="F69" s="65">
        <f>Model!F161</f>
        <v>363</v>
      </c>
      <c r="G69" s="65">
        <f>Model!G161</f>
        <v>376</v>
      </c>
      <c r="H69" s="65">
        <f>Model!H161</f>
        <v>394</v>
      </c>
      <c r="I69" s="65">
        <f>Model!I161</f>
        <v>444</v>
      </c>
      <c r="J69" s="65">
        <f>Model!J161</f>
        <v>515</v>
      </c>
      <c r="K69" s="65">
        <f>Model!K161</f>
        <v>392</v>
      </c>
      <c r="L69" s="65">
        <f>Model!L161</f>
        <v>686.9816922155477</v>
      </c>
      <c r="M69" s="65">
        <f>Model!M161</f>
        <v>749.46993591619969</v>
      </c>
      <c r="N69" s="65">
        <f>Model!N161</f>
        <v>817.47749215279384</v>
      </c>
      <c r="O69" s="65">
        <f>Model!O161</f>
        <v>892.0836808757133</v>
      </c>
      <c r="P69" s="65">
        <f>Model!P161</f>
        <v>879.81317138917109</v>
      </c>
    </row>
    <row r="71" spans="3:20">
      <c r="C71" s="268" t="s">
        <v>123</v>
      </c>
      <c r="E71" s="40" t="s">
        <v>54</v>
      </c>
      <c r="F71" s="65">
        <f>Model!F162</f>
        <v>49</v>
      </c>
      <c r="G71" s="65">
        <f>Model!G162</f>
        <v>-192</v>
      </c>
      <c r="H71" s="65">
        <f>Model!H162</f>
        <v>77</v>
      </c>
      <c r="I71" s="65">
        <f>Model!I162</f>
        <v>-329</v>
      </c>
      <c r="J71" s="65">
        <f>Model!J162</f>
        <v>-77</v>
      </c>
      <c r="K71" s="65">
        <f>Model!K162</f>
        <v>-530</v>
      </c>
      <c r="L71" s="65">
        <f>Model!L162</f>
        <v>825.43816718170501</v>
      </c>
      <c r="M71" s="65">
        <f>Model!M162</f>
        <v>186.12608737356777</v>
      </c>
      <c r="N71" s="65">
        <f>Model!N162</f>
        <v>191.44401869517674</v>
      </c>
      <c r="O71" s="65">
        <f>Model!O162</f>
        <v>204.13303252312176</v>
      </c>
      <c r="P71" s="65">
        <f>Model!P162</f>
        <v>228.15701441685155</v>
      </c>
    </row>
    <row r="72" spans="3:20">
      <c r="C72" s="268"/>
    </row>
    <row r="73" spans="3:20">
      <c r="C73" s="268" t="s">
        <v>124</v>
      </c>
      <c r="E73" s="40" t="s">
        <v>54</v>
      </c>
      <c r="F73" s="66">
        <f>F49</f>
        <v>1776</v>
      </c>
      <c r="G73" s="66">
        <f t="shared" ref="G73:O73" si="9">G49</f>
        <v>4488</v>
      </c>
      <c r="H73" s="66">
        <f t="shared" si="9"/>
        <v>1537</v>
      </c>
      <c r="I73" s="66">
        <f t="shared" si="9"/>
        <v>-4561</v>
      </c>
      <c r="J73" s="66">
        <f t="shared" si="9"/>
        <v>6777</v>
      </c>
      <c r="K73" s="66">
        <f t="shared" si="9"/>
        <v>3272.3274123646843</v>
      </c>
      <c r="L73" s="66">
        <f t="shared" si="9"/>
        <v>2649.4453574752915</v>
      </c>
      <c r="M73" s="66">
        <f t="shared" si="9"/>
        <v>3659.3473076932496</v>
      </c>
      <c r="N73" s="66">
        <f t="shared" si="9"/>
        <v>2286.2725043129794</v>
      </c>
      <c r="O73" s="66">
        <f t="shared" si="9"/>
        <v>1934.318709059411</v>
      </c>
      <c r="P73" s="66">
        <f t="shared" ref="P73" si="10">P49</f>
        <v>1934.318709059411</v>
      </c>
    </row>
    <row r="74" spans="3:20">
      <c r="C74" s="268"/>
      <c r="K74" s="244"/>
      <c r="L74" s="244"/>
      <c r="M74" s="244"/>
      <c r="N74" s="244"/>
      <c r="O74" s="244"/>
      <c r="P74" s="244"/>
    </row>
    <row r="75" spans="3:20">
      <c r="C75" s="268" t="s">
        <v>157</v>
      </c>
      <c r="E75" s="40" t="s">
        <v>54</v>
      </c>
      <c r="F75" s="65">
        <f>Model!F172</f>
        <v>-441</v>
      </c>
      <c r="G75" s="65">
        <f>Model!G172</f>
        <v>-422</v>
      </c>
      <c r="H75" s="65">
        <f>Model!H172</f>
        <v>-668</v>
      </c>
      <c r="I75" s="65">
        <f>Model!I172</f>
        <v>-787</v>
      </c>
      <c r="J75" s="65">
        <f>Model!J172</f>
        <v>-1106</v>
      </c>
      <c r="K75" s="65">
        <f>Model!K172</f>
        <v>-1190</v>
      </c>
      <c r="L75" s="65">
        <f>Model!L172</f>
        <v>-1183.9098887935374</v>
      </c>
      <c r="M75" s="65">
        <f>Model!M172</f>
        <v>-1214.6346274723567</v>
      </c>
      <c r="N75" s="65">
        <f>Model!N172</f>
        <v>-1257.663817200892</v>
      </c>
      <c r="O75" s="65">
        <f>Model!O172</f>
        <v>-1314.882457942655</v>
      </c>
      <c r="P75" s="65">
        <f>Model!P172</f>
        <v>-1386.9284153126396</v>
      </c>
    </row>
    <row r="77" spans="3:20">
      <c r="C77" s="43" t="s">
        <v>158</v>
      </c>
      <c r="E77" s="41" t="s">
        <v>54</v>
      </c>
      <c r="F77" s="39">
        <f t="shared" ref="F77:O77" si="11">SUM(F66:F75)</f>
        <v>4534</v>
      </c>
      <c r="G77" s="39">
        <f t="shared" si="11"/>
        <v>8068.177573932091</v>
      </c>
      <c r="H77" s="39">
        <f t="shared" si="11"/>
        <v>7346.3407161957912</v>
      </c>
      <c r="I77" s="39">
        <f t="shared" si="11"/>
        <v>1481.1180245414726</v>
      </c>
      <c r="J77" s="39">
        <f t="shared" si="11"/>
        <v>12903.028388598021</v>
      </c>
      <c r="K77" s="39">
        <f t="shared" si="11"/>
        <v>8836.3522643464312</v>
      </c>
      <c r="L77" s="39">
        <f t="shared" si="11"/>
        <v>10027.008108582268</v>
      </c>
      <c r="M77" s="39">
        <f t="shared" si="11"/>
        <v>10771.519688640119</v>
      </c>
      <c r="N77" s="39">
        <f t="shared" si="11"/>
        <v>9867.9199812492134</v>
      </c>
      <c r="O77" s="39">
        <f t="shared" si="11"/>
        <v>10115.882170715642</v>
      </c>
      <c r="P77" s="39">
        <f t="shared" ref="P77" si="12">SUM(P66:P75)</f>
        <v>10704.300130702961</v>
      </c>
      <c r="Q77" s="39"/>
      <c r="R77" s="39"/>
      <c r="S77" s="39"/>
      <c r="T77" s="39"/>
    </row>
    <row r="79" spans="3:20">
      <c r="C79" s="43" t="s">
        <v>96</v>
      </c>
      <c r="E79" s="41" t="s">
        <v>54</v>
      </c>
      <c r="F79" s="39">
        <f>F62+F69</f>
        <v>3713</v>
      </c>
      <c r="G79" s="39">
        <f t="shared" ref="G79:O79" si="13">G62+G69</f>
        <v>4741.177573932091</v>
      </c>
      <c r="H79" s="39">
        <f t="shared" si="13"/>
        <v>7283.3407161957912</v>
      </c>
      <c r="I79" s="39">
        <f t="shared" si="13"/>
        <v>8232.1180245414726</v>
      </c>
      <c r="J79" s="39">
        <f t="shared" si="13"/>
        <v>8169.0283885980207</v>
      </c>
      <c r="K79" s="39">
        <f t="shared" si="13"/>
        <v>8259.0248519817469</v>
      </c>
      <c r="L79" s="39">
        <f t="shared" si="13"/>
        <v>8747.9925771195904</v>
      </c>
      <c r="M79" s="39">
        <f t="shared" si="13"/>
        <v>9202.1888249477997</v>
      </c>
      <c r="N79" s="39">
        <f t="shared" si="13"/>
        <v>9767.1405018221212</v>
      </c>
      <c r="O79" s="39">
        <f t="shared" si="13"/>
        <v>10464.939967007171</v>
      </c>
      <c r="P79" s="39">
        <f t="shared" ref="P79" si="14">P62+P69</f>
        <v>11215.814497109051</v>
      </c>
    </row>
    <row r="81" spans="2:19">
      <c r="B81" s="118" t="s">
        <v>159</v>
      </c>
      <c r="C81" s="118"/>
      <c r="D81" s="118"/>
      <c r="E81" s="118"/>
      <c r="F81" s="118"/>
      <c r="G81" s="127"/>
      <c r="H81" s="127"/>
      <c r="I81" s="127"/>
      <c r="J81" s="127"/>
      <c r="K81" s="127"/>
      <c r="L81" s="127"/>
      <c r="M81" s="127"/>
      <c r="N81" s="127"/>
      <c r="O81" s="127"/>
      <c r="P81" s="127"/>
      <c r="Q81" s="126"/>
      <c r="R81" s="126"/>
      <c r="S81" s="126"/>
    </row>
    <row r="83" spans="2:19">
      <c r="D83" s="248"/>
      <c r="E83" s="249"/>
      <c r="F83" s="249"/>
      <c r="G83" s="249"/>
      <c r="H83" s="249"/>
      <c r="I83" s="247"/>
      <c r="J83" s="250" t="s">
        <v>226</v>
      </c>
      <c r="K83" s="249"/>
      <c r="L83" s="249"/>
      <c r="M83" s="249"/>
      <c r="N83" s="249"/>
      <c r="O83" s="251"/>
    </row>
    <row r="84" spans="2:19">
      <c r="D84" s="252">
        <f>$L$40</f>
        <v>182.94849652249093</v>
      </c>
      <c r="E84" s="460">
        <v>0.1</v>
      </c>
      <c r="F84" s="461">
        <f>E84+0.002</f>
        <v>0.10200000000000001</v>
      </c>
      <c r="G84" s="461">
        <f t="shared" ref="G84:O84" si="15">F84+0.002</f>
        <v>0.10400000000000001</v>
      </c>
      <c r="H84" s="461">
        <f t="shared" si="15"/>
        <v>0.10600000000000001</v>
      </c>
      <c r="I84" s="461">
        <f t="shared" si="15"/>
        <v>0.10800000000000001</v>
      </c>
      <c r="J84" s="461">
        <f t="shared" si="15"/>
        <v>0.11000000000000001</v>
      </c>
      <c r="K84" s="461">
        <f t="shared" si="15"/>
        <v>0.11200000000000002</v>
      </c>
      <c r="L84" s="461">
        <f t="shared" si="15"/>
        <v>0.11400000000000002</v>
      </c>
      <c r="M84" s="461">
        <f t="shared" si="15"/>
        <v>0.11600000000000002</v>
      </c>
      <c r="N84" s="461">
        <f t="shared" si="15"/>
        <v>0.11800000000000002</v>
      </c>
      <c r="O84" s="461">
        <f t="shared" si="15"/>
        <v>0.12000000000000002</v>
      </c>
    </row>
    <row r="85" spans="2:19">
      <c r="D85" s="458">
        <v>24</v>
      </c>
      <c r="E85" s="253">
        <f t="dataTable" ref="E85:O95" dt2D="1" dtr="1" r1="G13" r2="L13"/>
        <v>182.94849652249093</v>
      </c>
      <c r="F85" s="253">
        <v>182.94849652249093</v>
      </c>
      <c r="G85" s="253">
        <v>182.94849652249093</v>
      </c>
      <c r="H85" s="253">
        <v>182.94849652249093</v>
      </c>
      <c r="I85" s="253">
        <v>182.94849652249093</v>
      </c>
      <c r="J85" s="258">
        <v>182.94849652249093</v>
      </c>
      <c r="K85" s="253">
        <v>182.94849652249093</v>
      </c>
      <c r="L85" s="253">
        <v>182.94849652249093</v>
      </c>
      <c r="M85" s="253">
        <v>182.94849652249093</v>
      </c>
      <c r="N85" s="253">
        <v>182.94849652249093</v>
      </c>
      <c r="O85" s="254">
        <v>182.94849652249093</v>
      </c>
    </row>
    <row r="86" spans="2:19">
      <c r="D86" s="459">
        <f>D85-1</f>
        <v>23</v>
      </c>
      <c r="E86" s="253">
        <v>182.94849652249093</v>
      </c>
      <c r="F86" s="253">
        <v>182.94849652249093</v>
      </c>
      <c r="G86" s="253">
        <v>182.94849652249093</v>
      </c>
      <c r="H86" s="253">
        <v>182.94849652249093</v>
      </c>
      <c r="I86" s="253">
        <v>182.94849652249093</v>
      </c>
      <c r="J86" s="258">
        <v>182.94849652249093</v>
      </c>
      <c r="K86" s="253">
        <v>182.94849652249093</v>
      </c>
      <c r="L86" s="253">
        <v>182.94849652249093</v>
      </c>
      <c r="M86" s="253">
        <v>182.94849652249093</v>
      </c>
      <c r="N86" s="253">
        <v>182.94849652249093</v>
      </c>
      <c r="O86" s="254">
        <v>182.94849652249093</v>
      </c>
    </row>
    <row r="87" spans="2:19">
      <c r="D87" s="459">
        <f t="shared" ref="D87:D95" si="16">D86-1</f>
        <v>22</v>
      </c>
      <c r="E87" s="253">
        <v>182.94849652249093</v>
      </c>
      <c r="F87" s="253">
        <v>182.94849652249093</v>
      </c>
      <c r="G87" s="253">
        <v>182.94849652249093</v>
      </c>
      <c r="H87" s="253">
        <v>182.94849652249093</v>
      </c>
      <c r="I87" s="253">
        <v>182.94849652249093</v>
      </c>
      <c r="J87" s="258">
        <v>182.94849652249093</v>
      </c>
      <c r="K87" s="253">
        <v>182.94849652249093</v>
      </c>
      <c r="L87" s="253">
        <v>182.94849652249093</v>
      </c>
      <c r="M87" s="253">
        <v>182.94849652249093</v>
      </c>
      <c r="N87" s="253">
        <v>182.94849652249093</v>
      </c>
      <c r="O87" s="254">
        <v>182.94849652249093</v>
      </c>
    </row>
    <row r="88" spans="2:19">
      <c r="D88" s="459">
        <f t="shared" si="16"/>
        <v>21</v>
      </c>
      <c r="E88" s="253">
        <v>182.94849652249093</v>
      </c>
      <c r="F88" s="253">
        <v>182.94849652249093</v>
      </c>
      <c r="G88" s="253">
        <v>182.94849652249093</v>
      </c>
      <c r="H88" s="253">
        <v>182.94849652249093</v>
      </c>
      <c r="I88" s="253">
        <v>182.94849652249093</v>
      </c>
      <c r="J88" s="258">
        <v>182.94849652249093</v>
      </c>
      <c r="K88" s="253">
        <v>182.94849652249093</v>
      </c>
      <c r="L88" s="253">
        <v>182.94849652249093</v>
      </c>
      <c r="M88" s="253">
        <v>182.94849652249093</v>
      </c>
      <c r="N88" s="253">
        <v>182.94849652249093</v>
      </c>
      <c r="O88" s="254">
        <v>182.94849652249093</v>
      </c>
    </row>
    <row r="89" spans="2:19" ht="18.5">
      <c r="C89" s="257" t="s">
        <v>225</v>
      </c>
      <c r="D89" s="459">
        <f t="shared" si="16"/>
        <v>20</v>
      </c>
      <c r="E89" s="253">
        <v>182.94849652249093</v>
      </c>
      <c r="F89" s="253">
        <v>182.94849652249093</v>
      </c>
      <c r="G89" s="253">
        <v>182.94849652249093</v>
      </c>
      <c r="H89" s="253">
        <v>182.94849652249093</v>
      </c>
      <c r="I89" s="253">
        <v>182.94849652249093</v>
      </c>
      <c r="J89" s="258">
        <v>182.94849652249093</v>
      </c>
      <c r="K89" s="253">
        <v>182.94849652249093</v>
      </c>
      <c r="L89" s="253">
        <v>182.94849652249093</v>
      </c>
      <c r="M89" s="253">
        <v>182.94849652249093</v>
      </c>
      <c r="N89" s="253">
        <v>182.94849652249093</v>
      </c>
      <c r="O89" s="254">
        <v>182.94849652249093</v>
      </c>
    </row>
    <row r="90" spans="2:19">
      <c r="D90" s="459">
        <f t="shared" si="16"/>
        <v>19</v>
      </c>
      <c r="E90" s="258">
        <v>182.94849652249093</v>
      </c>
      <c r="F90" s="258">
        <v>182.94849652249093</v>
      </c>
      <c r="G90" s="258">
        <v>182.94849652249093</v>
      </c>
      <c r="H90" s="258">
        <v>182.94849652249093</v>
      </c>
      <c r="I90" s="258">
        <v>182.94849652249093</v>
      </c>
      <c r="J90" s="258">
        <v>182.94849652249093</v>
      </c>
      <c r="K90" s="258">
        <v>182.94849652249093</v>
      </c>
      <c r="L90" s="258">
        <v>182.94849652249093</v>
      </c>
      <c r="M90" s="258">
        <v>182.94849652249093</v>
      </c>
      <c r="N90" s="258">
        <v>182.94849652249093</v>
      </c>
      <c r="O90" s="259">
        <v>182.94849652249093</v>
      </c>
    </row>
    <row r="91" spans="2:19">
      <c r="D91" s="459">
        <f t="shared" si="16"/>
        <v>18</v>
      </c>
      <c r="E91" s="253">
        <v>182.94849652249093</v>
      </c>
      <c r="F91" s="253">
        <v>182.94849652249093</v>
      </c>
      <c r="G91" s="253">
        <v>182.94849652249093</v>
      </c>
      <c r="H91" s="253">
        <v>182.94849652249093</v>
      </c>
      <c r="I91" s="253">
        <v>182.94849652249093</v>
      </c>
      <c r="J91" s="258">
        <v>182.94849652249093</v>
      </c>
      <c r="K91" s="253">
        <v>182.94849652249093</v>
      </c>
      <c r="L91" s="253">
        <v>182.94849652249093</v>
      </c>
      <c r="M91" s="253">
        <v>182.94849652249093</v>
      </c>
      <c r="N91" s="253">
        <v>182.94849652249093</v>
      </c>
      <c r="O91" s="254">
        <v>182.94849652249093</v>
      </c>
    </row>
    <row r="92" spans="2:19">
      <c r="D92" s="459">
        <f t="shared" si="16"/>
        <v>17</v>
      </c>
      <c r="E92" s="253">
        <v>182.94849652249093</v>
      </c>
      <c r="F92" s="253">
        <v>182.94849652249093</v>
      </c>
      <c r="G92" s="253">
        <v>182.94849652249093</v>
      </c>
      <c r="H92" s="253">
        <v>182.94849652249093</v>
      </c>
      <c r="I92" s="253">
        <v>182.94849652249093</v>
      </c>
      <c r="J92" s="258">
        <v>182.94849652249093</v>
      </c>
      <c r="K92" s="253">
        <v>182.94849652249093</v>
      </c>
      <c r="L92" s="253">
        <v>182.94849652249093</v>
      </c>
      <c r="M92" s="253">
        <v>182.94849652249093</v>
      </c>
      <c r="N92" s="253">
        <v>182.94849652249093</v>
      </c>
      <c r="O92" s="254">
        <v>182.94849652249093</v>
      </c>
    </row>
    <row r="93" spans="2:19">
      <c r="D93" s="459">
        <f t="shared" si="16"/>
        <v>16</v>
      </c>
      <c r="E93" s="253">
        <v>182.94849652249093</v>
      </c>
      <c r="F93" s="253">
        <v>182.94849652249093</v>
      </c>
      <c r="G93" s="253">
        <v>182.94849652249093</v>
      </c>
      <c r="H93" s="253">
        <v>182.94849652249093</v>
      </c>
      <c r="I93" s="253">
        <v>182.94849652249093</v>
      </c>
      <c r="J93" s="258">
        <v>182.94849652249093</v>
      </c>
      <c r="K93" s="253">
        <v>182.94849652249093</v>
      </c>
      <c r="L93" s="253">
        <v>182.94849652249093</v>
      </c>
      <c r="M93" s="253">
        <v>182.94849652249093</v>
      </c>
      <c r="N93" s="253">
        <v>182.94849652249093</v>
      </c>
      <c r="O93" s="254">
        <v>182.94849652249093</v>
      </c>
    </row>
    <row r="94" spans="2:19">
      <c r="D94" s="459">
        <f t="shared" si="16"/>
        <v>15</v>
      </c>
      <c r="E94" s="253">
        <v>182.94849652249093</v>
      </c>
      <c r="F94" s="253">
        <v>182.94849652249093</v>
      </c>
      <c r="G94" s="253">
        <v>182.94849652249093</v>
      </c>
      <c r="H94" s="253">
        <v>182.94849652249093</v>
      </c>
      <c r="I94" s="253">
        <v>182.94849652249093</v>
      </c>
      <c r="J94" s="258">
        <v>182.94849652249093</v>
      </c>
      <c r="K94" s="253">
        <v>182.94849652249093</v>
      </c>
      <c r="L94" s="253">
        <v>182.94849652249093</v>
      </c>
      <c r="M94" s="253">
        <v>182.94849652249093</v>
      </c>
      <c r="N94" s="253">
        <v>182.94849652249093</v>
      </c>
      <c r="O94" s="254">
        <v>182.94849652249093</v>
      </c>
    </row>
    <row r="95" spans="2:19">
      <c r="D95" s="459">
        <f t="shared" si="16"/>
        <v>14</v>
      </c>
      <c r="E95" s="255">
        <v>182.94849652249093</v>
      </c>
      <c r="F95" s="255">
        <v>182.94849652249093</v>
      </c>
      <c r="G95" s="255">
        <v>182.94849652249093</v>
      </c>
      <c r="H95" s="255">
        <v>182.94849652249093</v>
      </c>
      <c r="I95" s="255">
        <v>182.94849652249093</v>
      </c>
      <c r="J95" s="260">
        <v>182.94849652249093</v>
      </c>
      <c r="K95" s="255">
        <v>182.94849652249093</v>
      </c>
      <c r="L95" s="255">
        <v>182.94849652249093</v>
      </c>
      <c r="M95" s="255">
        <v>182.94849652249093</v>
      </c>
      <c r="N95" s="255">
        <v>182.94849652249093</v>
      </c>
      <c r="O95" s="256">
        <v>182.94849652249093</v>
      </c>
    </row>
    <row r="98" spans="3:15">
      <c r="D98" s="248"/>
      <c r="E98" s="249"/>
      <c r="F98" s="249"/>
      <c r="G98" s="249"/>
      <c r="H98" s="249"/>
      <c r="I98" s="247"/>
      <c r="J98" s="250" t="s">
        <v>226</v>
      </c>
      <c r="K98" s="249"/>
      <c r="L98" s="249"/>
      <c r="M98" s="249"/>
      <c r="N98" s="249"/>
      <c r="O98" s="251"/>
    </row>
    <row r="99" spans="3:15">
      <c r="D99" s="252">
        <f>$Q$40</f>
        <v>176.77773822185128</v>
      </c>
      <c r="E99" s="265">
        <v>0.1</v>
      </c>
      <c r="F99" s="263">
        <f>E99+0.2%</f>
        <v>0.10200000000000001</v>
      </c>
      <c r="G99" s="263">
        <f t="shared" ref="G99:O99" si="17">F99+0.2%</f>
        <v>0.10400000000000001</v>
      </c>
      <c r="H99" s="263">
        <f t="shared" si="17"/>
        <v>0.10600000000000001</v>
      </c>
      <c r="I99" s="263">
        <f t="shared" si="17"/>
        <v>0.10800000000000001</v>
      </c>
      <c r="J99" s="263">
        <f t="shared" si="17"/>
        <v>0.11000000000000001</v>
      </c>
      <c r="K99" s="263">
        <f t="shared" si="17"/>
        <v>0.11200000000000002</v>
      </c>
      <c r="L99" s="263">
        <f t="shared" si="17"/>
        <v>0.11400000000000002</v>
      </c>
      <c r="M99" s="263">
        <f t="shared" si="17"/>
        <v>0.11600000000000002</v>
      </c>
      <c r="N99" s="263">
        <f t="shared" si="17"/>
        <v>0.11800000000000002</v>
      </c>
      <c r="O99" s="264">
        <f t="shared" si="17"/>
        <v>0.12000000000000002</v>
      </c>
    </row>
    <row r="100" spans="3:15">
      <c r="D100" s="266">
        <v>7.4999999999999997E-2</v>
      </c>
      <c r="E100" s="253">
        <f t="dataTable" ref="E100:O110" dt2D="1" dtr="1" r1="G13" r2="Q13"/>
        <v>373.39281827313482</v>
      </c>
      <c r="F100" s="253">
        <v>346.14632813311329</v>
      </c>
      <c r="G100" s="253">
        <v>322.65506970548</v>
      </c>
      <c r="H100" s="253">
        <v>302.19225049374398</v>
      </c>
      <c r="I100" s="253">
        <v>284.2072698347061</v>
      </c>
      <c r="J100" s="258">
        <v>268.2753783782714</v>
      </c>
      <c r="K100" s="253">
        <v>254.06366422240646</v>
      </c>
      <c r="L100" s="253">
        <v>241.30750485267666</v>
      </c>
      <c r="M100" s="253">
        <v>229.79391119699517</v>
      </c>
      <c r="N100" s="253">
        <v>219.34951985109902</v>
      </c>
      <c r="O100" s="254">
        <v>209.83178737718973</v>
      </c>
    </row>
    <row r="101" spans="3:15">
      <c r="D101" s="261">
        <f>D100-0.3%</f>
        <v>7.1999999999999995E-2</v>
      </c>
      <c r="E101" s="253">
        <v>337.47433390317843</v>
      </c>
      <c r="F101" s="253">
        <v>315.33039356374383</v>
      </c>
      <c r="G101" s="253">
        <v>295.95192413165444</v>
      </c>
      <c r="H101" s="253">
        <v>278.85092455706791</v>
      </c>
      <c r="I101" s="253">
        <v>263.64783821523537</v>
      </c>
      <c r="J101" s="258">
        <v>250.04301490309001</v>
      </c>
      <c r="K101" s="253">
        <v>237.79673423681345</v>
      </c>
      <c r="L101" s="253">
        <v>226.71493665005451</v>
      </c>
      <c r="M101" s="253">
        <v>216.63884593804784</v>
      </c>
      <c r="N101" s="253">
        <v>207.43729896409877</v>
      </c>
      <c r="O101" s="254">
        <v>199.00099293941088</v>
      </c>
    </row>
    <row r="102" spans="3:15">
      <c r="D102" s="261">
        <f t="shared" ref="D102:D110" si="18">D101-0.3%</f>
        <v>6.8999999999999992E-2</v>
      </c>
      <c r="E102" s="253">
        <v>308.50781837286041</v>
      </c>
      <c r="F102" s="253">
        <v>290.11736009101958</v>
      </c>
      <c r="G102" s="253">
        <v>273.82646436315372</v>
      </c>
      <c r="H102" s="253">
        <v>259.29468203499096</v>
      </c>
      <c r="I102" s="253">
        <v>246.25139945268833</v>
      </c>
      <c r="J102" s="258">
        <v>234.4788054167818</v>
      </c>
      <c r="K102" s="253">
        <v>223.79961154429583</v>
      </c>
      <c r="L102" s="253">
        <v>214.06804720091881</v>
      </c>
      <c r="M102" s="253">
        <v>205.16315359939497</v>
      </c>
      <c r="N102" s="253">
        <v>196.98372015950125</v>
      </c>
      <c r="O102" s="254">
        <v>189.44441231270207</v>
      </c>
    </row>
    <row r="103" spans="3:15">
      <c r="D103" s="261">
        <f t="shared" si="18"/>
        <v>6.5999999999999989E-2</v>
      </c>
      <c r="E103" s="253">
        <v>284.65304466813143</v>
      </c>
      <c r="F103" s="253">
        <v>269.10650247097936</v>
      </c>
      <c r="G103" s="253">
        <v>255.19450168543761</v>
      </c>
      <c r="H103" s="253">
        <v>242.67187918681938</v>
      </c>
      <c r="I103" s="253">
        <v>231.34016938991323</v>
      </c>
      <c r="J103" s="258">
        <v>221.03699117435667</v>
      </c>
      <c r="K103" s="253">
        <v>211.62820343813675</v>
      </c>
      <c r="L103" s="253">
        <v>203.00202176268181</v>
      </c>
      <c r="M103" s="253">
        <v>195.06454707829735</v>
      </c>
      <c r="N103" s="253">
        <v>187.73632617601083</v>
      </c>
      <c r="O103" s="254">
        <v>180.94967655008674</v>
      </c>
    </row>
    <row r="104" spans="3:15" ht="18.5">
      <c r="C104" s="257" t="s">
        <v>227</v>
      </c>
      <c r="D104" s="261">
        <f t="shared" si="18"/>
        <v>6.2999999999999987E-2</v>
      </c>
      <c r="E104" s="253">
        <v>264.66661615820595</v>
      </c>
      <c r="F104" s="253">
        <v>251.32808784273382</v>
      </c>
      <c r="G104" s="253">
        <v>239.28917091047438</v>
      </c>
      <c r="H104" s="253">
        <v>228.36854029280786</v>
      </c>
      <c r="I104" s="253">
        <v>218.41710631194445</v>
      </c>
      <c r="J104" s="258">
        <v>209.31115608938893</v>
      </c>
      <c r="K104" s="253">
        <v>200.94717460944273</v>
      </c>
      <c r="L104" s="253">
        <v>193.23788435596921</v>
      </c>
      <c r="M104" s="253">
        <v>186.10918163514398</v>
      </c>
      <c r="N104" s="253">
        <v>179.49774133685167</v>
      </c>
      <c r="O104" s="254">
        <v>173.34912595681354</v>
      </c>
    </row>
    <row r="105" spans="3:15">
      <c r="D105" s="261">
        <f t="shared" si="18"/>
        <v>5.9999999999999984E-2</v>
      </c>
      <c r="E105" s="258">
        <v>247.6781552018434</v>
      </c>
      <c r="F105" s="258">
        <v>236.08944987737274</v>
      </c>
      <c r="G105" s="258">
        <v>225.55275190179864</v>
      </c>
      <c r="H105" s="258">
        <v>215.93085721254974</v>
      </c>
      <c r="I105" s="258">
        <v>207.10942893282294</v>
      </c>
      <c r="J105" s="258">
        <v>198.99242393645167</v>
      </c>
      <c r="K105" s="258">
        <v>191.4985748208519</v>
      </c>
      <c r="L105" s="258">
        <v>184.55865366373123</v>
      </c>
      <c r="M105" s="258">
        <v>178.11332211761774</v>
      </c>
      <c r="N105" s="258">
        <v>172.11142631239497</v>
      </c>
      <c r="O105" s="259">
        <v>166.50863277730338</v>
      </c>
    </row>
    <row r="106" spans="3:15">
      <c r="D106" s="261">
        <f t="shared" si="18"/>
        <v>5.6999999999999981E-2</v>
      </c>
      <c r="E106" s="253">
        <v>233.06018024402169</v>
      </c>
      <c r="F106" s="253">
        <v>222.88263326730913</v>
      </c>
      <c r="G106" s="253">
        <v>213.56992115380262</v>
      </c>
      <c r="H106" s="253">
        <v>205.01615849334641</v>
      </c>
      <c r="I106" s="253">
        <v>197.1320692105979</v>
      </c>
      <c r="J106" s="258">
        <v>189.84185273008259</v>
      </c>
      <c r="K106" s="253">
        <v>183.08073388702874</v>
      </c>
      <c r="L106" s="253">
        <v>176.79302864642304</v>
      </c>
      <c r="M106" s="253">
        <v>170.93060323511511</v>
      </c>
      <c r="N106" s="253">
        <v>165.45163639545348</v>
      </c>
      <c r="O106" s="254">
        <v>160.31961740011124</v>
      </c>
    </row>
    <row r="107" spans="3:15">
      <c r="D107" s="261">
        <f t="shared" si="18"/>
        <v>5.3999999999999979E-2</v>
      </c>
      <c r="E107" s="253">
        <v>220.34890057043592</v>
      </c>
      <c r="F107" s="253">
        <v>211.32667153211955</v>
      </c>
      <c r="G107" s="253">
        <v>203.02503280248243</v>
      </c>
      <c r="H107" s="253">
        <v>195.3608507102951</v>
      </c>
      <c r="I107" s="253">
        <v>188.26330755732789</v>
      </c>
      <c r="J107" s="258">
        <v>181.67170233908271</v>
      </c>
      <c r="K107" s="253">
        <v>175.53370648879832</v>
      </c>
      <c r="L107" s="253">
        <v>169.80396847263239</v>
      </c>
      <c r="M107" s="253">
        <v>164.44298846317358</v>
      </c>
      <c r="N107" s="253">
        <v>159.41620401165011</v>
      </c>
      <c r="O107" s="254">
        <v>154.69324196153511</v>
      </c>
    </row>
    <row r="108" spans="3:15">
      <c r="D108" s="261">
        <f t="shared" si="18"/>
        <v>5.0999999999999976E-2</v>
      </c>
      <c r="E108" s="253">
        <v>209.19410686646566</v>
      </c>
      <c r="F108" s="253">
        <v>201.13023736349942</v>
      </c>
      <c r="G108" s="253">
        <v>193.6739079721572</v>
      </c>
      <c r="H108" s="253">
        <v>186.75885173143863</v>
      </c>
      <c r="I108" s="253">
        <v>180.32810219329207</v>
      </c>
      <c r="J108" s="258">
        <v>174.33241706594396</v>
      </c>
      <c r="K108" s="253">
        <v>168.72901196015908</v>
      </c>
      <c r="L108" s="253">
        <v>163.48053532666933</v>
      </c>
      <c r="M108" s="253">
        <v>158.55423263590322</v>
      </c>
      <c r="N108" s="253">
        <v>153.92126025685121</v>
      </c>
      <c r="O108" s="254">
        <v>149.55611866132679</v>
      </c>
    </row>
    <row r="109" spans="3:15">
      <c r="D109" s="261">
        <f t="shared" si="18"/>
        <v>4.7999999999999973E-2</v>
      </c>
      <c r="E109" s="253">
        <v>199.32640735188505</v>
      </c>
      <c r="F109" s="253">
        <v>192.06674285523363</v>
      </c>
      <c r="G109" s="253">
        <v>185.32469183217199</v>
      </c>
      <c r="H109" s="253">
        <v>179.04671710752442</v>
      </c>
      <c r="I109" s="253">
        <v>173.18641969493831</v>
      </c>
      <c r="J109" s="258">
        <v>167.70338747741107</v>
      </c>
      <c r="K109" s="253">
        <v>162.56225976019871</v>
      </c>
      <c r="L109" s="253">
        <v>157.73196190499652</v>
      </c>
      <c r="M109" s="253">
        <v>153.18507502865793</v>
      </c>
      <c r="N109" s="253">
        <v>148.89731375354575</v>
      </c>
      <c r="O109" s="254">
        <v>144.84709099947514</v>
      </c>
    </row>
    <row r="110" spans="3:15">
      <c r="D110" s="262">
        <f t="shared" si="18"/>
        <v>4.4999999999999971E-2</v>
      </c>
      <c r="E110" s="255">
        <v>190.53518663512224</v>
      </c>
      <c r="F110" s="255">
        <v>183.95730281843919</v>
      </c>
      <c r="G110" s="255">
        <v>177.82455087358903</v>
      </c>
      <c r="H110" s="255">
        <v>172.09315539593237</v>
      </c>
      <c r="I110" s="255">
        <v>166.72489967198899</v>
      </c>
      <c r="J110" s="260">
        <v>161.6862704973492</v>
      </c>
      <c r="K110" s="255">
        <v>156.94775616150929</v>
      </c>
      <c r="L110" s="255">
        <v>152.4832665222855</v>
      </c>
      <c r="M110" s="255">
        <v>148.26965109580303</v>
      </c>
      <c r="N110" s="255">
        <v>144.28629636455585</v>
      </c>
      <c r="O110" s="256">
        <v>140.51478751616125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8BCA0D34-C82D-441E-BB9A-F2CFB04447F2}">
          <x14:formula1>
            <xm:f>Model!$C$23:$C$25</xm:f>
          </x14:formula1>
          <xm:sqref>G6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0E45C-D778-4735-8C2C-B5BA0B8EAC70}">
  <sheetPr codeName="Sheet3"/>
  <dimension ref="B2:Y40"/>
  <sheetViews>
    <sheetView showGridLines="0" topLeftCell="A8" zoomScale="54" workbookViewId="0">
      <selection activeCell="L32" sqref="L32"/>
    </sheetView>
  </sheetViews>
  <sheetFormatPr defaultRowHeight="14.5"/>
  <cols>
    <col min="2" max="2" width="65.453125" bestFit="1" customWidth="1"/>
    <col min="3" max="3" width="7.453125" bestFit="1" customWidth="1"/>
    <col min="4" max="4" width="11.26953125" bestFit="1" customWidth="1"/>
    <col min="5" max="5" width="12.81640625" bestFit="1" customWidth="1"/>
    <col min="6" max="6" width="8.54296875" bestFit="1" customWidth="1"/>
    <col min="7" max="7" width="10.26953125" bestFit="1" customWidth="1"/>
    <col min="8" max="8" width="12.26953125" bestFit="1" customWidth="1"/>
    <col min="9" max="9" width="15.453125" bestFit="1" customWidth="1"/>
    <col min="10" max="10" width="9.26953125" bestFit="1" customWidth="1"/>
    <col min="11" max="11" width="9" bestFit="1" customWidth="1"/>
    <col min="12" max="12" width="11.26953125" bestFit="1" customWidth="1"/>
    <col min="17" max="17" width="7.54296875" bestFit="1" customWidth="1"/>
    <col min="18" max="18" width="8.54296875" bestFit="1" customWidth="1"/>
    <col min="19" max="19" width="5.1796875" bestFit="1" customWidth="1"/>
    <col min="20" max="20" width="4.1796875" bestFit="1" customWidth="1"/>
    <col min="21" max="21" width="4.81640625" bestFit="1" customWidth="1"/>
    <col min="22" max="22" width="10.81640625" bestFit="1" customWidth="1"/>
    <col min="23" max="24" width="6.26953125" bestFit="1" customWidth="1"/>
  </cols>
  <sheetData>
    <row r="2" spans="2:12" ht="18.5">
      <c r="B2" s="106" t="str">
        <f>"WACC Analysis - "&amp;CompanyName</f>
        <v>WACC Analysis - Applied Materials</v>
      </c>
      <c r="C2" s="107"/>
      <c r="D2" s="16"/>
      <c r="E2" s="16"/>
      <c r="F2" s="16"/>
      <c r="G2" s="16"/>
      <c r="H2" s="16"/>
      <c r="I2" s="16"/>
      <c r="J2" s="16"/>
      <c r="K2" s="16"/>
      <c r="L2" s="16"/>
    </row>
    <row r="3" spans="2:12" ht="16">
      <c r="B3" s="18" t="str">
        <f>[2]Public_Comps!$B$3</f>
        <v>($ USD in Millions Except Per Share Amounts in USD as Stated)</v>
      </c>
      <c r="C3" s="16"/>
      <c r="D3" s="16"/>
      <c r="E3" s="16"/>
      <c r="F3" s="16"/>
      <c r="G3" s="16"/>
      <c r="H3" s="16"/>
      <c r="I3" s="16"/>
      <c r="J3" s="16"/>
      <c r="K3" s="16"/>
      <c r="L3" s="16"/>
    </row>
    <row r="4" spans="2:12" ht="16"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</row>
    <row r="5" spans="2:12" ht="16">
      <c r="B5" s="120" t="s">
        <v>126</v>
      </c>
      <c r="C5" s="120"/>
      <c r="D5" s="121"/>
      <c r="E5" s="121"/>
      <c r="F5" s="121"/>
      <c r="G5" s="108"/>
      <c r="H5" s="108"/>
      <c r="I5" s="16"/>
      <c r="J5" s="16"/>
      <c r="K5" s="16"/>
      <c r="L5" s="16"/>
    </row>
    <row r="6" spans="2:12" ht="16">
      <c r="B6" s="18" t="s">
        <v>127</v>
      </c>
      <c r="C6" s="18"/>
      <c r="D6" s="16"/>
      <c r="E6" s="16"/>
      <c r="F6" s="109">
        <v>3.7499999999999999E-2</v>
      </c>
      <c r="G6" s="110"/>
      <c r="H6" s="110"/>
      <c r="I6" s="16"/>
      <c r="J6" s="16"/>
      <c r="K6" s="16"/>
      <c r="L6" s="16"/>
    </row>
    <row r="7" spans="2:12" ht="16">
      <c r="B7" s="18" t="s">
        <v>128</v>
      </c>
      <c r="C7" s="18"/>
      <c r="D7" s="16"/>
      <c r="E7" s="16"/>
      <c r="F7" s="109">
        <v>5.5E-2</v>
      </c>
      <c r="G7" s="110"/>
      <c r="H7" s="110"/>
      <c r="I7" s="16"/>
      <c r="J7" s="16"/>
      <c r="K7" s="16"/>
      <c r="L7" s="16"/>
    </row>
    <row r="8" spans="2:12" ht="16">
      <c r="B8" s="18" t="s">
        <v>129</v>
      </c>
      <c r="C8" s="18"/>
      <c r="D8" s="16"/>
      <c r="E8" s="16"/>
      <c r="F8" s="111">
        <f>-Model!J98/PubComps!J22</f>
        <v>4.3581761582127815E-2</v>
      </c>
      <c r="G8" s="110"/>
      <c r="H8" s="110"/>
      <c r="I8" s="112"/>
      <c r="J8" s="112"/>
      <c r="K8" s="16"/>
      <c r="L8" s="16"/>
    </row>
    <row r="9" spans="2:12" ht="16">
      <c r="B9" s="18" t="s">
        <v>130</v>
      </c>
      <c r="C9" s="18"/>
      <c r="D9" s="16"/>
      <c r="E9" s="16"/>
      <c r="F9" s="109">
        <v>0</v>
      </c>
      <c r="G9" s="110"/>
      <c r="H9" s="110"/>
      <c r="I9" s="112"/>
      <c r="J9" s="112"/>
      <c r="K9" s="16"/>
      <c r="L9" s="16"/>
    </row>
    <row r="10" spans="2:12" ht="16"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2:12" ht="16" hidden="1">
      <c r="B11" s="113" t="str">
        <f>[2]Public_Comps!B7</f>
        <v>Company Name</v>
      </c>
      <c r="C11" s="114"/>
      <c r="D11" s="115" t="str">
        <f>[2]Public_Comps!G7</f>
        <v>Beta</v>
      </c>
      <c r="E11" s="115" t="str">
        <f>[2]Public_Comps!J7</f>
        <v>Debt</v>
      </c>
      <c r="F11" s="114"/>
      <c r="G11" s="115" t="str">
        <f>[2]Public_Comps!K7</f>
        <v>Preferred</v>
      </c>
      <c r="H11" s="114"/>
      <c r="I11" s="113" t="str">
        <f>[2]Public_Comps!F7</f>
        <v xml:space="preserve">Value </v>
      </c>
      <c r="J11" s="116"/>
      <c r="K11" s="115" t="str">
        <f>[2]Public_Comps!H7</f>
        <v>Tax Rate</v>
      </c>
      <c r="L11" s="16"/>
    </row>
    <row r="12" spans="2:12" ht="16">
      <c r="B12" s="122" t="s">
        <v>131</v>
      </c>
      <c r="C12" s="122"/>
      <c r="D12" s="122"/>
      <c r="E12" s="122"/>
      <c r="F12" s="122"/>
      <c r="G12" s="122"/>
      <c r="H12" s="122"/>
      <c r="I12" s="122"/>
      <c r="J12" s="122"/>
      <c r="K12" s="122"/>
      <c r="L12" s="122"/>
    </row>
    <row r="13" spans="2:12" ht="16">
      <c r="B13" s="122"/>
      <c r="C13" s="122"/>
      <c r="D13" s="123" t="s">
        <v>132</v>
      </c>
      <c r="E13" s="123"/>
      <c r="F13" s="123"/>
      <c r="G13" s="123" t="s">
        <v>133</v>
      </c>
      <c r="H13" s="123"/>
      <c r="I13" s="123" t="s">
        <v>134</v>
      </c>
      <c r="J13" s="123"/>
      <c r="K13" s="123"/>
      <c r="L13" s="123" t="s">
        <v>135</v>
      </c>
    </row>
    <row r="14" spans="2:12" ht="16">
      <c r="B14" s="122" t="s">
        <v>2</v>
      </c>
      <c r="C14" s="122" t="s">
        <v>136</v>
      </c>
      <c r="D14" s="123" t="s">
        <v>137</v>
      </c>
      <c r="E14" s="123" t="s">
        <v>138</v>
      </c>
      <c r="F14" s="123" t="s">
        <v>139</v>
      </c>
      <c r="G14" s="123" t="s">
        <v>140</v>
      </c>
      <c r="H14" s="123" t="s">
        <v>141</v>
      </c>
      <c r="I14" s="123" t="s">
        <v>142</v>
      </c>
      <c r="J14" s="123" t="s">
        <v>143</v>
      </c>
      <c r="K14" s="123" t="s">
        <v>144</v>
      </c>
      <c r="L14" s="123" t="s">
        <v>137</v>
      </c>
    </row>
    <row r="15" spans="2:12" ht="16">
      <c r="B15" s="18" t="str">
        <f>INDEX(PubComps!$B$8:$AA$22,MATCH($C15,PubComps!$C$8:$C$22,0),MATCH(B$11,PubComps!$B$8:$AA$8,0))</f>
        <v>Lam Research Corp.</v>
      </c>
      <c r="C15" s="18" t="str" cm="1">
        <f t="array" ref="C15:C19">PubComps!C9:C13</f>
        <v>LRCX</v>
      </c>
      <c r="D15" s="102">
        <f>INDEX(PubComps!$B$8:$AA$22,MATCH($C15,PubComps!$C$8:$C$22,0),MATCH(D$11,PubComps!$B$8:$AA$8,0))</f>
        <v>1.49</v>
      </c>
      <c r="E15" s="102">
        <f>INDEX(PubComps!$B$8:$AA$22,MATCH($C15,PubComps!$C$8:$C$22,0),MATCH(E$11,PubComps!$B$8:$AA$8,0))</f>
        <v>4479</v>
      </c>
      <c r="F15" s="117">
        <f>E15/($E15+$G15+$I15)</f>
        <v>4.5186987522472445E-2</v>
      </c>
      <c r="G15" s="102">
        <f>INDEX(PubComps!$B$8:$AA$22,MATCH($C15,PubComps!$C$8:$C$22,0),MATCH(G$11,PubComps!$B$8:$AA$8,0))</f>
        <v>0</v>
      </c>
      <c r="H15" s="117">
        <f>G15/($E15+$G15+$I15)</f>
        <v>0</v>
      </c>
      <c r="I15" s="102">
        <f>INDEX(PubComps!$B$8:$AA$22,MATCH($C15,PubComps!$C$8:$C$22,0),MATCH(I$11,PubComps!$B$8:$AA$8,0))</f>
        <v>94642.456099999996</v>
      </c>
      <c r="J15" s="117">
        <f t="shared" ref="J15" si="0">I15/($E15+$G15+$I15)</f>
        <v>0.95481301247752759</v>
      </c>
      <c r="K15" s="117">
        <f>INDEX(PubComps!$B$8:$AA$22,MATCH($C15,PubComps!$C$8:$C$22,0),MATCH(K$11,PubComps!$B$8:$AA$8,0))</f>
        <v>0.12212742534746113</v>
      </c>
      <c r="L15" s="687">
        <f>IFERROR(D15/(1+(E15/I15)*(1-K15)+G15/I15),"N/A")</f>
        <v>1.4305660682156593</v>
      </c>
    </row>
    <row r="16" spans="2:12" ht="16">
      <c r="B16" s="18" t="str">
        <f>INDEX(PubComps!$B$8:$AA$22,MATCH($C16,PubComps!$C$8:$C$22,0),MATCH(B$11,PubComps!$B$8:$AA$8,0))</f>
        <v>ASML Holding, N.V.</v>
      </c>
      <c r="C16" s="18" t="str">
        <v>ASML</v>
      </c>
      <c r="D16" s="102">
        <f>INDEX(PubComps!$B$8:$AA$22,MATCH($C16,PubComps!$C$8:$C$22,0),MATCH(D$11,PubComps!$B$8:$AA$8,0))</f>
        <v>1.1000000000000001</v>
      </c>
      <c r="E16" s="102">
        <f>INDEX(PubComps!$B$8:$AA$22,MATCH($C16,PubComps!$C$8:$C$22,0),MATCH(E$11,PubComps!$B$8:$AA$8,0))</f>
        <v>4694.2</v>
      </c>
      <c r="F16" s="117">
        <f t="shared" ref="F16:F19" si="1">E16/($E16+$G16+$I16)</f>
        <v>1.7345032608942122E-2</v>
      </c>
      <c r="G16" s="102">
        <f>INDEX(PubComps!$B$8:$AA$22,MATCH($C16,PubComps!$C$8:$C$22,0),MATCH(G$11,PubComps!$B$8:$AA$8,0))</f>
        <v>0</v>
      </c>
      <c r="H16" s="117">
        <f t="shared" ref="H16:H19" si="2">G16/($E16+$G16+$I16)</f>
        <v>0</v>
      </c>
      <c r="I16" s="102">
        <f>INDEX(PubComps!$B$8:$AA$22,MATCH($C16,PubComps!$C$8:$C$22,0),MATCH(I$11,PubComps!$B$8:$AA$8,0))</f>
        <v>265942.36239999998</v>
      </c>
      <c r="J16" s="117">
        <f t="shared" ref="J16:J19" si="3">I16/($E16+$G16+$I16)</f>
        <v>0.98265496739105784</v>
      </c>
      <c r="K16" s="117">
        <f>INDEX(PubComps!$B$8:$AA$22,MATCH($C16,PubComps!$C$8:$C$22,0),MATCH(K$11,PubComps!$B$8:$AA$8,0))</f>
        <v>0.1623471646087051</v>
      </c>
      <c r="L16" s="687">
        <f t="shared" ref="L16:L19" si="4">IFERROR(D16/(1+(E16/I16)*(1-K16)+G16/I16),"N/A")</f>
        <v>1.0839728415348759</v>
      </c>
    </row>
    <row r="17" spans="2:25" ht="16">
      <c r="B17" s="18" t="str">
        <f>INDEX(PubComps!$B$8:$AA$22,MATCH($C17,PubComps!$C$8:$C$22,0),MATCH(B$11,PubComps!$B$8:$AA$8,0))</f>
        <v>KLA Corporation</v>
      </c>
      <c r="C17" s="18" t="str">
        <v>KLAC</v>
      </c>
      <c r="D17" s="102">
        <f>INDEX(PubComps!$B$8:$AA$22,MATCH($C17,PubComps!$C$8:$C$22,0),MATCH(D$11,PubComps!$B$8:$AA$8,0))</f>
        <v>1.29</v>
      </c>
      <c r="E17" s="102">
        <f>INDEX(PubComps!$B$8:$AA$22,MATCH($C17,PubComps!$C$8:$C$22,0),MATCH(E$11,PubComps!$B$8:$AA$8,0))</f>
        <v>5881.4</v>
      </c>
      <c r="F17" s="117">
        <f t="shared" si="1"/>
        <v>6.3253296969481038E-2</v>
      </c>
      <c r="G17" s="102">
        <f>INDEX(PubComps!$B$8:$AA$22,MATCH($C17,PubComps!$C$8:$C$22,0),MATCH(G$11,PubComps!$B$8:$AA$8,0))</f>
        <v>0</v>
      </c>
      <c r="H17" s="117">
        <f t="shared" si="2"/>
        <v>0</v>
      </c>
      <c r="I17" s="102">
        <f>INDEX(PubComps!$B$8:$AA$22,MATCH($C17,PubComps!$C$8:$C$22,0),MATCH(I$11,PubComps!$B$8:$AA$8,0))</f>
        <v>87100.314499999993</v>
      </c>
      <c r="J17" s="117">
        <f t="shared" si="3"/>
        <v>0.93674670303051899</v>
      </c>
      <c r="K17" s="117">
        <f>INDEX(PubComps!$B$8:$AA$22,MATCH($C17,PubComps!$C$8:$C$22,0),MATCH(K$11,PubComps!$B$8:$AA$8,0))</f>
        <v>0.13187006145741881</v>
      </c>
      <c r="L17" s="687">
        <f t="shared" si="4"/>
        <v>1.2185675825192073</v>
      </c>
    </row>
    <row r="18" spans="2:25" ht="16">
      <c r="B18" s="18" t="str">
        <f>INDEX(PubComps!$B$8:$AA$22,MATCH($C18,PubComps!$C$8:$C$22,0),MATCH(B$11,PubComps!$B$8:$AA$8,0))</f>
        <v>Broadcom Inc.</v>
      </c>
      <c r="C18" s="18" t="str">
        <v>AVGO</v>
      </c>
      <c r="D18" s="102">
        <f>INDEX(PubComps!$B$8:$AA$22,MATCH($C18,PubComps!$C$8:$C$22,0),MATCH(D$11,PubComps!$B$8:$AA$8,0))</f>
        <v>1.19</v>
      </c>
      <c r="E18" s="102">
        <f>INDEX(PubComps!$B$8:$AA$22,MATCH($C18,PubComps!$C$8:$C$22,0),MATCH(E$11,PubComps!$B$8:$AA$8,0))</f>
        <v>12413</v>
      </c>
      <c r="F18" s="117">
        <f t="shared" si="1"/>
        <v>1.5922328651481178E-2</v>
      </c>
      <c r="G18" s="102">
        <f>INDEX(PubComps!$B$8:$AA$22,MATCH($C18,PubComps!$C$8:$C$22,0),MATCH(G$11,PubComps!$B$8:$AA$8,0))</f>
        <v>0</v>
      </c>
      <c r="H18" s="117">
        <f t="shared" si="2"/>
        <v>0</v>
      </c>
      <c r="I18" s="102">
        <f>INDEX(PubComps!$B$8:$AA$22,MATCH($C18,PubComps!$C$8:$C$22,0),MATCH(I$11,PubComps!$B$8:$AA$8,0))</f>
        <v>767184.02199999988</v>
      </c>
      <c r="J18" s="117">
        <f t="shared" si="3"/>
        <v>0.98407767134851887</v>
      </c>
      <c r="K18" s="117">
        <f>INDEX(PubComps!$B$8:$AA$22,MATCH($C18,PubComps!$C$8:$C$22,0),MATCH(K$11,PubComps!$B$8:$AA$8,0))</f>
        <v>0.39286017128805223</v>
      </c>
      <c r="L18" s="687">
        <f t="shared" si="4"/>
        <v>1.1784237626865992</v>
      </c>
    </row>
    <row r="19" spans="2:25" ht="16">
      <c r="B19" s="18" t="str">
        <f>INDEX(PubComps!$B$8:$AA$22,MATCH($C19,PubComps!$C$8:$C$22,0),MATCH(B$11,PubComps!$B$8:$AA$8,0))</f>
        <v>Qualcomm Incorporated</v>
      </c>
      <c r="C19" s="18" t="str">
        <v>QCOM</v>
      </c>
      <c r="D19" s="102">
        <f>INDEX(PubComps!$B$8:$AA$22,MATCH($C19,PubComps!$C$8:$C$22,0),MATCH(D$11,PubComps!$B$8:$AA$8,0))</f>
        <v>1.29</v>
      </c>
      <c r="E19" s="102">
        <f>INDEX(PubComps!$B$8:$AA$22,MATCH($C19,PubComps!$C$8:$C$22,0),MATCH(E$11,PubComps!$B$8:$AA$8,0))</f>
        <v>13270</v>
      </c>
      <c r="F19" s="117">
        <f t="shared" si="1"/>
        <v>6.639976662508551E-2</v>
      </c>
      <c r="G19" s="102">
        <f>INDEX(PubComps!$B$8:$AA$22,MATCH($C19,PubComps!$C$8:$C$22,0),MATCH(G$11,PubComps!$B$8:$AA$8,0))</f>
        <v>0</v>
      </c>
      <c r="H19" s="117">
        <f t="shared" si="2"/>
        <v>0</v>
      </c>
      <c r="I19" s="102">
        <f>INDEX(PubComps!$B$8:$AA$22,MATCH($C19,PubComps!$C$8:$C$22,0),MATCH(I$11,PubComps!$B$8:$AA$8,0))</f>
        <v>186580.09999999998</v>
      </c>
      <c r="J19" s="117">
        <f t="shared" si="3"/>
        <v>0.93360023337491449</v>
      </c>
      <c r="K19" s="117">
        <f>INDEX(PubComps!$B$8:$AA$22,MATCH($C19,PubComps!$C$8:$C$22,0),MATCH(K$11,PubComps!$B$8:$AA$8,0))</f>
        <v>2.186532507739938E-2</v>
      </c>
      <c r="L19" s="687">
        <f t="shared" si="4"/>
        <v>1.2060953736157394</v>
      </c>
    </row>
    <row r="20" spans="2:25" ht="16">
      <c r="B20" s="18"/>
      <c r="C20" s="18"/>
      <c r="D20" s="18"/>
      <c r="E20" s="102"/>
      <c r="F20" s="117"/>
      <c r="G20" s="18"/>
      <c r="H20" s="117"/>
      <c r="I20" s="102"/>
      <c r="J20" s="117"/>
      <c r="K20" s="117"/>
      <c r="L20" s="217"/>
    </row>
    <row r="21" spans="2:25" ht="16"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218"/>
    </row>
    <row r="22" spans="2:25" ht="16">
      <c r="B22" s="208" t="s">
        <v>145</v>
      </c>
      <c r="C22" s="209"/>
      <c r="D22" s="210">
        <f>MEDIAN(D15:D19)</f>
        <v>1.29</v>
      </c>
      <c r="E22" s="447">
        <f t="shared" ref="E22:L22" si="5">MEDIAN(E15:E19)</f>
        <v>5881.4</v>
      </c>
      <c r="F22" s="448">
        <f t="shared" si="5"/>
        <v>4.5186987522472445E-2</v>
      </c>
      <c r="G22" s="210">
        <f t="shared" si="5"/>
        <v>0</v>
      </c>
      <c r="H22" s="446">
        <f t="shared" si="5"/>
        <v>0</v>
      </c>
      <c r="I22" s="210">
        <f t="shared" si="5"/>
        <v>186580.09999999998</v>
      </c>
      <c r="J22" s="448">
        <f t="shared" si="5"/>
        <v>0.95481301247752759</v>
      </c>
      <c r="K22" s="447">
        <f t="shared" si="5"/>
        <v>0.13187006145741881</v>
      </c>
      <c r="L22" s="447">
        <f t="shared" si="5"/>
        <v>1.2060953736157394</v>
      </c>
    </row>
    <row r="23" spans="2:25" ht="16"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218"/>
    </row>
    <row r="24" spans="2:25" ht="16">
      <c r="B24" s="124" t="str">
        <f>CompanyName</f>
        <v>Applied Materials</v>
      </c>
      <c r="C24" s="124" t="str">
        <f>Ticker</f>
        <v>AMAT</v>
      </c>
      <c r="D24" s="212">
        <f>INDEX(PubComps!$B$8:$AA$22,MATCH($C24,PubComps!$C$8:$C$22,0),MATCH(D$11,PubComps!$B$8:$AA$8,0))</f>
        <v>1.29</v>
      </c>
      <c r="E24" s="212">
        <f>INDEX(PubComps!$B$8:$AA$22,MATCH($C24,PubComps!$C$8:$C$22,0),MATCH(E$11,PubComps!$B$8:$AA$8,0))</f>
        <v>5461</v>
      </c>
      <c r="F24" s="211">
        <f t="shared" ref="F24:J24" si="6">E24/($E24+$G24+$I24)</f>
        <v>3.6361960847869572E-2</v>
      </c>
      <c r="G24" s="212">
        <f>INDEX(PubComps!$B$8:$AA$22,MATCH($C24,PubComps!$C$8:$C$22,0),MATCH(G$11,PubComps!$B$8:$AA$8,0))</f>
        <v>0</v>
      </c>
      <c r="H24" s="211">
        <f t="shared" si="6"/>
        <v>0</v>
      </c>
      <c r="I24" s="212">
        <f>INDEX(PubComps!$B$8:$AA$22,MATCH($C24,PubComps!$C$8:$C$22,0),MATCH(I$11,PubComps!$B$8:$AA$8,0))</f>
        <v>144723.42000000001</v>
      </c>
      <c r="J24" s="211">
        <f t="shared" si="6"/>
        <v>0.96363803915213042</v>
      </c>
      <c r="K24" s="212">
        <v>0.13200000000000001</v>
      </c>
      <c r="L24" s="212">
        <f t="shared" ref="L24" si="7">IFERROR(D24/(1+(E24/I24)*(1-K24)+G24/I24),"N/A")</f>
        <v>1.2490884186573146</v>
      </c>
    </row>
    <row r="25" spans="2:25" ht="16"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</row>
    <row r="26" spans="2:25" ht="16">
      <c r="B26" s="122" t="str">
        <f>TEXT(CompanyName,"")&amp; " - Levered Beta &amp; WACC Calculation:"</f>
        <v>Applied Materials - Levered Beta &amp; WACC Calculation:</v>
      </c>
      <c r="C26" s="122"/>
      <c r="D26" s="122"/>
      <c r="E26" s="122"/>
      <c r="F26" s="122"/>
      <c r="G26" s="122"/>
      <c r="H26" s="122"/>
      <c r="I26" s="122"/>
      <c r="J26" s="122"/>
      <c r="K26" s="122"/>
      <c r="L26" s="122"/>
    </row>
    <row r="27" spans="2:25" ht="16">
      <c r="B27" s="122"/>
      <c r="C27" s="122"/>
      <c r="D27" s="123" t="s">
        <v>135</v>
      </c>
      <c r="E27" s="123"/>
      <c r="F27" s="123"/>
      <c r="G27" s="123" t="s">
        <v>133</v>
      </c>
      <c r="H27" s="123"/>
      <c r="I27" s="123" t="s">
        <v>134</v>
      </c>
      <c r="J27" s="123"/>
      <c r="K27" s="123"/>
      <c r="L27" s="123" t="s">
        <v>132</v>
      </c>
    </row>
    <row r="28" spans="2:25" ht="16">
      <c r="B28" s="122"/>
      <c r="C28" s="122" t="s">
        <v>136</v>
      </c>
      <c r="D28" s="123" t="s">
        <v>137</v>
      </c>
      <c r="E28" s="123" t="s">
        <v>138</v>
      </c>
      <c r="F28" s="123" t="s">
        <v>139</v>
      </c>
      <c r="G28" s="123" t="s">
        <v>140</v>
      </c>
      <c r="H28" s="123" t="s">
        <v>141</v>
      </c>
      <c r="I28" s="123" t="s">
        <v>142</v>
      </c>
      <c r="J28" s="123" t="s">
        <v>143</v>
      </c>
      <c r="K28" s="123" t="s">
        <v>144</v>
      </c>
      <c r="L28" s="123" t="s">
        <v>137</v>
      </c>
    </row>
    <row r="29" spans="2:25" ht="16">
      <c r="B29" s="18" t="s">
        <v>146</v>
      </c>
      <c r="C29" s="18" t="str">
        <f>C24</f>
        <v>AMAT</v>
      </c>
      <c r="D29" s="104">
        <f>L24</f>
        <v>1.2490884186573146</v>
      </c>
      <c r="E29" s="105">
        <v>5461</v>
      </c>
      <c r="F29" s="117">
        <v>3.3001557194883353E-2</v>
      </c>
      <c r="G29" s="105">
        <v>0</v>
      </c>
      <c r="H29" s="119">
        <v>0</v>
      </c>
      <c r="I29" s="105">
        <v>160016.03999999998</v>
      </c>
      <c r="J29" s="219">
        <v>0.9669984428051166</v>
      </c>
      <c r="K29" s="117">
        <v>0.13200000000000001</v>
      </c>
      <c r="L29" s="104">
        <f>D29*(1+E29/I29*(1-K29)+G29/I29)</f>
        <v>1.2860901090473631</v>
      </c>
      <c r="Q29" s="104"/>
      <c r="R29" s="105"/>
      <c r="S29" s="117"/>
      <c r="T29" s="105"/>
      <c r="U29" s="119"/>
      <c r="V29" s="105"/>
      <c r="W29" s="219"/>
      <c r="X29" s="117"/>
      <c r="Y29" s="101"/>
    </row>
    <row r="30" spans="2:25" ht="16">
      <c r="B30" s="18" t="s">
        <v>147</v>
      </c>
      <c r="C30" s="104"/>
      <c r="D30" s="104">
        <f>L22</f>
        <v>1.2060953736157394</v>
      </c>
      <c r="E30" s="105">
        <f>(E29+I29)*F30</f>
        <v>7477.4089417356727</v>
      </c>
      <c r="F30" s="119">
        <f>F22</f>
        <v>4.5186987522472445E-2</v>
      </c>
      <c r="G30" s="105">
        <v>0</v>
      </c>
      <c r="H30" s="119">
        <v>0</v>
      </c>
      <c r="I30" s="105">
        <f>(I29+E29)*J30</f>
        <v>157999.63105826432</v>
      </c>
      <c r="J30" s="220">
        <f>J22</f>
        <v>0.95481301247752759</v>
      </c>
      <c r="K30" s="117">
        <v>0.13200000000000001</v>
      </c>
      <c r="L30" s="104">
        <f>D30*(1+E30/I30*(1-K30)+G30/I30)</f>
        <v>1.2556399862145329</v>
      </c>
    </row>
    <row r="31" spans="2:25" ht="16">
      <c r="B31" s="16"/>
      <c r="C31" s="216"/>
      <c r="D31" s="16"/>
      <c r="E31" s="16"/>
      <c r="F31" s="16"/>
      <c r="G31" s="16"/>
      <c r="H31" s="16"/>
      <c r="I31" s="16"/>
      <c r="J31" s="16"/>
      <c r="K31" s="16"/>
      <c r="L31" s="16"/>
    </row>
    <row r="32" spans="2:25" ht="16">
      <c r="B32" s="213" t="s">
        <v>148</v>
      </c>
      <c r="C32" s="213"/>
      <c r="D32" s="213"/>
      <c r="E32" s="213"/>
      <c r="F32" s="213"/>
      <c r="G32" s="213"/>
      <c r="H32" s="213"/>
      <c r="I32" s="213"/>
      <c r="J32" s="213"/>
      <c r="K32" s="213"/>
      <c r="L32" s="214">
        <f>Risk_Free_Rate+Equity_Risk_Premium*L29</f>
        <v>0.10823495599760496</v>
      </c>
    </row>
    <row r="33" spans="2:12" ht="16">
      <c r="B33" s="213" t="s">
        <v>149</v>
      </c>
      <c r="C33" s="213"/>
      <c r="D33" s="213"/>
      <c r="E33" s="213"/>
      <c r="F33" s="213"/>
      <c r="G33" s="213"/>
      <c r="H33" s="213"/>
      <c r="I33" s="213"/>
      <c r="J33" s="213"/>
      <c r="K33" s="213"/>
      <c r="L33" s="214">
        <f>Risk_Free_Rate+Equity_Risk_Premium*L30</f>
        <v>0.1065601992417993</v>
      </c>
    </row>
    <row r="34" spans="2:12" ht="16">
      <c r="B34" s="213" t="s">
        <v>150</v>
      </c>
      <c r="C34" s="213"/>
      <c r="D34" s="213"/>
      <c r="E34" s="213"/>
      <c r="F34" s="213"/>
      <c r="G34" s="213"/>
      <c r="H34" s="213"/>
      <c r="I34" s="213"/>
      <c r="J34" s="213"/>
      <c r="K34" s="213"/>
      <c r="L34" s="214">
        <f>Risk_Free_Rate+Equity_Risk_Premium*D24</f>
        <v>0.10844999999999999</v>
      </c>
    </row>
    <row r="35" spans="2:12" ht="16"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</row>
    <row r="36" spans="2:12" ht="16">
      <c r="B36" s="213" t="s">
        <v>151</v>
      </c>
      <c r="C36" s="213"/>
      <c r="D36" s="213"/>
      <c r="E36" s="213"/>
      <c r="F36" s="213"/>
      <c r="G36" s="213"/>
      <c r="H36" s="213"/>
      <c r="I36" s="213"/>
      <c r="J36" s="213"/>
      <c r="K36" s="213"/>
      <c r="L36" s="214">
        <f>L32*J29+Cost_of_Debt*(1-K29)*F29+Cost_of_Preferred*H29</f>
        <v>0.10591144879259984</v>
      </c>
    </row>
    <row r="37" spans="2:12" ht="16">
      <c r="B37" s="213" t="s">
        <v>152</v>
      </c>
      <c r="C37" s="213"/>
      <c r="D37" s="213"/>
      <c r="E37" s="213"/>
      <c r="F37" s="213"/>
      <c r="G37" s="213"/>
      <c r="H37" s="213"/>
      <c r="I37" s="213"/>
      <c r="J37" s="213"/>
      <c r="K37" s="213"/>
      <c r="L37" s="214">
        <f>L33*J30+Cost_of_Debt*(1-K30)*F30+Cost_of_Preferred*H30</f>
        <v>0.10345444200086681</v>
      </c>
    </row>
    <row r="38" spans="2:12" ht="16">
      <c r="B38" s="213" t="s">
        <v>153</v>
      </c>
      <c r="C38" s="213"/>
      <c r="D38" s="213"/>
      <c r="E38" s="213"/>
      <c r="F38" s="213"/>
      <c r="G38" s="213"/>
      <c r="H38" s="213"/>
      <c r="I38" s="213"/>
      <c r="J38" s="213"/>
      <c r="K38" s="213"/>
      <c r="L38" s="214">
        <f>L34*J29+Cost_of_Debt*(1-K29)*F29+Cost_of_Preferred*H29</f>
        <v>0.10611939600805041</v>
      </c>
    </row>
    <row r="39" spans="2:12" ht="16"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</row>
    <row r="40" spans="2:12" ht="16">
      <c r="B40" s="213" t="s">
        <v>154</v>
      </c>
      <c r="C40" s="213"/>
      <c r="D40" s="213"/>
      <c r="E40" s="213"/>
      <c r="F40" s="213"/>
      <c r="G40" s="213"/>
      <c r="H40" s="213"/>
      <c r="I40" s="213"/>
      <c r="J40" s="213"/>
      <c r="K40" s="213"/>
      <c r="L40" s="215">
        <f>AVERAGE(L36:L38)</f>
        <v>0.10516176226717235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F6340-3958-4E1F-9054-8A96E1BC2F0F}">
  <dimension ref="B2:M45"/>
  <sheetViews>
    <sheetView showGridLines="0" zoomScale="61" workbookViewId="0">
      <selection activeCell="I15" sqref="I15"/>
    </sheetView>
  </sheetViews>
  <sheetFormatPr defaultRowHeight="14.5"/>
  <cols>
    <col min="2" max="2" width="55" bestFit="1" customWidth="1"/>
    <col min="3" max="3" width="9.7265625" bestFit="1" customWidth="1"/>
    <col min="4" max="4" width="10.1796875" bestFit="1" customWidth="1"/>
    <col min="5" max="5" width="12.7265625" bestFit="1" customWidth="1"/>
    <col min="6" max="6" width="10.1796875" bestFit="1" customWidth="1"/>
    <col min="7" max="7" width="17.81640625" bestFit="1" customWidth="1"/>
    <col min="8" max="8" width="10.54296875" bestFit="1" customWidth="1"/>
    <col min="9" max="9" width="13.7265625" bestFit="1" customWidth="1"/>
    <col min="10" max="13" width="11" bestFit="1" customWidth="1"/>
  </cols>
  <sheetData>
    <row r="2" spans="2:13" ht="18.5">
      <c r="B2" s="269" t="str">
        <f>"Valuation Summary - "&amp;CompanyName</f>
        <v>Valuation Summary - Applied Materials</v>
      </c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270"/>
    </row>
    <row r="3" spans="2:13" ht="16">
      <c r="B3" s="18" t="str">
        <f>[2]Public_Comps!$B$3</f>
        <v>($ USD in Millions Except Per Share Amounts in USD as Stated)</v>
      </c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</row>
    <row r="4" spans="2:13" ht="16">
      <c r="B4" s="270"/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</row>
    <row r="5" spans="2:13" ht="16">
      <c r="B5" s="163" t="str">
        <f>"Valuation Summary - "&amp;TEXT(CompanyName,"")</f>
        <v>Valuation Summary - Applied Materials</v>
      </c>
      <c r="C5" s="164" t="str">
        <f>TEXT(CompanyName,"")&amp;" - Range of Valuation Multiples / Premiums"</f>
        <v>Applied Materials - Range of Valuation Multiples / Premiums</v>
      </c>
      <c r="D5" s="164"/>
      <c r="E5" s="164"/>
      <c r="F5" s="165"/>
      <c r="G5" s="165"/>
      <c r="H5" s="165"/>
      <c r="I5" s="164" t="str">
        <f>TEXT(CompanyName,"")&amp;" - Implied Per Share Value Range"</f>
        <v>Applied Materials - Implied Per Share Value Range</v>
      </c>
      <c r="J5" s="165"/>
      <c r="K5" s="165"/>
      <c r="L5" s="165"/>
      <c r="M5" s="165"/>
    </row>
    <row r="6" spans="2:13" ht="16">
      <c r="B6" s="166"/>
      <c r="C6" s="167"/>
      <c r="D6" s="164"/>
      <c r="E6" s="164"/>
      <c r="F6" s="165"/>
      <c r="G6" s="164"/>
      <c r="H6" s="164"/>
      <c r="I6" s="164"/>
      <c r="J6" s="164"/>
      <c r="K6" s="164"/>
      <c r="L6" s="164"/>
      <c r="M6" s="164"/>
    </row>
    <row r="7" spans="2:13" ht="16">
      <c r="B7" s="166"/>
      <c r="C7" s="167"/>
      <c r="D7" s="167" t="s">
        <v>228</v>
      </c>
      <c r="E7" s="167"/>
      <c r="F7" s="167" t="s">
        <v>229</v>
      </c>
      <c r="G7" s="164"/>
      <c r="H7" s="167" t="s">
        <v>230</v>
      </c>
      <c r="I7" s="167"/>
      <c r="J7" s="167" t="s">
        <v>229</v>
      </c>
      <c r="K7" s="167"/>
      <c r="L7" s="167" t="s">
        <v>228</v>
      </c>
      <c r="M7" s="167"/>
    </row>
    <row r="8" spans="2:13" ht="16">
      <c r="B8" s="166"/>
      <c r="C8" s="167" t="s">
        <v>188</v>
      </c>
      <c r="D8" s="167" t="s">
        <v>231</v>
      </c>
      <c r="E8" s="167" t="s">
        <v>190</v>
      </c>
      <c r="F8" s="167" t="s">
        <v>231</v>
      </c>
      <c r="G8" s="167" t="s">
        <v>192</v>
      </c>
      <c r="H8" s="167" t="s">
        <v>232</v>
      </c>
      <c r="I8" s="167" t="s">
        <v>192</v>
      </c>
      <c r="J8" s="167" t="s">
        <v>231</v>
      </c>
      <c r="K8" s="167" t="s">
        <v>190</v>
      </c>
      <c r="L8" s="167" t="s">
        <v>231</v>
      </c>
      <c r="M8" s="167" t="s">
        <v>188</v>
      </c>
    </row>
    <row r="9" spans="2:13" ht="16">
      <c r="B9" s="163" t="s">
        <v>233</v>
      </c>
      <c r="C9" s="167" t="s">
        <v>234</v>
      </c>
      <c r="D9" s="167" t="s">
        <v>234</v>
      </c>
      <c r="E9" s="167" t="s">
        <v>234</v>
      </c>
      <c r="F9" s="167" t="s">
        <v>234</v>
      </c>
      <c r="G9" s="167" t="s">
        <v>234</v>
      </c>
      <c r="H9" s="167" t="s">
        <v>235</v>
      </c>
      <c r="I9" s="167" t="s">
        <v>234</v>
      </c>
      <c r="J9" s="167" t="s">
        <v>234</v>
      </c>
      <c r="K9" s="167" t="s">
        <v>234</v>
      </c>
      <c r="L9" s="167" t="s">
        <v>234</v>
      </c>
      <c r="M9" s="167" t="s">
        <v>234</v>
      </c>
    </row>
    <row r="10" spans="2:13" ht="16"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</row>
    <row r="11" spans="2:13" ht="16">
      <c r="B11" s="43" t="s">
        <v>236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</row>
    <row r="12" spans="2:13" ht="16">
      <c r="B12" s="267" t="s">
        <v>237</v>
      </c>
      <c r="C12" s="288" cm="1">
        <f t="array" ref="C12:G20">TRANSPOSE(PubComps!N35:V39)</f>
        <v>16.627662544056388</v>
      </c>
      <c r="D12" s="288">
        <v>9.9878482506288577</v>
      </c>
      <c r="E12" s="288">
        <v>8.8724494979038688</v>
      </c>
      <c r="F12" s="288">
        <v>5.8357121847284263</v>
      </c>
      <c r="G12" s="288">
        <v>4.8962347928751084</v>
      </c>
      <c r="H12" s="290" cm="1">
        <f t="array" ref="H12:H20">TRANSPOSE(PubComps!N22:V22)</f>
        <v>27176</v>
      </c>
      <c r="I12" s="292">
        <f>(I34+SUM($E$33:$E$39))/$E$42</f>
        <v>161.76743902374326</v>
      </c>
      <c r="J12" s="292">
        <f t="shared" ref="J12:M12" si="0">(J34+SUM($E$33:$E$39))/$E$42</f>
        <v>192.73691694830146</v>
      </c>
      <c r="K12" s="292">
        <f t="shared" si="0"/>
        <v>292.84168796098442</v>
      </c>
      <c r="L12" s="292">
        <f t="shared" si="0"/>
        <v>329.61033971262714</v>
      </c>
      <c r="M12" s="292">
        <f t="shared" si="0"/>
        <v>548.48903117088366</v>
      </c>
    </row>
    <row r="13" spans="2:13" ht="16">
      <c r="B13" s="267" t="str">
        <f>"CY "&amp;TEXT(EOMONTH(Hist_Year,12),"YY")&amp;" TEV / Revenue:"</f>
        <v>CY 25 TEV / Revenue:</v>
      </c>
      <c r="C13" s="288">
        <v>20.141013846752568</v>
      </c>
      <c r="D13" s="288">
        <v>8.1429661212891897</v>
      </c>
      <c r="E13" s="288">
        <v>7.7133528300220746</v>
      </c>
      <c r="F13" s="288">
        <v>5.5746678366634068</v>
      </c>
      <c r="G13" s="288">
        <v>4.5377523566961155</v>
      </c>
      <c r="H13" s="289">
        <v>28207.022910228687</v>
      </c>
      <c r="I13" s="293">
        <f t="shared" ref="I13:M13" si="1">(I35+SUM($E$33:$E$39))/$E$42</f>
        <v>155.62528467524447</v>
      </c>
      <c r="J13" s="293">
        <f t="shared" si="1"/>
        <v>191.10357033682644</v>
      </c>
      <c r="K13" s="293">
        <f t="shared" si="1"/>
        <v>264.27913633079811</v>
      </c>
      <c r="L13" s="293">
        <f t="shared" si="1"/>
        <v>278.97844728338208</v>
      </c>
      <c r="M13" s="293">
        <f t="shared" si="1"/>
        <v>689.49422490366669</v>
      </c>
    </row>
    <row r="14" spans="2:13" ht="16">
      <c r="B14" s="267" t="str">
        <f>"CY "&amp;TEXT(EOMONTH(Hist_Year,24),"YY")&amp;" TEV / Revenue:"</f>
        <v>CY 26 TEV / Revenue:</v>
      </c>
      <c r="C14" s="288">
        <v>18.079904709831748</v>
      </c>
      <c r="D14" s="288">
        <v>7.9754810198718822</v>
      </c>
      <c r="E14" s="288">
        <v>6.8112063001949315</v>
      </c>
      <c r="F14" s="288">
        <v>5.0910208554003713</v>
      </c>
      <c r="G14" s="288">
        <v>4.0733863166033348</v>
      </c>
      <c r="H14" s="289">
        <v>29577.653506353243</v>
      </c>
      <c r="I14" s="293">
        <f t="shared" ref="I14:M14" si="2">(I36+SUM($E$33:$E$39))/$E$42</f>
        <v>146.50922982777044</v>
      </c>
      <c r="J14" s="293">
        <f t="shared" si="2"/>
        <v>183.01971234188537</v>
      </c>
      <c r="K14" s="293">
        <f t="shared" si="2"/>
        <v>244.73617164902464</v>
      </c>
      <c r="L14" s="293">
        <f t="shared" si="2"/>
        <v>286.50778038848534</v>
      </c>
      <c r="M14" s="293">
        <f t="shared" si="2"/>
        <v>649.03221365270201</v>
      </c>
    </row>
    <row r="15" spans="2:13" ht="16">
      <c r="B15" s="267" t="s">
        <v>238</v>
      </c>
      <c r="C15" s="288">
        <v>48.304314117282026</v>
      </c>
      <c r="D15" s="288">
        <v>29.56032648641332</v>
      </c>
      <c r="E15" s="288">
        <v>21.142105807272969</v>
      </c>
      <c r="F15" s="288">
        <v>18.303451237175619</v>
      </c>
      <c r="G15" s="288">
        <v>16.277056313993171</v>
      </c>
      <c r="H15" s="289">
        <v>8259</v>
      </c>
      <c r="I15" s="293">
        <f t="shared" ref="I15:M15" si="3">(I37+SUM($E$33:$E$39))/$E$42</f>
        <v>163.43183903113734</v>
      </c>
      <c r="J15" s="293">
        <f t="shared" si="3"/>
        <v>183.73265862182612</v>
      </c>
      <c r="K15" s="293">
        <f t="shared" si="3"/>
        <v>212.17085378732105</v>
      </c>
      <c r="L15" s="293">
        <f t="shared" si="3"/>
        <v>296.50623053285739</v>
      </c>
      <c r="M15" s="293">
        <f t="shared" si="3"/>
        <v>484.28715465142193</v>
      </c>
    </row>
    <row r="16" spans="2:13" ht="16">
      <c r="B16" s="267" t="str">
        <f>"CY "&amp;TEXT(EOMONTH(Hist_Year,12),"YY")&amp;" TEV / EBITDA:"</f>
        <v>CY 25 TEV / EBITDA:</v>
      </c>
      <c r="C16" s="288">
        <v>60.302436666923853</v>
      </c>
      <c r="D16" s="288">
        <v>22.686331853006102</v>
      </c>
      <c r="E16" s="288">
        <v>19.434286685654396</v>
      </c>
      <c r="F16" s="288">
        <v>17.420836989573147</v>
      </c>
      <c r="G16" s="288">
        <v>15.075589224904039</v>
      </c>
      <c r="H16" s="289">
        <v>8747.9925771195904</v>
      </c>
      <c r="I16" s="293">
        <f t="shared" ref="I16:M16" si="4">(I38+SUM($E$33:$E$39))/$E$42</f>
        <v>160.33738796114096</v>
      </c>
      <c r="J16" s="293">
        <f t="shared" si="4"/>
        <v>185.22362041726868</v>
      </c>
      <c r="K16" s="293">
        <f t="shared" si="4"/>
        <v>206.58902919422457</v>
      </c>
      <c r="L16" s="293">
        <f t="shared" si="4"/>
        <v>241.09760147036525</v>
      </c>
      <c r="M16" s="293">
        <f t="shared" si="4"/>
        <v>640.25505621600439</v>
      </c>
    </row>
    <row r="17" spans="2:13" ht="16">
      <c r="B17" s="267" t="str">
        <f>"CY "&amp;TEXT(EOMONTH(Hist_Year,24),"YY")&amp;" TEV / EBITDA:"</f>
        <v>CY 26 TEV / EBITDA:</v>
      </c>
      <c r="C17" s="288">
        <v>54.131451227041161</v>
      </c>
      <c r="D17" s="288">
        <v>20.032959706455678</v>
      </c>
      <c r="E17" s="288">
        <v>19.034560906615475</v>
      </c>
      <c r="F17" s="288">
        <v>15.909440173126161</v>
      </c>
      <c r="G17" s="288">
        <v>13.532844905658918</v>
      </c>
      <c r="H17" s="289">
        <v>9202.1888249477997</v>
      </c>
      <c r="I17" s="293">
        <f t="shared" ref="I17:M17" si="5">(I39+SUM($E$33:$E$39))/$E$42</f>
        <v>151.42260330010464</v>
      </c>
      <c r="J17" s="293">
        <f t="shared" si="5"/>
        <v>177.95084009257297</v>
      </c>
      <c r="K17" s="293">
        <f t="shared" si="5"/>
        <v>212.83433243891943</v>
      </c>
      <c r="L17" s="293">
        <f t="shared" si="5"/>
        <v>223.97874568337699</v>
      </c>
      <c r="M17" s="293">
        <f t="shared" si="5"/>
        <v>604.59587040233509</v>
      </c>
    </row>
    <row r="18" spans="2:13" ht="16">
      <c r="B18" s="267" t="s">
        <v>239</v>
      </c>
      <c r="C18" s="288">
        <v>54.429515572898183</v>
      </c>
      <c r="D18" s="288">
        <v>38.392141244405948</v>
      </c>
      <c r="E18" s="288">
        <v>29.366255731625081</v>
      </c>
      <c r="F18" s="288">
        <v>25.799239491150438</v>
      </c>
      <c r="G18" s="288">
        <v>23.328187355188561</v>
      </c>
      <c r="H18" s="289">
        <v>7177</v>
      </c>
      <c r="I18" s="293">
        <f>I40/$E$42</f>
        <v>203.08879263487179</v>
      </c>
      <c r="J18" s="293">
        <f t="shared" ref="J18:M18" si="6">J40/$E$42</f>
        <v>224.60109392041085</v>
      </c>
      <c r="K18" s="293">
        <f t="shared" si="6"/>
        <v>255.65455772182585</v>
      </c>
      <c r="L18" s="293">
        <f t="shared" si="6"/>
        <v>334.23143827159328</v>
      </c>
      <c r="M18" s="293">
        <f t="shared" si="6"/>
        <v>473.84841492805708</v>
      </c>
    </row>
    <row r="19" spans="2:13" ht="16">
      <c r="B19" s="267" t="str">
        <f>"CY "&amp;TEXT(EOMONTH(Hist_Year,12),"YY")&amp;" P / E:"</f>
        <v>CY 25 P / E:</v>
      </c>
      <c r="C19" s="288">
        <v>44.473275885556603</v>
      </c>
      <c r="D19" s="288">
        <v>27.085085705701577</v>
      </c>
      <c r="E19" s="288">
        <v>23.504669748438875</v>
      </c>
      <c r="F19" s="288">
        <v>21.763850892055572</v>
      </c>
      <c r="G19" s="288">
        <v>21.060603666245253</v>
      </c>
      <c r="H19" s="289">
        <v>7016.7458934992974</v>
      </c>
      <c r="I19" s="293">
        <f t="shared" ref="I19:M19" si="7">I41/$E$42</f>
        <v>179.25388681434092</v>
      </c>
      <c r="J19" s="293">
        <f t="shared" si="7"/>
        <v>185.23946066662052</v>
      </c>
      <c r="K19" s="293">
        <f t="shared" si="7"/>
        <v>200.05615591389574</v>
      </c>
      <c r="L19" s="293">
        <f t="shared" si="7"/>
        <v>230.53028129616456</v>
      </c>
      <c r="M19" s="293">
        <f t="shared" si="7"/>
        <v>378.52702079141272</v>
      </c>
    </row>
    <row r="20" spans="2:13" ht="16">
      <c r="B20" s="267" t="str">
        <f>"CY "&amp;TEXT(EOMONTH(Hist_Year,24),"YY")&amp;" P / E:"</f>
        <v>CY 26 P / E:</v>
      </c>
      <c r="C20" s="288">
        <v>43.261941522914974</v>
      </c>
      <c r="D20" s="288">
        <v>23.917239424332969</v>
      </c>
      <c r="E20" s="288">
        <v>20.48696854693118</v>
      </c>
      <c r="F20" s="288">
        <v>19.158319447232014</v>
      </c>
      <c r="G20" s="288">
        <v>17.619692465096605</v>
      </c>
      <c r="H20" s="289">
        <v>7397.2100046436117</v>
      </c>
      <c r="I20" s="293">
        <f t="shared" ref="I20:M20" si="8">I42/$E$42</f>
        <v>158.09869648417791</v>
      </c>
      <c r="J20" s="293">
        <f t="shared" si="8"/>
        <v>171.90455153714572</v>
      </c>
      <c r="K20" s="293">
        <f t="shared" si="8"/>
        <v>183.82630846698001</v>
      </c>
      <c r="L20" s="293">
        <f t="shared" si="8"/>
        <v>214.6055831551825</v>
      </c>
      <c r="M20" s="293">
        <f t="shared" si="8"/>
        <v>388.18251656187954</v>
      </c>
    </row>
    <row r="21" spans="2:13" ht="16">
      <c r="B21" s="267"/>
      <c r="C21" s="288"/>
      <c r="D21" s="288"/>
      <c r="E21" s="288"/>
      <c r="F21" s="288"/>
      <c r="G21" s="288"/>
      <c r="H21" s="289"/>
      <c r="I21" s="293"/>
      <c r="J21" s="293"/>
      <c r="K21" s="293"/>
      <c r="L21" s="293"/>
      <c r="M21" s="293"/>
    </row>
    <row r="22" spans="2:13" ht="16">
      <c r="B22" s="465" t="s">
        <v>240</v>
      </c>
      <c r="C22" s="288"/>
      <c r="D22" s="288"/>
      <c r="E22" s="288"/>
      <c r="F22" s="288"/>
      <c r="G22" s="288"/>
      <c r="H22" s="289"/>
      <c r="I22" s="293"/>
      <c r="J22" s="293"/>
      <c r="K22" s="293"/>
      <c r="L22" s="293"/>
      <c r="M22" s="293"/>
    </row>
    <row r="23" spans="2:13" ht="16">
      <c r="B23" s="617" t="str">
        <f>TEXT(LTM,"yyyy-mm-dd")&amp;" EV / Revenue:"</f>
        <v>2024-10-27 EV / Revenue:</v>
      </c>
      <c r="C23" s="288" cm="1">
        <f t="array" ref="C23:G24">TRANSPOSE(MAComps!H18:I22)</f>
        <v>13.273854858013273</v>
      </c>
      <c r="D23" s="288">
        <v>7.9772079772079776</v>
      </c>
      <c r="E23" s="288">
        <v>3.5991155173616081</v>
      </c>
      <c r="F23" s="288">
        <v>3.0996661897949451</v>
      </c>
      <c r="G23" s="288">
        <v>3.0920987062769525</v>
      </c>
      <c r="H23" s="289">
        <f>PubComps!N22</f>
        <v>27176</v>
      </c>
      <c r="I23" s="293">
        <f>(I44+SUM($E$33:$E$39))/$E$42</f>
        <v>102.29485012346248</v>
      </c>
      <c r="J23" s="293">
        <f t="shared" ref="J23:M24" si="9">(J44+SUM($E$33:$E$39))/$E$42</f>
        <v>102.54430904156652</v>
      </c>
      <c r="K23" s="293">
        <f t="shared" si="9"/>
        <v>119.00844650633074</v>
      </c>
      <c r="L23" s="293">
        <f t="shared" si="9"/>
        <v>263.33042696337219</v>
      </c>
      <c r="M23" s="293">
        <f t="shared" si="9"/>
        <v>437.93216839079173</v>
      </c>
    </row>
    <row r="24" spans="2:13" ht="16">
      <c r="B24" s="617" t="str">
        <f>TEXT(LTM,"yyyy-mm-dd")&amp;" EV / EBITDA:"</f>
        <v>2024-10-27 EV / EBITDA:</v>
      </c>
      <c r="C24" s="288">
        <v>44.668192219679632</v>
      </c>
      <c r="D24" s="288">
        <v>23.892483822797409</v>
      </c>
      <c r="E24" s="288">
        <v>19.867549668874172</v>
      </c>
      <c r="F24" s="288">
        <v>16.761584415584416</v>
      </c>
      <c r="G24" s="288">
        <v>8.7439044896586502</v>
      </c>
      <c r="H24" s="289">
        <f>PubComps!Q22</f>
        <v>8259</v>
      </c>
      <c r="I24" s="293">
        <f>(I45+SUM($E$33:$E$39))/$E$42</f>
        <v>87.963254706563319</v>
      </c>
      <c r="J24" s="293">
        <f t="shared" si="9"/>
        <v>168.28593606054307</v>
      </c>
      <c r="K24" s="293">
        <f t="shared" si="9"/>
        <v>199.40210178946117</v>
      </c>
      <c r="L24" s="293">
        <f t="shared" si="9"/>
        <v>239.72467721067903</v>
      </c>
      <c r="M24" s="293">
        <f t="shared" si="9"/>
        <v>447.85977625222478</v>
      </c>
    </row>
    <row r="25" spans="2:13" ht="16">
      <c r="B25" s="617" t="s">
        <v>492</v>
      </c>
      <c r="C25" s="637" cm="1">
        <f t="array" ref="C25:G27">TRANSPOSE(MAComps!N18:P22)</f>
        <v>0.5478971962616821</v>
      </c>
      <c r="D25" s="637">
        <v>4.9414626729511912E-2</v>
      </c>
      <c r="E25" s="637">
        <v>1.1865915158706386E-3</v>
      </c>
      <c r="F25" s="637">
        <v>-0.26636568848758457</v>
      </c>
      <c r="G25" s="637">
        <v>-0.28611595889082808</v>
      </c>
      <c r="H25" s="289">
        <f>SharePrice</f>
        <v>175.55</v>
      </c>
      <c r="I25" s="638">
        <f>+$H25*(1+G25)</f>
        <v>125.32234341671514</v>
      </c>
      <c r="J25" s="638">
        <f>+$H25*(1+F25)</f>
        <v>128.78950338600453</v>
      </c>
      <c r="K25" s="638">
        <f>+$H25*(1+E25)</f>
        <v>175.7583061406111</v>
      </c>
      <c r="L25" s="638">
        <f>+$H25*(1+D25)</f>
        <v>184.22473772236583</v>
      </c>
      <c r="M25" s="638">
        <f>+$H25*(1+C25)</f>
        <v>271.73335280373828</v>
      </c>
    </row>
    <row r="26" spans="2:13" ht="16">
      <c r="B26" s="617" t="s">
        <v>493</v>
      </c>
      <c r="C26" s="637">
        <v>0.43165856293895177</v>
      </c>
      <c r="D26" s="637">
        <v>0.11592562651576377</v>
      </c>
      <c r="E26" s="637">
        <v>2.0783847980998527E-3</v>
      </c>
      <c r="F26" s="637">
        <v>-0.25210766886744551</v>
      </c>
      <c r="G26" s="637">
        <v>-0.31946890020463525</v>
      </c>
      <c r="H26" s="289">
        <v>176</v>
      </c>
      <c r="I26" s="638">
        <f t="shared" ref="I26:I27" si="10">+$H26*(1+G26)</f>
        <v>119.7734735639842</v>
      </c>
      <c r="J26" s="638">
        <f t="shared" ref="J26:J27" si="11">+$H26*(1+F26)</f>
        <v>131.62905027932959</v>
      </c>
      <c r="K26" s="638">
        <f t="shared" ref="K26:K27" si="12">+$H26*(1+E26)</f>
        <v>176.36579572446558</v>
      </c>
      <c r="L26" s="638">
        <f t="shared" ref="L26:L27" si="13">+$H26*(1+D26)</f>
        <v>196.40291026677443</v>
      </c>
      <c r="M26" s="638">
        <f t="shared" ref="M26:M27" si="14">+$H26*(1+C26)</f>
        <v>251.97190707725551</v>
      </c>
    </row>
    <row r="27" spans="2:13" ht="16">
      <c r="B27" s="617" t="s">
        <v>494</v>
      </c>
      <c r="C27" s="637">
        <v>0.41446490525753932</v>
      </c>
      <c r="D27" s="637">
        <v>0.18144471071550838</v>
      </c>
      <c r="E27" s="637">
        <v>4.1024059222702025E-2</v>
      </c>
      <c r="F27" s="637">
        <v>-0.25089022281005202</v>
      </c>
      <c r="G27" s="637">
        <v>-0.27730327993126802</v>
      </c>
      <c r="H27" s="289">
        <v>186</v>
      </c>
      <c r="I27" s="638">
        <f t="shared" si="10"/>
        <v>134.42158993278414</v>
      </c>
      <c r="J27" s="638">
        <f t="shared" si="11"/>
        <v>139.33441855733034</v>
      </c>
      <c r="K27" s="638">
        <f t="shared" si="12"/>
        <v>193.63047501542258</v>
      </c>
      <c r="L27" s="638">
        <f t="shared" si="13"/>
        <v>219.74871619308456</v>
      </c>
      <c r="M27" s="638">
        <f t="shared" si="14"/>
        <v>263.0904723779023</v>
      </c>
    </row>
    <row r="28" spans="2:13" ht="16"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</row>
    <row r="29" spans="2:13" ht="16">
      <c r="B29" s="43" t="s">
        <v>241</v>
      </c>
      <c r="C29" s="16"/>
      <c r="D29" s="16"/>
      <c r="E29" s="16"/>
      <c r="F29" s="16"/>
      <c r="G29" s="16"/>
      <c r="H29" s="16"/>
      <c r="I29" s="253"/>
      <c r="J29" s="253"/>
      <c r="K29" s="253"/>
      <c r="L29" s="253"/>
      <c r="M29" s="253"/>
    </row>
    <row r="30" spans="2:13" ht="16">
      <c r="B30" s="267" t="s">
        <v>503</v>
      </c>
      <c r="C30" s="16"/>
      <c r="D30" s="16"/>
      <c r="E30" s="16"/>
      <c r="F30" s="16"/>
      <c r="G30" s="16"/>
      <c r="H30" s="16"/>
      <c r="I30" s="294">
        <f>DCF!O110</f>
        <v>140.51478751616125</v>
      </c>
      <c r="J30" s="294">
        <f>DCF!M108</f>
        <v>158.55423263590322</v>
      </c>
      <c r="K30" s="294">
        <f>DCF!J105</f>
        <v>198.99242393645167</v>
      </c>
      <c r="L30" s="294">
        <f>DCF!H103</f>
        <v>242.67187918681938</v>
      </c>
      <c r="M30" s="294">
        <f>DCF!E100</f>
        <v>373.39281827313482</v>
      </c>
    </row>
    <row r="31" spans="2:13" ht="16">
      <c r="B31" s="267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</row>
    <row r="32" spans="2:13" ht="16">
      <c r="B32" s="272" t="s">
        <v>242</v>
      </c>
      <c r="C32" s="273"/>
      <c r="D32" s="273"/>
      <c r="E32" s="274">
        <f>I34</f>
        <v>133060.07673117393</v>
      </c>
      <c r="F32" s="16"/>
      <c r="G32" s="275" t="s">
        <v>243</v>
      </c>
      <c r="H32" s="275"/>
      <c r="I32" s="275"/>
      <c r="J32" s="276"/>
      <c r="K32" s="276"/>
      <c r="L32" s="276"/>
      <c r="M32" s="276"/>
    </row>
    <row r="33" spans="2:13" ht="16">
      <c r="B33" s="132" t="str">
        <f>DCF!I28</f>
        <v>(+) Cash and Investments:</v>
      </c>
      <c r="C33" s="18"/>
      <c r="D33" s="18"/>
      <c r="E33" s="271">
        <f>DCF!L28</f>
        <v>6132</v>
      </c>
      <c r="F33" s="16"/>
      <c r="G33" s="16"/>
      <c r="H33" s="16"/>
      <c r="I33" s="16"/>
      <c r="J33" s="16"/>
      <c r="K33" s="16"/>
      <c r="L33" s="16"/>
      <c r="M33" s="16"/>
    </row>
    <row r="34" spans="2:13" ht="16">
      <c r="B34" s="132" t="str">
        <f>DCF!I29</f>
        <v>(+) Net Operating Losses:</v>
      </c>
      <c r="C34" s="16"/>
      <c r="D34" s="16"/>
      <c r="E34" s="271">
        <f>DCF!L29</f>
        <v>0</v>
      </c>
      <c r="F34" s="16"/>
      <c r="G34" s="270" t="s">
        <v>244</v>
      </c>
      <c r="H34" s="291"/>
      <c r="I34" s="244">
        <f t="shared" ref="I34:I42" si="15">G12*$H12</f>
        <v>133060.07673117393</v>
      </c>
      <c r="J34" s="244">
        <f t="shared" ref="J34:J42" si="16">F12*$H12</f>
        <v>158591.31433217973</v>
      </c>
      <c r="K34" s="244">
        <f t="shared" ref="K34:K42" si="17">E12*$H12</f>
        <v>241117.68755503555</v>
      </c>
      <c r="L34" s="244">
        <f t="shared" ref="L34:L42" si="18">D12*$H12</f>
        <v>271429.76405908982</v>
      </c>
      <c r="M34" s="244">
        <f t="shared" ref="M34:M42" si="19">C12*$H12</f>
        <v>451873.35729727644</v>
      </c>
    </row>
    <row r="35" spans="2:13" ht="16">
      <c r="B35" s="132" t="str">
        <f>DCF!I30</f>
        <v>(-)Debt and Finance Leases:</v>
      </c>
      <c r="C35" s="16"/>
      <c r="D35" s="16"/>
      <c r="E35" s="271">
        <f>DCF!L30</f>
        <v>-5461</v>
      </c>
      <c r="F35" s="16"/>
      <c r="G35" s="270" t="s">
        <v>244</v>
      </c>
      <c r="H35" s="16"/>
      <c r="I35" s="244">
        <f t="shared" si="15"/>
        <v>127996.48468627155</v>
      </c>
      <c r="J35" s="244">
        <f t="shared" si="16"/>
        <v>157244.78338567971</v>
      </c>
      <c r="K35" s="244">
        <f t="shared" si="17"/>
        <v>217570.71999110995</v>
      </c>
      <c r="L35" s="244">
        <f t="shared" si="18"/>
        <v>229688.8319404202</v>
      </c>
      <c r="M35" s="244">
        <f t="shared" si="19"/>
        <v>568118.03901058284</v>
      </c>
    </row>
    <row r="36" spans="2:13" ht="16">
      <c r="B36" s="132" t="str">
        <f>DCF!I31</f>
        <v>(-)Preferred Stock:</v>
      </c>
      <c r="C36" s="16"/>
      <c r="D36" s="16"/>
      <c r="E36" s="271">
        <f>DCF!L31</f>
        <v>0</v>
      </c>
      <c r="F36" s="16"/>
      <c r="G36" s="270" t="s">
        <v>244</v>
      </c>
      <c r="H36" s="16"/>
      <c r="I36" s="244">
        <f t="shared" si="15"/>
        <v>120481.20907001395</v>
      </c>
      <c r="J36" s="244">
        <f t="shared" si="16"/>
        <v>150580.45085465029</v>
      </c>
      <c r="K36" s="244">
        <f t="shared" si="17"/>
        <v>201459.4999074559</v>
      </c>
      <c r="L36" s="244">
        <f t="shared" si="18"/>
        <v>235896.01415226731</v>
      </c>
      <c r="M36" s="244">
        <f t="shared" si="19"/>
        <v>534761.15693528752</v>
      </c>
    </row>
    <row r="37" spans="2:13" ht="16">
      <c r="B37" s="132" t="str">
        <f>DCF!I32</f>
        <v>(-) Operating Leases:</v>
      </c>
      <c r="C37" s="16"/>
      <c r="D37" s="16"/>
      <c r="E37" s="271">
        <f>DCF!L32</f>
        <v>-370</v>
      </c>
      <c r="F37" s="16"/>
      <c r="G37" s="270" t="s">
        <v>244</v>
      </c>
      <c r="H37" s="16"/>
      <c r="I37" s="244">
        <f t="shared" si="15"/>
        <v>134432.20809726961</v>
      </c>
      <c r="J37" s="244">
        <f t="shared" si="16"/>
        <v>151168.20376783345</v>
      </c>
      <c r="K37" s="244">
        <f t="shared" si="17"/>
        <v>174612.65186226746</v>
      </c>
      <c r="L37" s="244">
        <f t="shared" si="18"/>
        <v>244138.73645128761</v>
      </c>
      <c r="M37" s="244">
        <f t="shared" si="19"/>
        <v>398945.33029463224</v>
      </c>
    </row>
    <row r="38" spans="2:13" ht="16">
      <c r="B38" s="132" t="str">
        <f>DCF!I33</f>
        <v>(-) Noncontrolling Interests:</v>
      </c>
      <c r="C38" s="16"/>
      <c r="D38" s="16"/>
      <c r="E38" s="271">
        <f>DCF!L33</f>
        <v>0</v>
      </c>
      <c r="F38" s="16"/>
      <c r="G38" s="270" t="s">
        <v>244</v>
      </c>
      <c r="H38" s="16"/>
      <c r="I38" s="244">
        <f t="shared" si="15"/>
        <v>131881.14263516461</v>
      </c>
      <c r="J38" s="244">
        <f t="shared" si="16"/>
        <v>152397.35267199628</v>
      </c>
      <c r="K38" s="244">
        <f t="shared" si="17"/>
        <v>170010.99566771873</v>
      </c>
      <c r="L38" s="244">
        <f t="shared" si="18"/>
        <v>198459.8626521691</v>
      </c>
      <c r="M38" s="244">
        <f t="shared" si="19"/>
        <v>527525.26834447403</v>
      </c>
    </row>
    <row r="39" spans="2:13" ht="16">
      <c r="B39" s="132" t="str">
        <f>DCF!I34</f>
        <v>(-)Unfunded Pensions:</v>
      </c>
      <c r="C39" s="16"/>
      <c r="D39" s="16"/>
      <c r="E39" s="277">
        <f>DCF!L34</f>
        <v>0</v>
      </c>
      <c r="F39" s="16"/>
      <c r="G39" s="270" t="s">
        <v>244</v>
      </c>
      <c r="H39" s="16"/>
      <c r="I39" s="244">
        <f t="shared" si="15"/>
        <v>124531.79416060625</v>
      </c>
      <c r="J39" s="244">
        <f t="shared" si="16"/>
        <v>146401.67257231715</v>
      </c>
      <c r="K39" s="244">
        <f t="shared" si="17"/>
        <v>175159.62366264517</v>
      </c>
      <c r="L39" s="244">
        <f t="shared" si="18"/>
        <v>184347.07794137599</v>
      </c>
      <c r="M39" s="244">
        <f t="shared" si="19"/>
        <v>498127.83555968502</v>
      </c>
    </row>
    <row r="40" spans="2:13" ht="16">
      <c r="B40" s="278" t="str">
        <f>DCF!I36</f>
        <v xml:space="preserve">Implied Equity Value: </v>
      </c>
      <c r="C40" s="279"/>
      <c r="D40" s="279"/>
      <c r="E40" s="280">
        <f>SUM(ValSum!E32:E39)</f>
        <v>133361.07673117393</v>
      </c>
      <c r="F40" s="16"/>
      <c r="G40" s="270" t="s">
        <v>245</v>
      </c>
      <c r="H40" s="16"/>
      <c r="I40" s="244">
        <f t="shared" si="15"/>
        <v>167426.40064818831</v>
      </c>
      <c r="J40" s="244">
        <f t="shared" si="16"/>
        <v>185161.14182798669</v>
      </c>
      <c r="K40" s="244">
        <f t="shared" si="17"/>
        <v>210761.61738587322</v>
      </c>
      <c r="L40" s="244">
        <f t="shared" si="18"/>
        <v>275540.39771110151</v>
      </c>
      <c r="M40" s="244">
        <f t="shared" si="19"/>
        <v>390640.63326669025</v>
      </c>
    </row>
    <row r="41" spans="2:13" ht="16">
      <c r="B41" s="16"/>
      <c r="C41" s="16"/>
      <c r="D41" s="16"/>
      <c r="E41" s="16"/>
      <c r="F41" s="16"/>
      <c r="G41" s="270" t="s">
        <v>245</v>
      </c>
      <c r="H41" s="16"/>
      <c r="I41" s="244">
        <f t="shared" si="15"/>
        <v>147776.90428974264</v>
      </c>
      <c r="J41" s="244">
        <f t="shared" si="16"/>
        <v>152711.41137356195</v>
      </c>
      <c r="K41" s="244">
        <f t="shared" si="17"/>
        <v>164926.29493541564</v>
      </c>
      <c r="L41" s="244">
        <f t="shared" si="18"/>
        <v>190049.16390055805</v>
      </c>
      <c r="M41" s="244">
        <f t="shared" si="19"/>
        <v>312057.67594044062</v>
      </c>
    </row>
    <row r="42" spans="2:13" ht="16">
      <c r="B42" s="18" t="s">
        <v>6</v>
      </c>
      <c r="C42" s="18"/>
      <c r="D42" s="18"/>
      <c r="E42" s="281">
        <f>DCF!L38</f>
        <v>824.4</v>
      </c>
      <c r="F42" s="16"/>
      <c r="G42" s="270" t="s">
        <v>245</v>
      </c>
      <c r="H42" s="16"/>
      <c r="I42" s="244">
        <f t="shared" si="15"/>
        <v>130336.56538155627</v>
      </c>
      <c r="J42" s="244">
        <f t="shared" si="16"/>
        <v>141718.11228722293</v>
      </c>
      <c r="K42" s="244">
        <f t="shared" si="17"/>
        <v>151546.40870017832</v>
      </c>
      <c r="L42" s="244">
        <f t="shared" si="18"/>
        <v>176920.84275313246</v>
      </c>
      <c r="M42" s="244">
        <f t="shared" si="19"/>
        <v>320017.6666536135</v>
      </c>
    </row>
    <row r="43" spans="2:13" ht="16">
      <c r="B43" s="18"/>
      <c r="C43" s="18"/>
      <c r="D43" s="18"/>
      <c r="E43" s="18"/>
      <c r="F43" s="16"/>
      <c r="G43" s="16"/>
      <c r="H43" s="16"/>
      <c r="I43" s="16"/>
      <c r="J43" s="16"/>
      <c r="K43" s="16"/>
      <c r="L43" s="16"/>
      <c r="M43" s="16"/>
    </row>
    <row r="44" spans="2:13" ht="16">
      <c r="B44" s="282" t="s">
        <v>223</v>
      </c>
      <c r="C44" s="283"/>
      <c r="D44" s="283"/>
      <c r="E44" s="284">
        <f>E40/E42</f>
        <v>161.76743902374326</v>
      </c>
      <c r="F44" s="16"/>
      <c r="G44" s="270" t="s">
        <v>244</v>
      </c>
      <c r="H44" s="270"/>
      <c r="I44" s="244">
        <f>+G23*$H23</f>
        <v>84030.874441782464</v>
      </c>
      <c r="J44" s="244">
        <f>H23*F23</f>
        <v>84236.528373867433</v>
      </c>
      <c r="K44" s="244">
        <f>H23*E23</f>
        <v>97809.563299819056</v>
      </c>
      <c r="L44" s="244">
        <f>H23*D23</f>
        <v>216788.60398860401</v>
      </c>
      <c r="M44" s="244">
        <f>H23*C23</f>
        <v>360730.27962136868</v>
      </c>
    </row>
    <row r="45" spans="2:13" ht="16">
      <c r="B45" s="285" t="s">
        <v>224</v>
      </c>
      <c r="C45" s="286"/>
      <c r="D45" s="286"/>
      <c r="E45" s="287">
        <f>E44/SharePrice-1</f>
        <v>-7.8510743242704351E-2</v>
      </c>
      <c r="F45" s="16"/>
      <c r="G45" s="270" t="s">
        <v>244</v>
      </c>
      <c r="H45" s="270"/>
      <c r="I45" s="244">
        <f>+G24*$H24</f>
        <v>72215.907180090799</v>
      </c>
      <c r="J45" s="244">
        <f>H24*F24</f>
        <v>138433.92568831169</v>
      </c>
      <c r="K45" s="244">
        <f>H24*E24</f>
        <v>164086.09271523179</v>
      </c>
      <c r="L45" s="244">
        <f>H24*D24</f>
        <v>197328.02389248379</v>
      </c>
      <c r="M45" s="244">
        <f>H24*C24</f>
        <v>368914.59954233409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26</vt:i4>
      </vt:variant>
    </vt:vector>
  </HeadingPairs>
  <TitlesOfParts>
    <vt:vector size="39" baseType="lpstr">
      <vt:lpstr>Cover</vt:lpstr>
      <vt:lpstr>Summary</vt:lpstr>
      <vt:lpstr>Graphs</vt:lpstr>
      <vt:lpstr>Model</vt:lpstr>
      <vt:lpstr>Debt</vt:lpstr>
      <vt:lpstr>Q3_Results</vt:lpstr>
      <vt:lpstr>DCF</vt:lpstr>
      <vt:lpstr>WACC</vt:lpstr>
      <vt:lpstr>ValSum</vt:lpstr>
      <vt:lpstr>ValGraph</vt:lpstr>
      <vt:lpstr>PubComps</vt:lpstr>
      <vt:lpstr>PubCompsData</vt:lpstr>
      <vt:lpstr>MAComps</vt:lpstr>
      <vt:lpstr>CompanyName</vt:lpstr>
      <vt:lpstr>Cost_of_Debt</vt:lpstr>
      <vt:lpstr>Cost_of_Preferred</vt:lpstr>
      <vt:lpstr>DilutedShares</vt:lpstr>
      <vt:lpstr>DiscountRate</vt:lpstr>
      <vt:lpstr>Equity_Risk_Premium</vt:lpstr>
      <vt:lpstr>Forward_Year_1</vt:lpstr>
      <vt:lpstr>Forward_Year_2</vt:lpstr>
      <vt:lpstr>Forward_Year_3</vt:lpstr>
      <vt:lpstr>Hist_Year</vt:lpstr>
      <vt:lpstr>LTM</vt:lpstr>
      <vt:lpstr>Next_Year</vt:lpstr>
      <vt:lpstr>Pub_Comps_Params</vt:lpstr>
      <vt:lpstr>Pub_Comps_Range</vt:lpstr>
      <vt:lpstr>Pub_Comps_Tickers</vt:lpstr>
      <vt:lpstr>Risk_Free_Rate</vt:lpstr>
      <vt:lpstr>Scenario</vt:lpstr>
      <vt:lpstr>SharePrice</vt:lpstr>
      <vt:lpstr>TaxRate</vt:lpstr>
      <vt:lpstr>ThreeStateparams</vt:lpstr>
      <vt:lpstr>ThreeStateRange</vt:lpstr>
      <vt:lpstr>ThreeStateyears</vt:lpstr>
      <vt:lpstr>Ticker</vt:lpstr>
      <vt:lpstr>Units</vt:lpstr>
      <vt:lpstr>Units1</vt:lpstr>
      <vt:lpstr>Valuation_Date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glenn Rentrop</dc:creator>
  <cp:lastModifiedBy>glenn Rentrop</cp:lastModifiedBy>
  <dcterms:created xsi:type="dcterms:W3CDTF">2024-09-05T15:31:32Z</dcterms:created>
  <dcterms:modified xsi:type="dcterms:W3CDTF">2025-10-15T15:16:54Z</dcterms:modified>
</cp:coreProperties>
</file>