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359063f627c2eb15/Documents/atlantic-walk-research/public/models/"/>
    </mc:Choice>
  </mc:AlternateContent>
  <xr:revisionPtr revIDLastSave="0" documentId="8_{D3C4CEFB-0C72-4A41-BF99-4D0F13D93B57}" xr6:coauthVersionLast="47" xr6:coauthVersionMax="47" xr10:uidLastSave="{00000000-0000-0000-0000-000000000000}"/>
  <bookViews>
    <workbookView xWindow="-110" yWindow="-110" windowWidth="19420" windowHeight="11500" tabRatio="816" activeTab="3" xr2:uid="{8E3CDC5C-1809-4550-9A94-54B706B8A3CD}"/>
  </bookViews>
  <sheets>
    <sheet name="Cover" sheetId="11" r:id="rId1"/>
    <sheet name="Summary" sheetId="12" r:id="rId2"/>
    <sheet name="Model" sheetId="2" r:id="rId3"/>
    <sheet name="Drivers" sheetId="3" r:id="rId4"/>
    <sheet name="DCF" sheetId="4" r:id="rId5"/>
    <sheet name="WACC" sheetId="7" r:id="rId6"/>
    <sheet name="PubComps" sheetId="6" r:id="rId7"/>
    <sheet name="Valsum" sheetId="9" r:id="rId8"/>
    <sheet name="Valgraph" sheetId="10" r:id="rId9"/>
    <sheet name="PubComps_data" sheetId="5" r:id="rId10"/>
    <sheet name="MAComps" sheetId="8" r:id="rId11"/>
    <sheet name="PPT" sheetId="13" r:id="rId12"/>
  </sheets>
  <definedNames>
    <definedName name="burden">DCF!$L$7</definedName>
    <definedName name="COGs_Mix">Drivers!$K$116</definedName>
    <definedName name="Company_Name">Model!$G$5</definedName>
    <definedName name="Cost_of_Debt">WACC!$F$8</definedName>
    <definedName name="Cost_of_Preferred">WACC!$F$9</definedName>
    <definedName name="Diluted">Model!$G$8</definedName>
    <definedName name="Discount_Rate">DCF!$G$14</definedName>
    <definedName name="Equity_Risk_Premium">WACC!$F$7</definedName>
    <definedName name="Forward_Year_1">Model!$N$12</definedName>
    <definedName name="Forward_Year_2">Model!$N$13</definedName>
    <definedName name="Forward_Year_3">Model!$N$14</definedName>
    <definedName name="Hist_Year">Model!$N$5</definedName>
    <definedName name="LTM">Model!$N$11</definedName>
    <definedName name="Platform">DCF!$G$7</definedName>
    <definedName name="Pub_Comps_Params">PubComps_data!$C$3:$C$102</definedName>
    <definedName name="Pub_Comps_Range">PubComps_data!$C$3:$AL$102</definedName>
    <definedName name="Pub_Comps_Tickers">PubComps_data!$C$3:$AL$3</definedName>
    <definedName name="Risk_Free_Rate">WACC!$F$6</definedName>
    <definedName name="Scenario">DCF!$G$6</definedName>
    <definedName name="Share_Price">Model!$G$7</definedName>
    <definedName name="Tariff">DCF!$G$7</definedName>
    <definedName name="Tax_Rate">Model!$G$10</definedName>
    <definedName name="Terminal_Growth_Rate">DCF!$Q$14</definedName>
    <definedName name="Ticker">Model!$G$6</definedName>
    <definedName name="Units">Model!$G$13</definedName>
    <definedName name="Valuation_date">Model!$N$8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I76" i="2" l="1"/>
  <c r="J76" i="2"/>
  <c r="K76" i="2"/>
  <c r="L76" i="2"/>
  <c r="M76" i="2"/>
  <c r="N76" i="2"/>
  <c r="O76" i="2"/>
  <c r="P76" i="2"/>
  <c r="H76" i="2"/>
  <c r="L31" i="13"/>
  <c r="P39" i="3"/>
  <c r="O39" i="3"/>
  <c r="N39" i="3"/>
  <c r="M39" i="3"/>
  <c r="L39" i="3"/>
  <c r="L28" i="3"/>
  <c r="P17" i="3"/>
  <c r="O17" i="3"/>
  <c r="N17" i="3"/>
  <c r="M17" i="3"/>
  <c r="L17" i="3"/>
  <c r="L6" i="3"/>
  <c r="H90" i="13" l="1"/>
  <c r="G90" i="13"/>
  <c r="I92" i="13" s="1"/>
  <c r="F90" i="13" a="1"/>
  <c r="F90" i="13" s="1"/>
  <c r="A80" i="13"/>
  <c r="J114" i="3"/>
  <c r="I114" i="3"/>
  <c r="H114" i="3" a="1"/>
  <c r="H114" i="3" s="1"/>
  <c r="B104" i="3"/>
  <c r="B47" i="4"/>
  <c r="E42" i="9" l="1"/>
  <c r="J25" i="8"/>
  <c r="B25" i="8"/>
  <c r="C3" i="12" l="1"/>
  <c r="C56" i="12"/>
  <c r="C53" i="12"/>
  <c r="C51" i="12"/>
  <c r="C48" i="12"/>
  <c r="C46" i="12"/>
  <c r="H38" i="12"/>
  <c r="I38" i="12"/>
  <c r="J38" i="12"/>
  <c r="G38" i="12"/>
  <c r="H37" i="12"/>
  <c r="I37" i="12"/>
  <c r="J37" i="12"/>
  <c r="G37" i="12"/>
  <c r="H16" i="12"/>
  <c r="I16" i="12"/>
  <c r="J16" i="12"/>
  <c r="G16" i="12"/>
  <c r="H15" i="12"/>
  <c r="I15" i="12"/>
  <c r="J15" i="12"/>
  <c r="G15" i="12"/>
  <c r="H14" i="12"/>
  <c r="I14" i="12"/>
  <c r="J14" i="12"/>
  <c r="G14" i="12"/>
  <c r="H12" i="12"/>
  <c r="I12" i="12"/>
  <c r="J12" i="12"/>
  <c r="G12" i="12"/>
  <c r="H10" i="12"/>
  <c r="I10" i="12"/>
  <c r="J10" i="12"/>
  <c r="G10" i="12"/>
  <c r="H11" i="12"/>
  <c r="I11" i="12"/>
  <c r="J11" i="12"/>
  <c r="G11" i="12"/>
  <c r="J44" i="12"/>
  <c r="O20" i="2"/>
  <c r="P20" i="2" s="1"/>
  <c r="D12" i="11"/>
  <c r="D17" i="11"/>
  <c r="D16" i="11"/>
  <c r="B2" i="11"/>
  <c r="F56" i="10"/>
  <c r="G56" i="10"/>
  <c r="H56" i="10"/>
  <c r="I56" i="10"/>
  <c r="E56" i="10"/>
  <c r="B54" i="10"/>
  <c r="B51" i="10"/>
  <c r="B48" i="10"/>
  <c r="B44" i="10"/>
  <c r="B36" i="10"/>
  <c r="B37" i="10"/>
  <c r="B28" i="11"/>
  <c r="B33" i="11"/>
  <c r="B30" i="11"/>
  <c r="B27" i="11"/>
  <c r="B24" i="11"/>
  <c r="B31" i="11"/>
  <c r="B25" i="11"/>
  <c r="B29" i="11"/>
  <c r="B26" i="11"/>
  <c r="B32" i="11"/>
  <c r="M44" i="10" l="1"/>
  <c r="K45" i="10"/>
  <c r="L45" i="10"/>
  <c r="M45" i="10"/>
  <c r="N45" i="10"/>
  <c r="E37" i="10"/>
  <c r="K1" i="10"/>
  <c r="L44" i="10"/>
  <c r="K44" i="10"/>
  <c r="E34" i="9"/>
  <c r="E36" i="9"/>
  <c r="E37" i="9"/>
  <c r="E38" i="9"/>
  <c r="E39" i="9"/>
  <c r="M30" i="9"/>
  <c r="I37" i="10" s="1"/>
  <c r="L30" i="9"/>
  <c r="H37" i="10" s="1"/>
  <c r="K30" i="9"/>
  <c r="G37" i="10" s="1"/>
  <c r="I30" i="9"/>
  <c r="J30" i="9"/>
  <c r="F37" i="10" s="1"/>
  <c r="G90" i="4"/>
  <c r="H90" i="4" s="1"/>
  <c r="I90" i="4" s="1"/>
  <c r="J90" i="4" s="1"/>
  <c r="K90" i="4" s="1"/>
  <c r="L90" i="4" s="1"/>
  <c r="M90" i="4" s="1"/>
  <c r="N90" i="4" s="1"/>
  <c r="O90" i="4" s="1"/>
  <c r="P90" i="4" s="1"/>
  <c r="G75" i="4"/>
  <c r="H75" i="4" s="1"/>
  <c r="I75" i="4" s="1"/>
  <c r="J75" i="4" s="1"/>
  <c r="K75" i="4" s="1"/>
  <c r="L75" i="4" s="1"/>
  <c r="M75" i="4" s="1"/>
  <c r="N75" i="4" s="1"/>
  <c r="O75" i="4" s="1"/>
  <c r="P75" i="4" s="1"/>
  <c r="H26" i="9"/>
  <c r="H27" i="9"/>
  <c r="H25" i="9"/>
  <c r="I5" i="9"/>
  <c r="C5" i="9"/>
  <c r="B5" i="9"/>
  <c r="B2" i="9"/>
  <c r="B24" i="9"/>
  <c r="B42" i="10" s="1"/>
  <c r="B23" i="9"/>
  <c r="B43" i="10" s="1"/>
  <c r="B20" i="9"/>
  <c r="B46" i="10" s="1"/>
  <c r="B19" i="9"/>
  <c r="B47" i="10" s="1"/>
  <c r="B17" i="9"/>
  <c r="B49" i="10" s="1"/>
  <c r="B16" i="9"/>
  <c r="B50" i="10" s="1"/>
  <c r="B14" i="9"/>
  <c r="B52" i="10" s="1"/>
  <c r="B13" i="9"/>
  <c r="B53" i="10" s="1"/>
  <c r="O45" i="10" l="1"/>
  <c r="O44" i="10"/>
  <c r="N44" i="10"/>
  <c r="K37" i="10" l="1"/>
  <c r="N37" i="10"/>
  <c r="L37" i="10"/>
  <c r="O37" i="10" l="1"/>
  <c r="M37" i="10"/>
  <c r="P17" i="8" l="1"/>
  <c r="O17" i="8"/>
  <c r="N17" i="8"/>
  <c r="I17" i="8"/>
  <c r="H17" i="8"/>
  <c r="I11" i="8"/>
  <c r="G23" i="8"/>
  <c r="F23" i="8"/>
  <c r="G22" i="8"/>
  <c r="F22" i="8"/>
  <c r="G21" i="8"/>
  <c r="F21" i="8"/>
  <c r="F20" i="8"/>
  <c r="G19" i="8"/>
  <c r="F19" i="8"/>
  <c r="P16" i="8"/>
  <c r="O16" i="8"/>
  <c r="N16" i="8"/>
  <c r="H16" i="8"/>
  <c r="G20" i="8"/>
  <c r="P15" i="8"/>
  <c r="O15" i="8"/>
  <c r="N15" i="8"/>
  <c r="I15" i="8"/>
  <c r="H15" i="8"/>
  <c r="P14" i="8"/>
  <c r="O14" i="8"/>
  <c r="N14" i="8"/>
  <c r="I14" i="8"/>
  <c r="H14" i="8"/>
  <c r="P13" i="8"/>
  <c r="O13" i="8"/>
  <c r="N13" i="8"/>
  <c r="I13" i="8"/>
  <c r="H13" i="8"/>
  <c r="P12" i="8"/>
  <c r="O12" i="8"/>
  <c r="N12" i="8"/>
  <c r="E12" i="8"/>
  <c r="E22" i="8" s="1"/>
  <c r="P11" i="8"/>
  <c r="O11" i="8"/>
  <c r="N11" i="8"/>
  <c r="H11" i="8"/>
  <c r="B6" i="8"/>
  <c r="E19" i="8" l="1"/>
  <c r="N20" i="8"/>
  <c r="N23" i="8"/>
  <c r="O20" i="8"/>
  <c r="P20" i="8"/>
  <c r="N22" i="8"/>
  <c r="O22" i="8"/>
  <c r="P22" i="8"/>
  <c r="O23" i="8"/>
  <c r="P23" i="8"/>
  <c r="H12" i="8"/>
  <c r="E21" i="8"/>
  <c r="I12" i="8"/>
  <c r="E23" i="8"/>
  <c r="N19" i="8"/>
  <c r="O19" i="8"/>
  <c r="P19" i="8"/>
  <c r="N21" i="8"/>
  <c r="E20" i="8"/>
  <c r="O21" i="8"/>
  <c r="P21" i="8"/>
  <c r="I16" i="8"/>
  <c r="C25" i="9" l="1" a="1"/>
  <c r="I23" i="8"/>
  <c r="I21" i="8"/>
  <c r="I19" i="8"/>
  <c r="I22" i="8"/>
  <c r="I20" i="8"/>
  <c r="H20" i="8"/>
  <c r="H23" i="8"/>
  <c r="H21" i="8"/>
  <c r="H19" i="8"/>
  <c r="H22" i="8"/>
  <c r="C23" i="9" l="1" a="1"/>
  <c r="C23" i="9" s="1"/>
  <c r="C25" i="9"/>
  <c r="M25" i="9" s="1"/>
  <c r="L27" i="9"/>
  <c r="H39" i="10" s="1"/>
  <c r="N39" i="10" s="1"/>
  <c r="I27" i="9"/>
  <c r="E39" i="10" s="1"/>
  <c r="K39" i="10" s="1"/>
  <c r="M27" i="9"/>
  <c r="I39" i="10" s="1"/>
  <c r="O39" i="10" s="1"/>
  <c r="M26" i="9"/>
  <c r="L26" i="9"/>
  <c r="K26" i="9"/>
  <c r="J26" i="9"/>
  <c r="I26" i="9"/>
  <c r="L25" i="9"/>
  <c r="K25" i="9"/>
  <c r="I25" i="9"/>
  <c r="J25" i="9"/>
  <c r="J27" i="9"/>
  <c r="F39" i="10" s="1"/>
  <c r="K27" i="9"/>
  <c r="G39" i="10" s="1"/>
  <c r="M39" i="10" s="1"/>
  <c r="B26" i="7"/>
  <c r="C24" i="7"/>
  <c r="B24" i="7"/>
  <c r="B2" i="7"/>
  <c r="AK7" i="6"/>
  <c r="C40" i="6"/>
  <c r="U26" i="6"/>
  <c r="T26" i="6"/>
  <c r="R26" i="6"/>
  <c r="Q26" i="6"/>
  <c r="O26" i="6"/>
  <c r="N26" i="6"/>
  <c r="D21" i="6"/>
  <c r="C21" i="6"/>
  <c r="Z8" i="6"/>
  <c r="Y8" i="6"/>
  <c r="U8" i="6"/>
  <c r="T8" i="6"/>
  <c r="R8" i="6"/>
  <c r="Q8" i="6"/>
  <c r="P8" i="6"/>
  <c r="AL13" i="5"/>
  <c r="AK6" i="5"/>
  <c r="AA6" i="5"/>
  <c r="AF6" i="5"/>
  <c r="AG11" i="5"/>
  <c r="AG9" i="5"/>
  <c r="AB13" i="5"/>
  <c r="AB9" i="5"/>
  <c r="H25" i="5"/>
  <c r="H23" i="5"/>
  <c r="H20" i="5"/>
  <c r="H19" i="5"/>
  <c r="AL86" i="5"/>
  <c r="AG86" i="5"/>
  <c r="AL83" i="5"/>
  <c r="R83" i="5"/>
  <c r="M83" i="5"/>
  <c r="AL82" i="5"/>
  <c r="M82" i="5"/>
  <c r="AL81" i="5"/>
  <c r="M81" i="5"/>
  <c r="AL79" i="5"/>
  <c r="AG79" i="5"/>
  <c r="AB79" i="5"/>
  <c r="W79" i="5"/>
  <c r="R79" i="5"/>
  <c r="M79" i="5"/>
  <c r="AL78" i="5"/>
  <c r="AG78" i="5"/>
  <c r="AG90" i="5" s="1"/>
  <c r="AB78" i="5"/>
  <c r="W78" i="5"/>
  <c r="R78" i="5"/>
  <c r="R86" i="5" s="1"/>
  <c r="M78" i="5"/>
  <c r="AL77" i="5"/>
  <c r="AG77" i="5"/>
  <c r="AB77" i="5"/>
  <c r="W77" i="5"/>
  <c r="W85" i="5" s="1"/>
  <c r="R77" i="5"/>
  <c r="R90" i="5" s="1"/>
  <c r="M77" i="5"/>
  <c r="AL75" i="5"/>
  <c r="AG75" i="5"/>
  <c r="AB75" i="5"/>
  <c r="W75" i="5"/>
  <c r="R75" i="5"/>
  <c r="M75" i="5"/>
  <c r="AL74" i="5"/>
  <c r="AG74" i="5"/>
  <c r="AB74" i="5"/>
  <c r="W74" i="5"/>
  <c r="R74" i="5"/>
  <c r="M74" i="5"/>
  <c r="AL73" i="5"/>
  <c r="AL85" i="5" s="1"/>
  <c r="AG73" i="5"/>
  <c r="AG89" i="5" s="1"/>
  <c r="AB73" i="5"/>
  <c r="W73" i="5"/>
  <c r="R73" i="5"/>
  <c r="M73" i="5"/>
  <c r="AI66" i="5"/>
  <c r="AD66" i="5"/>
  <c r="Y66" i="5"/>
  <c r="T66" i="5"/>
  <c r="O66" i="5"/>
  <c r="J66" i="5"/>
  <c r="E66" i="5"/>
  <c r="C92" i="5" s="1"/>
  <c r="AL55" i="5"/>
  <c r="AL57" i="5" s="1"/>
  <c r="AL61" i="5" s="1"/>
  <c r="AG55" i="5"/>
  <c r="AB55" i="5"/>
  <c r="W55" i="5"/>
  <c r="R55" i="5"/>
  <c r="M55" i="5"/>
  <c r="H55" i="5"/>
  <c r="AL52" i="5"/>
  <c r="AG52" i="5"/>
  <c r="AB52" i="5"/>
  <c r="W52" i="5"/>
  <c r="R52" i="5"/>
  <c r="M52" i="5"/>
  <c r="H52" i="5"/>
  <c r="AL51" i="5"/>
  <c r="AG51" i="5"/>
  <c r="AB51" i="5"/>
  <c r="W51" i="5"/>
  <c r="R51" i="5"/>
  <c r="M51" i="5"/>
  <c r="H51" i="5"/>
  <c r="AL48" i="5"/>
  <c r="AG48" i="5"/>
  <c r="AB48" i="5"/>
  <c r="W48" i="5"/>
  <c r="R48" i="5"/>
  <c r="M48" i="5"/>
  <c r="H48" i="5"/>
  <c r="AL47" i="5"/>
  <c r="AG47" i="5"/>
  <c r="AB47" i="5"/>
  <c r="W47" i="5"/>
  <c r="R47" i="5"/>
  <c r="M47" i="5"/>
  <c r="H47" i="5"/>
  <c r="AL46" i="5"/>
  <c r="AG46" i="5"/>
  <c r="AB46" i="5"/>
  <c r="W46" i="5"/>
  <c r="R46" i="5"/>
  <c r="M46" i="5"/>
  <c r="H46" i="5"/>
  <c r="AL45" i="5"/>
  <c r="AG45" i="5"/>
  <c r="AB45" i="5"/>
  <c r="W45" i="5"/>
  <c r="R45" i="5"/>
  <c r="M45" i="5"/>
  <c r="H45" i="5"/>
  <c r="AL44" i="5"/>
  <c r="AG44" i="5"/>
  <c r="AB44" i="5"/>
  <c r="W44" i="5"/>
  <c r="R44" i="5"/>
  <c r="M44" i="5"/>
  <c r="H44" i="5"/>
  <c r="AL43" i="5"/>
  <c r="AG43" i="5"/>
  <c r="AB43" i="5"/>
  <c r="W43" i="5"/>
  <c r="R43" i="5"/>
  <c r="M43" i="5"/>
  <c r="H43" i="5"/>
  <c r="AL42" i="5"/>
  <c r="AG42" i="5"/>
  <c r="AB42" i="5"/>
  <c r="W42" i="5"/>
  <c r="R42" i="5"/>
  <c r="M42" i="5"/>
  <c r="H42" i="5"/>
  <c r="AL41" i="5"/>
  <c r="AG41" i="5"/>
  <c r="AB41" i="5"/>
  <c r="W41" i="5"/>
  <c r="R41" i="5"/>
  <c r="M41" i="5"/>
  <c r="H41" i="5"/>
  <c r="AL40" i="5"/>
  <c r="AG40" i="5"/>
  <c r="AB40" i="5"/>
  <c r="W40" i="5"/>
  <c r="R40" i="5"/>
  <c r="M40" i="5"/>
  <c r="H40" i="5"/>
  <c r="H36" i="5"/>
  <c r="AF33" i="5"/>
  <c r="AG83" i="5" s="1"/>
  <c r="AB83" i="5"/>
  <c r="V33" i="5"/>
  <c r="W83" i="5" s="1"/>
  <c r="Q33" i="5"/>
  <c r="AG82" i="5"/>
  <c r="AB82" i="5"/>
  <c r="V32" i="5"/>
  <c r="W82" i="5" s="1"/>
  <c r="Q32" i="5"/>
  <c r="R82" i="5" s="1"/>
  <c r="AG81" i="5"/>
  <c r="AB81" i="5"/>
  <c r="W81" i="5"/>
  <c r="Q31" i="5"/>
  <c r="R81" i="5" s="1"/>
  <c r="AG13" i="5"/>
  <c r="W13" i="5"/>
  <c r="R13" i="5"/>
  <c r="M13" i="5"/>
  <c r="H13" i="5"/>
  <c r="AL12" i="5"/>
  <c r="AG12" i="5"/>
  <c r="AB12" i="5"/>
  <c r="W12" i="5"/>
  <c r="R12" i="5"/>
  <c r="H12" i="5"/>
  <c r="AL11" i="5"/>
  <c r="AB11" i="5"/>
  <c r="W11" i="5"/>
  <c r="R11" i="5"/>
  <c r="M11" i="5"/>
  <c r="H11" i="5"/>
  <c r="R9" i="5"/>
  <c r="M9" i="5"/>
  <c r="H9" i="5"/>
  <c r="AL8" i="5"/>
  <c r="AG8" i="5"/>
  <c r="AB8" i="5"/>
  <c r="W8" i="5"/>
  <c r="R8" i="5"/>
  <c r="M8" i="5"/>
  <c r="H8" i="5"/>
  <c r="Q6" i="5"/>
  <c r="M6" i="5"/>
  <c r="G6" i="5"/>
  <c r="H4" i="5"/>
  <c r="H3" i="5"/>
  <c r="N10" i="6" s="1"/>
  <c r="G22" i="4"/>
  <c r="G24" i="4"/>
  <c r="I65" i="4"/>
  <c r="J65" i="4"/>
  <c r="K65" i="4"/>
  <c r="H65" i="4"/>
  <c r="I60" i="4"/>
  <c r="J60" i="4"/>
  <c r="K60" i="4"/>
  <c r="H60" i="4"/>
  <c r="I56" i="4"/>
  <c r="J56" i="4"/>
  <c r="K56" i="4"/>
  <c r="H56" i="4"/>
  <c r="I49" i="4"/>
  <c r="J49" i="4"/>
  <c r="K49" i="4"/>
  <c r="H49" i="4"/>
  <c r="J79" i="3"/>
  <c r="K79" i="3"/>
  <c r="I79" i="3"/>
  <c r="L79" i="3"/>
  <c r="L198" i="2"/>
  <c r="I60" i="2"/>
  <c r="J60" i="2"/>
  <c r="K60" i="2"/>
  <c r="H60" i="2"/>
  <c r="L160" i="2"/>
  <c r="L102" i="3" s="1"/>
  <c r="I102" i="3"/>
  <c r="J102" i="3"/>
  <c r="K102" i="3"/>
  <c r="H102" i="3"/>
  <c r="L195" i="2"/>
  <c r="M195" i="2" s="1"/>
  <c r="N195" i="2" s="1"/>
  <c r="H193" i="2"/>
  <c r="G34" i="12" s="1"/>
  <c r="K185" i="2"/>
  <c r="J33" i="12" s="1"/>
  <c r="H185" i="2"/>
  <c r="G33" i="12" s="1"/>
  <c r="J185" i="2"/>
  <c r="I33" i="12" s="1"/>
  <c r="I185" i="2"/>
  <c r="H33" i="12" s="1"/>
  <c r="K37" i="2"/>
  <c r="I30" i="2"/>
  <c r="J30" i="2"/>
  <c r="K30" i="2"/>
  <c r="H30" i="2"/>
  <c r="I29" i="2"/>
  <c r="J29" i="2"/>
  <c r="K29" i="2"/>
  <c r="H29" i="2"/>
  <c r="I28" i="2"/>
  <c r="J28" i="2"/>
  <c r="K28" i="2"/>
  <c r="H28" i="2"/>
  <c r="I56" i="2"/>
  <c r="J56" i="2"/>
  <c r="K56" i="2"/>
  <c r="H56" i="2"/>
  <c r="I55" i="2"/>
  <c r="J55" i="2"/>
  <c r="K55" i="2"/>
  <c r="H55" i="2"/>
  <c r="I53" i="2"/>
  <c r="J53" i="2"/>
  <c r="K53" i="2"/>
  <c r="H53" i="2"/>
  <c r="I52" i="2"/>
  <c r="J52" i="2"/>
  <c r="K52" i="2"/>
  <c r="H52" i="2"/>
  <c r="I50" i="2"/>
  <c r="J50" i="2"/>
  <c r="K50" i="2"/>
  <c r="H50" i="2"/>
  <c r="M51" i="2"/>
  <c r="I48" i="2"/>
  <c r="J48" i="2"/>
  <c r="K48" i="2"/>
  <c r="H48" i="2"/>
  <c r="I47" i="2"/>
  <c r="J47" i="2"/>
  <c r="K47" i="2"/>
  <c r="H47" i="2"/>
  <c r="I46" i="2"/>
  <c r="J46" i="2"/>
  <c r="K46" i="2"/>
  <c r="H46" i="2"/>
  <c r="I129" i="2"/>
  <c r="I134" i="2" s="1"/>
  <c r="J129" i="2"/>
  <c r="J134" i="2" s="1"/>
  <c r="K129" i="2"/>
  <c r="K134" i="2" s="1"/>
  <c r="H129" i="2"/>
  <c r="I44" i="2"/>
  <c r="J44" i="2"/>
  <c r="K44" i="2"/>
  <c r="H44" i="2"/>
  <c r="H114" i="2"/>
  <c r="H62" i="4" s="1"/>
  <c r="L110" i="2"/>
  <c r="L94" i="2" s="1"/>
  <c r="I41" i="2"/>
  <c r="J41" i="2"/>
  <c r="K41" i="2"/>
  <c r="H41" i="2"/>
  <c r="I114" i="2"/>
  <c r="K114" i="2"/>
  <c r="J26" i="2"/>
  <c r="K26" i="2"/>
  <c r="I26" i="2"/>
  <c r="I86" i="3"/>
  <c r="H29" i="12" s="1"/>
  <c r="J86" i="3"/>
  <c r="I29" i="12" s="1"/>
  <c r="K86" i="3"/>
  <c r="J29" i="12" s="1"/>
  <c r="H86" i="3"/>
  <c r="G29" i="12" s="1"/>
  <c r="L7" i="3"/>
  <c r="I94" i="3"/>
  <c r="I100" i="3" s="1"/>
  <c r="J94" i="3"/>
  <c r="J100" i="3" s="1"/>
  <c r="K94" i="3"/>
  <c r="K100" i="3" s="1"/>
  <c r="H94" i="3"/>
  <c r="H100" i="3" s="1"/>
  <c r="I89" i="3"/>
  <c r="J89" i="3"/>
  <c r="K89" i="3"/>
  <c r="L94" i="3" s="1"/>
  <c r="H89" i="3"/>
  <c r="B82" i="3"/>
  <c r="M69" i="3"/>
  <c r="M125" i="2" s="1"/>
  <c r="L69" i="3"/>
  <c r="L125" i="2" s="1"/>
  <c r="L190" i="2" s="1"/>
  <c r="I70" i="3"/>
  <c r="J70" i="3"/>
  <c r="K70" i="3"/>
  <c r="L66" i="3" s="1"/>
  <c r="H70" i="3"/>
  <c r="I75" i="3"/>
  <c r="J75" i="3"/>
  <c r="K75" i="3"/>
  <c r="H75" i="3"/>
  <c r="B64" i="3"/>
  <c r="I22" i="2"/>
  <c r="J22" i="2"/>
  <c r="K22" i="2"/>
  <c r="I23" i="2"/>
  <c r="J23" i="2"/>
  <c r="K23" i="2"/>
  <c r="I24" i="2"/>
  <c r="J24" i="2"/>
  <c r="K24" i="2"/>
  <c r="H23" i="2"/>
  <c r="H24" i="2"/>
  <c r="H22" i="2"/>
  <c r="I20" i="2"/>
  <c r="J20" i="2"/>
  <c r="K20" i="2"/>
  <c r="H20" i="2"/>
  <c r="L9" i="3"/>
  <c r="M20" i="3"/>
  <c r="N20" i="3"/>
  <c r="O20" i="3"/>
  <c r="P20" i="3"/>
  <c r="M18" i="3"/>
  <c r="N18" i="3"/>
  <c r="O18" i="3"/>
  <c r="P18" i="3"/>
  <c r="L20" i="3"/>
  <c r="L18" i="3"/>
  <c r="L31" i="3"/>
  <c r="L29" i="3"/>
  <c r="E92" i="4"/>
  <c r="E93" i="4" s="1"/>
  <c r="E94" i="4" s="1"/>
  <c r="E95" i="4" s="1"/>
  <c r="E96" i="4" s="1"/>
  <c r="E97" i="4" s="1"/>
  <c r="E98" i="4" s="1"/>
  <c r="E99" i="4" s="1"/>
  <c r="E100" i="4" s="1"/>
  <c r="E101" i="4" s="1"/>
  <c r="E77" i="4"/>
  <c r="E78" i="4" s="1"/>
  <c r="E79" i="4" s="1"/>
  <c r="E80" i="4" s="1"/>
  <c r="E81" i="4" s="1"/>
  <c r="E82" i="4" s="1"/>
  <c r="E83" i="4" s="1"/>
  <c r="E84" i="4" s="1"/>
  <c r="E85" i="4" s="1"/>
  <c r="E86" i="4" s="1"/>
  <c r="Q39" i="4"/>
  <c r="L39" i="4"/>
  <c r="L35" i="4"/>
  <c r="Q35" i="4" s="1"/>
  <c r="L34" i="4"/>
  <c r="Q34" i="4" s="1"/>
  <c r="L33" i="4"/>
  <c r="Q33" i="4" s="1"/>
  <c r="L32" i="4"/>
  <c r="Q32" i="4" s="1"/>
  <c r="L30" i="4"/>
  <c r="Q30" i="4" s="1"/>
  <c r="Q14" i="4"/>
  <c r="L14" i="4"/>
  <c r="G11" i="4"/>
  <c r="G21" i="4" s="1"/>
  <c r="G9" i="4"/>
  <c r="G8" i="4"/>
  <c r="K46" i="3"/>
  <c r="J46" i="3"/>
  <c r="I46" i="3"/>
  <c r="K35" i="3"/>
  <c r="J35" i="3"/>
  <c r="I35" i="3"/>
  <c r="L23" i="3"/>
  <c r="K24" i="3"/>
  <c r="J24" i="3"/>
  <c r="I24" i="3"/>
  <c r="K13" i="3"/>
  <c r="J13" i="3"/>
  <c r="I13" i="3"/>
  <c r="K57" i="3"/>
  <c r="J57" i="3"/>
  <c r="I57" i="3"/>
  <c r="K52" i="3"/>
  <c r="J52" i="3"/>
  <c r="I52" i="3"/>
  <c r="K44" i="3"/>
  <c r="J44" i="3"/>
  <c r="I44" i="3"/>
  <c r="K33" i="3"/>
  <c r="J33" i="3"/>
  <c r="I33" i="3"/>
  <c r="K22" i="3"/>
  <c r="J22" i="3"/>
  <c r="I22" i="3"/>
  <c r="J11" i="3"/>
  <c r="K11" i="3"/>
  <c r="I11" i="3"/>
  <c r="I59" i="3"/>
  <c r="H20" i="12" s="1"/>
  <c r="J59" i="3"/>
  <c r="I20" i="12" s="1"/>
  <c r="K59" i="3"/>
  <c r="J20" i="12" s="1"/>
  <c r="H59" i="3"/>
  <c r="G20" i="12" s="1"/>
  <c r="P64" i="3"/>
  <c r="O64" i="3"/>
  <c r="N64" i="3"/>
  <c r="M64" i="3"/>
  <c r="L64" i="3"/>
  <c r="K64" i="3"/>
  <c r="J64" i="3"/>
  <c r="I64" i="3"/>
  <c r="H64" i="3"/>
  <c r="B3" i="3"/>
  <c r="B154" i="2"/>
  <c r="B64" i="2"/>
  <c r="B106" i="2"/>
  <c r="K198" i="2"/>
  <c r="J198" i="2"/>
  <c r="I198" i="2"/>
  <c r="K193" i="2"/>
  <c r="J34" i="12" s="1"/>
  <c r="J193" i="2"/>
  <c r="I34" i="12" s="1"/>
  <c r="I193" i="2"/>
  <c r="H34" i="12" s="1"/>
  <c r="K144" i="2"/>
  <c r="K147" i="2" s="1"/>
  <c r="J144" i="2"/>
  <c r="J147" i="2" s="1"/>
  <c r="I144" i="2"/>
  <c r="I147" i="2" s="1"/>
  <c r="H144" i="2"/>
  <c r="H147" i="2" s="1"/>
  <c r="J114" i="2"/>
  <c r="J120" i="2" s="1"/>
  <c r="I36" i="12" s="1"/>
  <c r="K73" i="2"/>
  <c r="J73" i="2"/>
  <c r="I73" i="2"/>
  <c r="H73" i="2"/>
  <c r="H61" i="2" s="1"/>
  <c r="K68" i="2"/>
  <c r="J23" i="12" s="1"/>
  <c r="J68" i="2"/>
  <c r="I23" i="12" s="1"/>
  <c r="I68" i="2"/>
  <c r="H23" i="12" s="1"/>
  <c r="H68" i="2"/>
  <c r="G23" i="12" s="1"/>
  <c r="H17" i="2"/>
  <c r="B17" i="2"/>
  <c r="N12" i="2"/>
  <c r="N6" i="2"/>
  <c r="I3" i="2"/>
  <c r="I17" i="2" s="1"/>
  <c r="B3" i="2"/>
  <c r="G13" i="6" l="1"/>
  <c r="I62" i="4"/>
  <c r="AI69" i="5"/>
  <c r="AL94" i="5" s="1"/>
  <c r="AL62" i="5"/>
  <c r="E41" i="10" a="1"/>
  <c r="E41" i="10" s="1"/>
  <c r="K41" i="10" s="1"/>
  <c r="E40" i="10" a="1"/>
  <c r="E40" i="10" s="1"/>
  <c r="K40" i="10" s="1"/>
  <c r="M86" i="5"/>
  <c r="M89" i="5"/>
  <c r="R89" i="5"/>
  <c r="AL90" i="5"/>
  <c r="R85" i="5"/>
  <c r="AB57" i="5"/>
  <c r="AB61" i="5" s="1"/>
  <c r="AB62" i="5" s="1"/>
  <c r="H57" i="5"/>
  <c r="E21" i="6" s="1"/>
  <c r="AB86" i="5"/>
  <c r="AG57" i="5"/>
  <c r="AG61" i="5" s="1"/>
  <c r="L39" i="10"/>
  <c r="I24" i="12"/>
  <c r="J24" i="12"/>
  <c r="L33" i="3"/>
  <c r="M33" i="3" s="1"/>
  <c r="L11" i="3"/>
  <c r="H24" i="12"/>
  <c r="I21" i="12"/>
  <c r="H21" i="12"/>
  <c r="J21" i="12"/>
  <c r="I64" i="2"/>
  <c r="H7" i="12"/>
  <c r="H52" i="4"/>
  <c r="H106" i="2"/>
  <c r="H42" i="2" s="1"/>
  <c r="G7" i="12"/>
  <c r="K62" i="4"/>
  <c r="L29" i="4"/>
  <c r="Q29" i="4" s="1"/>
  <c r="E33" i="9"/>
  <c r="N13" i="2"/>
  <c r="C98" i="5"/>
  <c r="C97" i="5"/>
  <c r="C96" i="5"/>
  <c r="O30" i="5"/>
  <c r="P66" i="5" s="1"/>
  <c r="K18" i="7"/>
  <c r="D16" i="7"/>
  <c r="E10" i="6"/>
  <c r="G11" i="6"/>
  <c r="H12" i="6"/>
  <c r="I13" i="6"/>
  <c r="J14" i="6"/>
  <c r="I9" i="6"/>
  <c r="B28" i="6"/>
  <c r="I18" i="7"/>
  <c r="K15" i="7"/>
  <c r="F10" i="6"/>
  <c r="H11" i="6"/>
  <c r="I12" i="6"/>
  <c r="J13" i="6"/>
  <c r="K14" i="6"/>
  <c r="H9" i="6"/>
  <c r="G18" i="7"/>
  <c r="G10" i="6"/>
  <c r="I11" i="6"/>
  <c r="J12" i="6"/>
  <c r="K13" i="6"/>
  <c r="L14" i="6"/>
  <c r="G9" i="6"/>
  <c r="F30" i="6"/>
  <c r="E18" i="7"/>
  <c r="G15" i="7"/>
  <c r="H10" i="6"/>
  <c r="J11" i="6"/>
  <c r="K12" i="6"/>
  <c r="L13" i="6"/>
  <c r="M14" i="6"/>
  <c r="B40" i="6"/>
  <c r="D30" i="6"/>
  <c r="K20" i="7"/>
  <c r="D18" i="7"/>
  <c r="E15" i="7"/>
  <c r="I10" i="6"/>
  <c r="K11" i="6"/>
  <c r="L12" i="6"/>
  <c r="M13" i="6"/>
  <c r="B21" i="6"/>
  <c r="T14" i="6"/>
  <c r="F13" i="6"/>
  <c r="K17" i="7"/>
  <c r="AD30" i="5"/>
  <c r="AE66" i="5" s="1"/>
  <c r="B9" i="6"/>
  <c r="E13" i="6"/>
  <c r="L11" i="6"/>
  <c r="D19" i="7"/>
  <c r="B30" i="6"/>
  <c r="B14" i="6"/>
  <c r="D13" i="6"/>
  <c r="E19" i="7"/>
  <c r="C74" i="5"/>
  <c r="U11" i="6" s="1"/>
  <c r="T21" i="6"/>
  <c r="G21" i="6"/>
  <c r="B31" i="6"/>
  <c r="B13" i="6"/>
  <c r="I14" i="6"/>
  <c r="E11" i="6"/>
  <c r="B20" i="7"/>
  <c r="G19" i="7"/>
  <c r="E30" i="5"/>
  <c r="F66" i="5" s="1"/>
  <c r="AI30" i="5"/>
  <c r="AJ66" i="5" s="1"/>
  <c r="D31" i="6"/>
  <c r="B12" i="6"/>
  <c r="H14" i="6"/>
  <c r="D11" i="6"/>
  <c r="I19" i="7"/>
  <c r="J62" i="4"/>
  <c r="I21" i="6"/>
  <c r="B27" i="6"/>
  <c r="F31" i="6"/>
  <c r="B11" i="6"/>
  <c r="G14" i="6"/>
  <c r="Q12" i="6"/>
  <c r="D15" i="7"/>
  <c r="K19" i="7"/>
  <c r="J21" i="6"/>
  <c r="D27" i="6"/>
  <c r="B10" i="6"/>
  <c r="F14" i="6"/>
  <c r="E16" i="7"/>
  <c r="D20" i="7"/>
  <c r="J30" i="5"/>
  <c r="K66" i="5" s="1"/>
  <c r="D28" i="6"/>
  <c r="D9" i="6"/>
  <c r="E14" i="6"/>
  <c r="G12" i="6"/>
  <c r="G16" i="7"/>
  <c r="E20" i="7"/>
  <c r="I61" i="2"/>
  <c r="I52" i="4"/>
  <c r="F28" i="6"/>
  <c r="B32" i="6"/>
  <c r="J9" i="6"/>
  <c r="D14" i="6"/>
  <c r="F12" i="6"/>
  <c r="L10" i="6"/>
  <c r="I16" i="7"/>
  <c r="G20" i="7"/>
  <c r="J61" i="2"/>
  <c r="J52" i="4"/>
  <c r="T30" i="5"/>
  <c r="U66" i="5" s="1"/>
  <c r="C89" i="5"/>
  <c r="D32" i="6"/>
  <c r="K9" i="6"/>
  <c r="T13" i="6"/>
  <c r="E12" i="6"/>
  <c r="K10" i="6"/>
  <c r="K16" i="7"/>
  <c r="I20" i="7"/>
  <c r="K61" i="2"/>
  <c r="K52" i="4"/>
  <c r="C73" i="5"/>
  <c r="O12" i="6" s="1"/>
  <c r="C75" i="5"/>
  <c r="F32" i="6"/>
  <c r="L9" i="6"/>
  <c r="D12" i="6"/>
  <c r="J10" i="6"/>
  <c r="D17" i="7"/>
  <c r="B29" i="6"/>
  <c r="M32" i="6"/>
  <c r="D10" i="6"/>
  <c r="E17" i="7"/>
  <c r="Y30" i="5"/>
  <c r="Z66" i="5" s="1"/>
  <c r="D29" i="6"/>
  <c r="Q9" i="6"/>
  <c r="H13" i="6"/>
  <c r="G17" i="7"/>
  <c r="L31" i="4"/>
  <c r="Q31" i="4" s="1"/>
  <c r="E35" i="9"/>
  <c r="T9" i="6"/>
  <c r="T12" i="6"/>
  <c r="T11" i="6"/>
  <c r="N13" i="6"/>
  <c r="N12" i="6"/>
  <c r="T10" i="6"/>
  <c r="N11" i="6"/>
  <c r="N14" i="6"/>
  <c r="N9" i="6"/>
  <c r="N21" i="6"/>
  <c r="F25" i="8" s="1"/>
  <c r="O14" i="6"/>
  <c r="AL89" i="5"/>
  <c r="AG85" i="5"/>
  <c r="AB89" i="5"/>
  <c r="W86" i="5"/>
  <c r="W90" i="5"/>
  <c r="W89" i="5"/>
  <c r="M90" i="5"/>
  <c r="M85" i="5"/>
  <c r="B19" i="7"/>
  <c r="D24" i="7"/>
  <c r="B18" i="7"/>
  <c r="E24" i="7"/>
  <c r="G24" i="7"/>
  <c r="B16" i="7"/>
  <c r="C29" i="7"/>
  <c r="B15" i="7"/>
  <c r="B17" i="7"/>
  <c r="AA8" i="6"/>
  <c r="S26" i="6"/>
  <c r="S8" i="6"/>
  <c r="P26" i="6"/>
  <c r="V8" i="6"/>
  <c r="V26" i="6"/>
  <c r="K21" i="6"/>
  <c r="L21" i="6"/>
  <c r="Q21" i="6"/>
  <c r="AL14" i="5"/>
  <c r="AI68" i="5" s="1"/>
  <c r="AL93" i="5" s="1"/>
  <c r="AG14" i="5"/>
  <c r="AG88" i="5" s="1"/>
  <c r="AB14" i="5"/>
  <c r="AB88" i="5" s="1"/>
  <c r="W14" i="5"/>
  <c r="Q11" i="6" s="1"/>
  <c r="W88" i="5"/>
  <c r="M14" i="5"/>
  <c r="M88" i="5"/>
  <c r="M190" i="2"/>
  <c r="J72" i="3"/>
  <c r="J73" i="3" s="1"/>
  <c r="M79" i="3"/>
  <c r="N79" i="3" s="1"/>
  <c r="K72" i="3"/>
  <c r="K73" i="3" s="1"/>
  <c r="I72" i="3"/>
  <c r="I73" i="3" s="1"/>
  <c r="AB69" i="5"/>
  <c r="AA69" i="5"/>
  <c r="AB102" i="5" s="1"/>
  <c r="Z69" i="5"/>
  <c r="AB98" i="5" s="1"/>
  <c r="Y69" i="5"/>
  <c r="AB94" i="5" s="1"/>
  <c r="AG69" i="5"/>
  <c r="AF69" i="5"/>
  <c r="AG102" i="5" s="1"/>
  <c r="AE69" i="5"/>
  <c r="AG98" i="5" s="1"/>
  <c r="AD69" i="5"/>
  <c r="AG94" i="5" s="1"/>
  <c r="AG62" i="5"/>
  <c r="M31" i="6" s="1"/>
  <c r="AL69" i="5"/>
  <c r="AK69" i="5"/>
  <c r="AL102" i="5" s="1"/>
  <c r="AJ69" i="5"/>
  <c r="AL98" i="5" s="1"/>
  <c r="C93" i="5"/>
  <c r="C94" i="5"/>
  <c r="H14" i="5"/>
  <c r="W9" i="5"/>
  <c r="R14" i="5"/>
  <c r="R88" i="5" s="1"/>
  <c r="M57" i="5"/>
  <c r="M61" i="5" s="1"/>
  <c r="I15" i="7" s="1"/>
  <c r="R57" i="5"/>
  <c r="R61" i="5" s="1"/>
  <c r="AB90" i="5"/>
  <c r="AB85" i="5"/>
  <c r="W57" i="5"/>
  <c r="W61" i="5" s="1"/>
  <c r="AI67" i="5"/>
  <c r="AL92" i="5" s="1"/>
  <c r="M160" i="2"/>
  <c r="M102" i="3" s="1"/>
  <c r="O195" i="2"/>
  <c r="P195" i="2" s="1"/>
  <c r="L183" i="2"/>
  <c r="L28" i="2"/>
  <c r="L80" i="2" s="1"/>
  <c r="L161" i="2" s="1"/>
  <c r="L30" i="2"/>
  <c r="L52" i="2"/>
  <c r="M52" i="2" s="1"/>
  <c r="L53" i="2"/>
  <c r="M53" i="2" s="1"/>
  <c r="L50" i="2"/>
  <c r="L55" i="2"/>
  <c r="N51" i="2"/>
  <c r="L46" i="2"/>
  <c r="H134" i="2"/>
  <c r="H149" i="2" s="1"/>
  <c r="I63" i="4"/>
  <c r="I50" i="4"/>
  <c r="I120" i="2"/>
  <c r="H36" i="12" s="1"/>
  <c r="K120" i="2"/>
  <c r="J36" i="12" s="1"/>
  <c r="K87" i="3"/>
  <c r="M82" i="3"/>
  <c r="H82" i="3"/>
  <c r="L26" i="2"/>
  <c r="L78" i="2" s="1"/>
  <c r="H87" i="3"/>
  <c r="I87" i="3"/>
  <c r="J87" i="3"/>
  <c r="H91" i="3"/>
  <c r="K91" i="3"/>
  <c r="J91" i="3"/>
  <c r="I91" i="3"/>
  <c r="M8" i="3"/>
  <c r="M6" i="3" s="1"/>
  <c r="H76" i="3"/>
  <c r="N82" i="3"/>
  <c r="H120" i="2"/>
  <c r="G36" i="12" s="1"/>
  <c r="J76" i="3"/>
  <c r="O82" i="3"/>
  <c r="I76" i="3"/>
  <c r="P82" i="3"/>
  <c r="L82" i="3"/>
  <c r="K82" i="3"/>
  <c r="J82" i="3"/>
  <c r="I82" i="3"/>
  <c r="L22" i="2"/>
  <c r="M22" i="2" s="1"/>
  <c r="L24" i="2"/>
  <c r="M24" i="2" s="1"/>
  <c r="N24" i="2" s="1"/>
  <c r="O24" i="2" s="1"/>
  <c r="L23" i="2"/>
  <c r="M23" i="2" s="1"/>
  <c r="K76" i="3"/>
  <c r="F8" i="7" s="1"/>
  <c r="L52" i="3"/>
  <c r="L57" i="3"/>
  <c r="L44" i="3"/>
  <c r="M44" i="3" s="1"/>
  <c r="M22" i="3"/>
  <c r="P22" i="3"/>
  <c r="N22" i="3"/>
  <c r="O22" i="3"/>
  <c r="L22" i="3"/>
  <c r="K50" i="4"/>
  <c r="G29" i="4"/>
  <c r="J50" i="4"/>
  <c r="L46" i="3"/>
  <c r="L45" i="3" s="1"/>
  <c r="L47" i="3" s="1"/>
  <c r="K15" i="12" s="1"/>
  <c r="L13" i="3"/>
  <c r="L12" i="3" s="1"/>
  <c r="L35" i="3"/>
  <c r="L34" i="3" s="1"/>
  <c r="L25" i="3"/>
  <c r="K14" i="12" s="1"/>
  <c r="H154" i="2"/>
  <c r="I154" i="2"/>
  <c r="H64" i="2"/>
  <c r="I106" i="2"/>
  <c r="I51" i="2" s="1"/>
  <c r="I75" i="2"/>
  <c r="I83" i="2" s="1"/>
  <c r="I84" i="2" s="1"/>
  <c r="J75" i="2"/>
  <c r="J83" i="2" s="1"/>
  <c r="J84" i="2" s="1"/>
  <c r="K75" i="2"/>
  <c r="K83" i="2" s="1"/>
  <c r="K84" i="2" s="1"/>
  <c r="H75" i="2"/>
  <c r="H83" i="2" s="1"/>
  <c r="H84" i="2" s="1"/>
  <c r="I149" i="2"/>
  <c r="J149" i="2"/>
  <c r="J151" i="2" s="1"/>
  <c r="K149" i="2"/>
  <c r="J3" i="2"/>
  <c r="U9" i="6" l="1"/>
  <c r="U12" i="6"/>
  <c r="J63" i="4"/>
  <c r="M12" i="6"/>
  <c r="M30" i="6"/>
  <c r="H61" i="5"/>
  <c r="AL88" i="5"/>
  <c r="E9" i="6"/>
  <c r="L55" i="3"/>
  <c r="Q10" i="6"/>
  <c r="F27" i="6"/>
  <c r="Q13" i="6"/>
  <c r="I17" i="7"/>
  <c r="I22" i="7" s="1"/>
  <c r="F29" i="6"/>
  <c r="L50" i="3"/>
  <c r="M50" i="3" s="1"/>
  <c r="F11" i="6"/>
  <c r="F9" i="6"/>
  <c r="F19" i="6" s="1"/>
  <c r="H51" i="2"/>
  <c r="Q14" i="6"/>
  <c r="M61" i="2"/>
  <c r="O9" i="6"/>
  <c r="O11" i="6"/>
  <c r="H24" i="9"/>
  <c r="M45" i="9" s="1"/>
  <c r="M24" i="9" s="1"/>
  <c r="G25" i="8"/>
  <c r="H43" i="2"/>
  <c r="F20" i="7"/>
  <c r="D22" i="7"/>
  <c r="H16" i="7"/>
  <c r="K22" i="7"/>
  <c r="H18" i="7"/>
  <c r="D19" i="6"/>
  <c r="J20" i="7"/>
  <c r="T17" i="6"/>
  <c r="F15" i="6"/>
  <c r="T18" i="6"/>
  <c r="F19" i="7"/>
  <c r="D15" i="6"/>
  <c r="D16" i="6"/>
  <c r="L20" i="7"/>
  <c r="H20" i="7"/>
  <c r="G22" i="7"/>
  <c r="L16" i="7"/>
  <c r="J18" i="7"/>
  <c r="E22" i="7"/>
  <c r="T16" i="6"/>
  <c r="D17" i="6"/>
  <c r="F15" i="7"/>
  <c r="L19" i="7"/>
  <c r="F17" i="6"/>
  <c r="J32" i="2"/>
  <c r="J54" i="4"/>
  <c r="I32" i="2"/>
  <c r="I54" i="4"/>
  <c r="K63" i="4"/>
  <c r="F18" i="7"/>
  <c r="J19" i="7"/>
  <c r="H19" i="7"/>
  <c r="F16" i="7"/>
  <c r="J16" i="7"/>
  <c r="L18" i="7"/>
  <c r="D18" i="6"/>
  <c r="H15" i="7"/>
  <c r="L15" i="7"/>
  <c r="U14" i="6"/>
  <c r="U10" i="6"/>
  <c r="R14" i="6"/>
  <c r="R13" i="6"/>
  <c r="U13" i="6"/>
  <c r="R11" i="6"/>
  <c r="O13" i="6"/>
  <c r="R10" i="6"/>
  <c r="R12" i="6"/>
  <c r="R9" i="6"/>
  <c r="N14" i="2"/>
  <c r="P30" i="5"/>
  <c r="Q66" i="5" s="1"/>
  <c r="C90" i="5"/>
  <c r="AJ30" i="5"/>
  <c r="AK66" i="5" s="1"/>
  <c r="C101" i="5"/>
  <c r="C100" i="5"/>
  <c r="C78" i="5"/>
  <c r="U30" i="5"/>
  <c r="V66" i="5" s="1"/>
  <c r="K30" i="5"/>
  <c r="L66" i="5" s="1"/>
  <c r="F30" i="5"/>
  <c r="G66" i="5" s="1"/>
  <c r="C79" i="5"/>
  <c r="C77" i="5"/>
  <c r="P10" i="6" s="1"/>
  <c r="AE30" i="5"/>
  <c r="AF66" i="5" s="1"/>
  <c r="C102" i="5"/>
  <c r="Z30" i="5"/>
  <c r="AA66" i="5" s="1"/>
  <c r="J15" i="7"/>
  <c r="O10" i="6"/>
  <c r="H32" i="2"/>
  <c r="H54" i="4"/>
  <c r="T15" i="6"/>
  <c r="K32" i="2"/>
  <c r="K54" i="4"/>
  <c r="H23" i="9"/>
  <c r="T19" i="6"/>
  <c r="L34" i="7"/>
  <c r="L38" i="7" s="1"/>
  <c r="N15" i="6"/>
  <c r="N19" i="6"/>
  <c r="N18" i="6"/>
  <c r="N16" i="6"/>
  <c r="N17" i="6"/>
  <c r="N8" i="3"/>
  <c r="O79" i="3"/>
  <c r="P79" i="3" s="1"/>
  <c r="Q79" i="3" s="1"/>
  <c r="Z68" i="5"/>
  <c r="AB97" i="5" s="1"/>
  <c r="Y68" i="5"/>
  <c r="AB93" i="5" s="1"/>
  <c r="AB67" i="5"/>
  <c r="AA67" i="5"/>
  <c r="AB100" i="5" s="1"/>
  <c r="Z67" i="5"/>
  <c r="AB96" i="5" s="1"/>
  <c r="Y67" i="5"/>
  <c r="AB92" i="5" s="1"/>
  <c r="AB68" i="5"/>
  <c r="AA68" i="5"/>
  <c r="AB101" i="5" s="1"/>
  <c r="W62" i="5"/>
  <c r="U69" i="5"/>
  <c r="W98" i="5" s="1"/>
  <c r="T69" i="5"/>
  <c r="W94" i="5" s="1"/>
  <c r="V69" i="5"/>
  <c r="W102" i="5" s="1"/>
  <c r="W69" i="5"/>
  <c r="Q69" i="5"/>
  <c r="R102" i="5" s="1"/>
  <c r="P69" i="5"/>
  <c r="R98" i="5" s="1"/>
  <c r="R62" i="5"/>
  <c r="O69" i="5"/>
  <c r="R94" i="5" s="1"/>
  <c r="R69" i="5"/>
  <c r="M62" i="5"/>
  <c r="M69" i="5"/>
  <c r="L69" i="5"/>
  <c r="M102" i="5" s="1"/>
  <c r="K69" i="5"/>
  <c r="M98" i="5" s="1"/>
  <c r="J69" i="5"/>
  <c r="M94" i="5" s="1"/>
  <c r="AG68" i="5"/>
  <c r="AG67" i="5"/>
  <c r="AF68" i="5"/>
  <c r="AG101" i="5" s="1"/>
  <c r="AF67" i="5"/>
  <c r="AG100" i="5" s="1"/>
  <c r="AE68" i="5"/>
  <c r="AG97" i="5" s="1"/>
  <c r="AE67" i="5"/>
  <c r="AG96" i="5" s="1"/>
  <c r="AD68" i="5"/>
  <c r="AG93" i="5" s="1"/>
  <c r="AD67" i="5"/>
  <c r="AG92" i="5" s="1"/>
  <c r="AK67" i="5"/>
  <c r="AL100" i="5" s="1"/>
  <c r="AJ67" i="5"/>
  <c r="AL96" i="5" s="1"/>
  <c r="AL67" i="5"/>
  <c r="AL68" i="5"/>
  <c r="AK68" i="5"/>
  <c r="AL101" i="5" s="1"/>
  <c r="AJ68" i="5"/>
  <c r="AL97" i="5" s="1"/>
  <c r="H88" i="5"/>
  <c r="N160" i="2"/>
  <c r="M55" i="2"/>
  <c r="N53" i="2"/>
  <c r="O53" i="2" s="1"/>
  <c r="P53" i="2" s="1"/>
  <c r="N52" i="2"/>
  <c r="O52" i="2"/>
  <c r="O51" i="2"/>
  <c r="I151" i="2"/>
  <c r="K151" i="2"/>
  <c r="I42" i="2"/>
  <c r="I43" i="2"/>
  <c r="M7" i="3"/>
  <c r="M9" i="3"/>
  <c r="M30" i="3"/>
  <c r="H151" i="2"/>
  <c r="L76" i="3"/>
  <c r="N23" i="2"/>
  <c r="O23" i="2" s="1"/>
  <c r="N22" i="2"/>
  <c r="O22" i="2" s="1"/>
  <c r="P22" i="2" s="1"/>
  <c r="P24" i="2"/>
  <c r="M57" i="3"/>
  <c r="N57" i="3" s="1"/>
  <c r="M52" i="3"/>
  <c r="N44" i="3"/>
  <c r="O44" i="3" s="1"/>
  <c r="P44" i="3" s="1"/>
  <c r="M45" i="3"/>
  <c r="N45" i="3" s="1"/>
  <c r="O45" i="3" s="1"/>
  <c r="L36" i="3"/>
  <c r="K11" i="12" s="1"/>
  <c r="M13" i="3"/>
  <c r="M12" i="3" s="1"/>
  <c r="M35" i="3"/>
  <c r="M23" i="3"/>
  <c r="N23" i="3" s="1"/>
  <c r="O23" i="3" s="1"/>
  <c r="P23" i="3" s="1"/>
  <c r="H87" i="2"/>
  <c r="H58" i="4" s="1"/>
  <c r="H67" i="4" s="1"/>
  <c r="H100" i="2"/>
  <c r="K87" i="2"/>
  <c r="K58" i="4" s="1"/>
  <c r="K100" i="2"/>
  <c r="J87" i="2"/>
  <c r="J58" i="4" s="1"/>
  <c r="J100" i="2"/>
  <c r="I87" i="2"/>
  <c r="I58" i="4" s="1"/>
  <c r="I67" i="4" s="1"/>
  <c r="I100" i="2"/>
  <c r="J17" i="2"/>
  <c r="K3" i="2"/>
  <c r="Q18" i="6" l="1"/>
  <c r="Q16" i="6"/>
  <c r="F18" i="6"/>
  <c r="F16" i="6"/>
  <c r="H17" i="7"/>
  <c r="J17" i="7"/>
  <c r="F17" i="7"/>
  <c r="F38" i="6"/>
  <c r="Q15" i="6"/>
  <c r="Q17" i="6"/>
  <c r="J67" i="4"/>
  <c r="F35" i="6"/>
  <c r="M28" i="6"/>
  <c r="M10" i="6"/>
  <c r="F34" i="6"/>
  <c r="M11" i="6"/>
  <c r="M29" i="6"/>
  <c r="F37" i="6"/>
  <c r="Q19" i="6"/>
  <c r="E69" i="5"/>
  <c r="H94" i="5" s="1"/>
  <c r="H62" i="5"/>
  <c r="F21" i="6"/>
  <c r="I24" i="7"/>
  <c r="F40" i="6"/>
  <c r="L32" i="2"/>
  <c r="G10" i="2" s="1"/>
  <c r="G13" i="4" s="1"/>
  <c r="K12" i="12"/>
  <c r="M55" i="3"/>
  <c r="N55" i="3" s="1"/>
  <c r="F36" i="6"/>
  <c r="K16" i="12"/>
  <c r="L17" i="7"/>
  <c r="L22" i="7" s="1"/>
  <c r="D30" i="7" s="1"/>
  <c r="M27" i="6"/>
  <c r="M9" i="6"/>
  <c r="L12" i="12"/>
  <c r="H69" i="4"/>
  <c r="H70" i="4" s="1"/>
  <c r="G40" i="12"/>
  <c r="G41" i="12" s="1"/>
  <c r="I69" i="4"/>
  <c r="I70" i="4" s="1"/>
  <c r="H40" i="12"/>
  <c r="H41" i="12" s="1"/>
  <c r="J69" i="4"/>
  <c r="J70" i="4" s="1"/>
  <c r="I40" i="12"/>
  <c r="I41" i="12" s="1"/>
  <c r="K69" i="4"/>
  <c r="K70" i="4" s="1"/>
  <c r="J40" i="12"/>
  <c r="J41" i="12" s="1"/>
  <c r="M31" i="3"/>
  <c r="M14" i="3"/>
  <c r="L10" i="12" s="1"/>
  <c r="L45" i="9"/>
  <c r="L24" i="9" s="1"/>
  <c r="K45" i="9"/>
  <c r="K24" i="9" s="1"/>
  <c r="J45" i="9"/>
  <c r="J24" i="9" s="1"/>
  <c r="I45" i="9"/>
  <c r="I24" i="9" s="1"/>
  <c r="J154" i="2"/>
  <c r="I7" i="12"/>
  <c r="H22" i="7"/>
  <c r="F22" i="7"/>
  <c r="F30" i="7" s="1"/>
  <c r="E30" i="7" s="1"/>
  <c r="O15" i="6"/>
  <c r="U16" i="6"/>
  <c r="J22" i="7"/>
  <c r="J30" i="7" s="1"/>
  <c r="I30" i="7" s="1"/>
  <c r="S12" i="6"/>
  <c r="U17" i="6"/>
  <c r="U19" i="6"/>
  <c r="K67" i="4"/>
  <c r="O16" i="6"/>
  <c r="U15" i="6"/>
  <c r="O18" i="6"/>
  <c r="C83" i="5"/>
  <c r="Q30" i="5"/>
  <c r="R66" i="5" s="1"/>
  <c r="AK30" i="5"/>
  <c r="AL66" i="5" s="1"/>
  <c r="C82" i="5"/>
  <c r="L30" i="5"/>
  <c r="M66" i="5" s="1"/>
  <c r="V30" i="5"/>
  <c r="W66" i="5" s="1"/>
  <c r="C81" i="5"/>
  <c r="N28" i="6" s="1"/>
  <c r="G30" i="5"/>
  <c r="H66" i="5" s="1"/>
  <c r="AF30" i="5"/>
  <c r="AG66" i="5" s="1"/>
  <c r="AA30" i="5"/>
  <c r="AB66" i="5" s="1"/>
  <c r="S11" i="6"/>
  <c r="O17" i="6"/>
  <c r="V9" i="6"/>
  <c r="O19" i="6"/>
  <c r="P11" i="6"/>
  <c r="V12" i="6"/>
  <c r="P9" i="6"/>
  <c r="S13" i="6"/>
  <c r="V11" i="6"/>
  <c r="P12" i="6"/>
  <c r="S9" i="6"/>
  <c r="P13" i="6"/>
  <c r="R19" i="6"/>
  <c r="R15" i="6"/>
  <c r="R16" i="6"/>
  <c r="R17" i="6"/>
  <c r="R18" i="6"/>
  <c r="P14" i="6"/>
  <c r="V10" i="6"/>
  <c r="V13" i="6"/>
  <c r="S10" i="6"/>
  <c r="S14" i="6"/>
  <c r="V14" i="6"/>
  <c r="U18" i="6"/>
  <c r="I44" i="9"/>
  <c r="I23" i="9" s="1"/>
  <c r="M44" i="9"/>
  <c r="M23" i="9" s="1"/>
  <c r="L44" i="9"/>
  <c r="L23" i="9" s="1"/>
  <c r="K44" i="9"/>
  <c r="K23" i="9" s="1"/>
  <c r="J44" i="9"/>
  <c r="J23" i="9" s="1"/>
  <c r="N7" i="3"/>
  <c r="N9" i="3"/>
  <c r="N33" i="3"/>
  <c r="O33" i="3" s="1"/>
  <c r="P33" i="3" s="1"/>
  <c r="Q68" i="5"/>
  <c r="R101" i="5" s="1"/>
  <c r="Q67" i="5"/>
  <c r="R100" i="5" s="1"/>
  <c r="P68" i="5"/>
  <c r="R97" i="5" s="1"/>
  <c r="P67" i="5"/>
  <c r="R96" i="5" s="1"/>
  <c r="O68" i="5"/>
  <c r="R93" i="5" s="1"/>
  <c r="O67" i="5"/>
  <c r="R92" i="5" s="1"/>
  <c r="R68" i="5"/>
  <c r="R67" i="5"/>
  <c r="W68" i="5"/>
  <c r="V68" i="5"/>
  <c r="W101" i="5" s="1"/>
  <c r="U68" i="5"/>
  <c r="W97" i="5" s="1"/>
  <c r="T68" i="5"/>
  <c r="W93" i="5" s="1"/>
  <c r="W67" i="5"/>
  <c r="V67" i="5"/>
  <c r="W100" i="5" s="1"/>
  <c r="U67" i="5"/>
  <c r="W96" i="5" s="1"/>
  <c r="T67" i="5"/>
  <c r="W92" i="5" s="1"/>
  <c r="M68" i="5"/>
  <c r="M67" i="5"/>
  <c r="L68" i="5"/>
  <c r="M101" i="5" s="1"/>
  <c r="L67" i="5"/>
  <c r="M100" i="5" s="1"/>
  <c r="K68" i="5"/>
  <c r="M97" i="5" s="1"/>
  <c r="J68" i="5"/>
  <c r="M93" i="5" s="1"/>
  <c r="K67" i="5"/>
  <c r="M96" i="5" s="1"/>
  <c r="J67" i="5"/>
  <c r="M92" i="5" s="1"/>
  <c r="O160" i="2"/>
  <c r="N102" i="3"/>
  <c r="H92" i="2"/>
  <c r="H34" i="2"/>
  <c r="I92" i="2"/>
  <c r="I34" i="2"/>
  <c r="J92" i="2"/>
  <c r="J34" i="2"/>
  <c r="K92" i="2"/>
  <c r="K34" i="2"/>
  <c r="P52" i="2"/>
  <c r="N55" i="2"/>
  <c r="O55" i="2" s="1"/>
  <c r="P55" i="2" s="1"/>
  <c r="P51" i="2"/>
  <c r="M29" i="3"/>
  <c r="M28" i="3" s="1"/>
  <c r="O57" i="3"/>
  <c r="P57" i="3" s="1"/>
  <c r="P23" i="2"/>
  <c r="H157" i="2"/>
  <c r="H178" i="2" s="1"/>
  <c r="I157" i="2"/>
  <c r="I178" i="2" s="1"/>
  <c r="J157" i="2"/>
  <c r="J178" i="2" s="1"/>
  <c r="K157" i="2"/>
  <c r="K178" i="2" s="1"/>
  <c r="N52" i="3"/>
  <c r="O52" i="3" s="1"/>
  <c r="M47" i="3"/>
  <c r="L15" i="12" s="1"/>
  <c r="L14" i="3"/>
  <c r="N35" i="3"/>
  <c r="O35" i="3" s="1"/>
  <c r="N13" i="3"/>
  <c r="M34" i="3"/>
  <c r="N47" i="3"/>
  <c r="M15" i="12" s="1"/>
  <c r="P45" i="3"/>
  <c r="M25" i="3"/>
  <c r="L14" i="12" s="1"/>
  <c r="J64" i="2"/>
  <c r="J106" i="2"/>
  <c r="J51" i="2" s="1"/>
  <c r="K17" i="2"/>
  <c r="L3" i="2"/>
  <c r="H24" i="7" l="1"/>
  <c r="J24" i="7"/>
  <c r="F24" i="7"/>
  <c r="L24" i="7"/>
  <c r="D29" i="7" s="1"/>
  <c r="L29" i="7" s="1"/>
  <c r="L32" i="7" s="1"/>
  <c r="L36" i="7" s="1"/>
  <c r="H16" i="5"/>
  <c r="H21" i="6" s="1"/>
  <c r="M40" i="6"/>
  <c r="M21" i="6"/>
  <c r="E25" i="8" s="1"/>
  <c r="E68" i="5"/>
  <c r="H93" i="5" s="1"/>
  <c r="Q40" i="6" s="1"/>
  <c r="E67" i="5"/>
  <c r="H92" i="5" s="1"/>
  <c r="N40" i="6" s="1"/>
  <c r="M15" i="6"/>
  <c r="M19" i="6"/>
  <c r="M18" i="6"/>
  <c r="M16" i="6"/>
  <c r="M17" i="6"/>
  <c r="M37" i="6"/>
  <c r="M35" i="6"/>
  <c r="M34" i="6"/>
  <c r="M38" i="6"/>
  <c r="M36" i="6"/>
  <c r="Q28" i="6"/>
  <c r="O55" i="3"/>
  <c r="P55" i="3" s="1"/>
  <c r="N50" i="3"/>
  <c r="O50" i="3" s="1"/>
  <c r="K197" i="2"/>
  <c r="J32" i="12"/>
  <c r="J197" i="2"/>
  <c r="I32" i="12"/>
  <c r="H197" i="2"/>
  <c r="G32" i="12"/>
  <c r="I197" i="2"/>
  <c r="H32" i="12"/>
  <c r="N6" i="3"/>
  <c r="P8" i="3" s="1"/>
  <c r="M16" i="12"/>
  <c r="L16" i="12"/>
  <c r="E42" i="10" a="1"/>
  <c r="E42" i="10" s="1"/>
  <c r="K42" i="10" s="1"/>
  <c r="L59" i="3"/>
  <c r="K20" i="12" s="1"/>
  <c r="K21" i="12" s="1"/>
  <c r="K10" i="12"/>
  <c r="R28" i="6"/>
  <c r="K154" i="2"/>
  <c r="J7" i="12"/>
  <c r="O30" i="6"/>
  <c r="W13" i="6"/>
  <c r="L30" i="7"/>
  <c r="L33" i="7" s="1"/>
  <c r="L37" i="7" s="1"/>
  <c r="P31" i="6"/>
  <c r="U28" i="6"/>
  <c r="P28" i="6"/>
  <c r="O32" i="6"/>
  <c r="X9" i="6"/>
  <c r="Q30" i="6"/>
  <c r="O31" i="6"/>
  <c r="O29" i="6"/>
  <c r="S28" i="6"/>
  <c r="U30" i="6"/>
  <c r="Z13" i="6"/>
  <c r="T40" i="6"/>
  <c r="W9" i="6"/>
  <c r="P29" i="6"/>
  <c r="T30" i="6"/>
  <c r="S30" i="6"/>
  <c r="X12" i="6"/>
  <c r="P15" i="6"/>
  <c r="P19" i="6"/>
  <c r="P18" i="6"/>
  <c r="P16" i="6"/>
  <c r="P17" i="6"/>
  <c r="X11" i="6"/>
  <c r="U32" i="6"/>
  <c r="T29" i="6"/>
  <c r="U27" i="6"/>
  <c r="AA10" i="6"/>
  <c r="Y11" i="6"/>
  <c r="U29" i="6"/>
  <c r="W14" i="6"/>
  <c r="Z14" i="6"/>
  <c r="S32" i="6"/>
  <c r="S15" i="6"/>
  <c r="S17" i="6"/>
  <c r="S19" i="6"/>
  <c r="S18" i="6"/>
  <c r="S16" i="6"/>
  <c r="X13" i="6"/>
  <c r="T28" i="6"/>
  <c r="W10" i="6"/>
  <c r="R29" i="6"/>
  <c r="N32" i="6"/>
  <c r="U31" i="6"/>
  <c r="N27" i="6"/>
  <c r="Y13" i="6"/>
  <c r="AA9" i="6"/>
  <c r="V30" i="6"/>
  <c r="Z11" i="6"/>
  <c r="S29" i="6"/>
  <c r="V32" i="6"/>
  <c r="V31" i="6"/>
  <c r="V18" i="6"/>
  <c r="V16" i="6"/>
  <c r="V19" i="6"/>
  <c r="V17" i="6"/>
  <c r="V15" i="6"/>
  <c r="V28" i="6"/>
  <c r="O27" i="6"/>
  <c r="Y14" i="6"/>
  <c r="T32" i="6"/>
  <c r="Z10" i="6"/>
  <c r="V29" i="6"/>
  <c r="R31" i="6"/>
  <c r="Z12" i="6"/>
  <c r="T27" i="6"/>
  <c r="Y12" i="6"/>
  <c r="Q31" i="6"/>
  <c r="Y9" i="6"/>
  <c r="S31" i="6"/>
  <c r="Q32" i="6"/>
  <c r="R27" i="6"/>
  <c r="W11" i="6"/>
  <c r="Z9" i="6"/>
  <c r="Q29" i="6"/>
  <c r="T31" i="6"/>
  <c r="P27" i="6"/>
  <c r="V27" i="6"/>
  <c r="AA13" i="6"/>
  <c r="X14" i="6"/>
  <c r="Q27" i="6"/>
  <c r="N31" i="6"/>
  <c r="P30" i="6"/>
  <c r="S27" i="6"/>
  <c r="W12" i="6"/>
  <c r="X10" i="6"/>
  <c r="R32" i="6"/>
  <c r="N29" i="6"/>
  <c r="P32" i="6"/>
  <c r="O28" i="6"/>
  <c r="AA14" i="6"/>
  <c r="AA12" i="6"/>
  <c r="Y10" i="6"/>
  <c r="AA11" i="6"/>
  <c r="R30" i="6"/>
  <c r="N30" i="6"/>
  <c r="E43" i="10" a="1"/>
  <c r="O8" i="3"/>
  <c r="N30" i="3"/>
  <c r="P160" i="2"/>
  <c r="P102" i="3" s="1"/>
  <c r="O102" i="3"/>
  <c r="K95" i="2"/>
  <c r="K36" i="2"/>
  <c r="J95" i="2"/>
  <c r="J36" i="2"/>
  <c r="I95" i="2"/>
  <c r="I36" i="2"/>
  <c r="H95" i="2"/>
  <c r="H36" i="2"/>
  <c r="L34" i="2"/>
  <c r="M34" i="2" s="1"/>
  <c r="N34" i="2" s="1"/>
  <c r="O34" i="2" s="1"/>
  <c r="P34" i="2" s="1"/>
  <c r="J42" i="2"/>
  <c r="J43" i="2"/>
  <c r="N34" i="3"/>
  <c r="O34" i="3" s="1"/>
  <c r="P52" i="3"/>
  <c r="M36" i="3"/>
  <c r="P35" i="3"/>
  <c r="O13" i="3"/>
  <c r="P13" i="3" s="1"/>
  <c r="N12" i="3"/>
  <c r="P47" i="3"/>
  <c r="O15" i="12" s="1"/>
  <c r="O47" i="3"/>
  <c r="N15" i="12" s="1"/>
  <c r="N25" i="3"/>
  <c r="M14" i="12" s="1"/>
  <c r="K64" i="2"/>
  <c r="K106" i="2"/>
  <c r="K51" i="2" s="1"/>
  <c r="L17" i="2"/>
  <c r="M3" i="2"/>
  <c r="L40" i="7" l="1"/>
  <c r="G14" i="4" s="1"/>
  <c r="G11" i="2" s="1"/>
  <c r="P50" i="3"/>
  <c r="N14" i="3"/>
  <c r="M10" i="12" s="1"/>
  <c r="H25" i="8"/>
  <c r="I25" i="8"/>
  <c r="J26" i="12"/>
  <c r="K103" i="2"/>
  <c r="J27" i="12" s="1"/>
  <c r="I26" i="12"/>
  <c r="J103" i="2"/>
  <c r="I27" i="12" s="1"/>
  <c r="G26" i="12"/>
  <c r="H103" i="2"/>
  <c r="G27" i="12" s="1"/>
  <c r="H26" i="12"/>
  <c r="I103" i="2"/>
  <c r="H27" i="12" s="1"/>
  <c r="P9" i="3"/>
  <c r="P7" i="3"/>
  <c r="P6" i="3" s="1"/>
  <c r="N29" i="3"/>
  <c r="O9" i="3"/>
  <c r="O6" i="3"/>
  <c r="N12" i="12"/>
  <c r="M12" i="12"/>
  <c r="O16" i="12"/>
  <c r="N16" i="12"/>
  <c r="E31" i="5"/>
  <c r="H73" i="5" s="1"/>
  <c r="O21" i="6" s="1"/>
  <c r="L66" i="2"/>
  <c r="L67" i="2" s="1"/>
  <c r="M59" i="3"/>
  <c r="L20" i="12" s="1"/>
  <c r="L21" i="12" s="1"/>
  <c r="L11" i="12"/>
  <c r="L154" i="2"/>
  <c r="K7" i="12"/>
  <c r="K44" i="12" s="1"/>
  <c r="S36" i="6"/>
  <c r="L11" i="4" s="1"/>
  <c r="O38" i="6"/>
  <c r="R36" i="6"/>
  <c r="P38" i="6"/>
  <c r="O36" i="6"/>
  <c r="S37" i="6"/>
  <c r="O34" i="6"/>
  <c r="R35" i="6"/>
  <c r="R37" i="6"/>
  <c r="W19" i="6"/>
  <c r="W15" i="6"/>
  <c r="W21" i="6" s="1"/>
  <c r="L48" i="12" s="1"/>
  <c r="W16" i="6"/>
  <c r="W18" i="6"/>
  <c r="W17" i="6"/>
  <c r="L47" i="12" s="1"/>
  <c r="V38" i="6"/>
  <c r="V36" i="6"/>
  <c r="V34" i="6"/>
  <c r="V37" i="6"/>
  <c r="V35" i="6"/>
  <c r="U37" i="6"/>
  <c r="U38" i="6"/>
  <c r="U35" i="6"/>
  <c r="U34" i="6"/>
  <c r="U36" i="6"/>
  <c r="S34" i="6"/>
  <c r="O37" i="6"/>
  <c r="S35" i="6"/>
  <c r="O35" i="6"/>
  <c r="AA18" i="6"/>
  <c r="AA19" i="6"/>
  <c r="AA15" i="6"/>
  <c r="AA21" i="6" s="1"/>
  <c r="AA16" i="6"/>
  <c r="AA17" i="6"/>
  <c r="X18" i="6"/>
  <c r="S38" i="6"/>
  <c r="Z19" i="6"/>
  <c r="Z17" i="6"/>
  <c r="Z16" i="6"/>
  <c r="Z18" i="6"/>
  <c r="Z15" i="6"/>
  <c r="Z21" i="6" s="1"/>
  <c r="P37" i="6"/>
  <c r="N36" i="6"/>
  <c r="N37" i="6"/>
  <c r="N38" i="6"/>
  <c r="N34" i="6"/>
  <c r="N35" i="6"/>
  <c r="P34" i="6"/>
  <c r="P35" i="6"/>
  <c r="P36" i="6"/>
  <c r="X15" i="6"/>
  <c r="X21" i="6" s="1"/>
  <c r="L53" i="12" s="1"/>
  <c r="X19" i="6"/>
  <c r="X16" i="6"/>
  <c r="X17" i="6"/>
  <c r="L52" i="12" s="1"/>
  <c r="Y19" i="6"/>
  <c r="Y17" i="6"/>
  <c r="Y15" i="6"/>
  <c r="Y21" i="6" s="1"/>
  <c r="Y16" i="6"/>
  <c r="Y18" i="6"/>
  <c r="R38" i="6"/>
  <c r="R34" i="6"/>
  <c r="Q38" i="6"/>
  <c r="Q37" i="6"/>
  <c r="Q35" i="6"/>
  <c r="Q36" i="6"/>
  <c r="Q34" i="6"/>
  <c r="T38" i="6"/>
  <c r="T34" i="6"/>
  <c r="T36" i="6"/>
  <c r="T37" i="6"/>
  <c r="T35" i="6"/>
  <c r="E43" i="10"/>
  <c r="K43" i="10" s="1"/>
  <c r="O7" i="3"/>
  <c r="N31" i="3"/>
  <c r="N28" i="3" s="1"/>
  <c r="K42" i="2"/>
  <c r="L42" i="2" s="1"/>
  <c r="K43" i="2"/>
  <c r="P34" i="3"/>
  <c r="O12" i="3"/>
  <c r="P12" i="3" s="1"/>
  <c r="O25" i="3"/>
  <c r="N14" i="12" s="1"/>
  <c r="P25" i="3"/>
  <c r="O14" i="12" s="1"/>
  <c r="L64" i="2"/>
  <c r="L106" i="2"/>
  <c r="M17" i="2"/>
  <c r="N3" i="2"/>
  <c r="O30" i="3" l="1"/>
  <c r="L119" i="2"/>
  <c r="L172" i="2" s="1"/>
  <c r="L68" i="2"/>
  <c r="K23" i="12" s="1"/>
  <c r="K24" i="12" s="1"/>
  <c r="L49" i="4"/>
  <c r="L50" i="4" s="1"/>
  <c r="O12" i="12"/>
  <c r="L127" i="2"/>
  <c r="L174" i="2" s="1"/>
  <c r="L128" i="2"/>
  <c r="L175" i="2" s="1"/>
  <c r="L113" i="2"/>
  <c r="L171" i="2" s="1"/>
  <c r="L126" i="2"/>
  <c r="L173" i="2" s="1"/>
  <c r="L71" i="2"/>
  <c r="L72" i="2"/>
  <c r="L70" i="2"/>
  <c r="L133" i="2"/>
  <c r="L177" i="2" s="1"/>
  <c r="L81" i="2"/>
  <c r="L118" i="2"/>
  <c r="L184" i="2" s="1"/>
  <c r="F67" i="5"/>
  <c r="H96" i="5" s="1"/>
  <c r="O40" i="6" s="1"/>
  <c r="F31" i="5"/>
  <c r="H77" i="5" s="1"/>
  <c r="M66" i="2"/>
  <c r="J45" i="12" a="1"/>
  <c r="J45" i="12" s="1"/>
  <c r="J55" i="12" a="1"/>
  <c r="J55" i="12" s="1"/>
  <c r="J50" i="12" a="1"/>
  <c r="J50" i="12" s="1"/>
  <c r="M154" i="2"/>
  <c r="L7" i="12"/>
  <c r="L44" i="12" s="1"/>
  <c r="C12" i="9" a="1"/>
  <c r="C12" i="9" s="1"/>
  <c r="N36" i="3"/>
  <c r="L111" i="2"/>
  <c r="L112" i="2"/>
  <c r="P14" i="3"/>
  <c r="O10" i="12" s="1"/>
  <c r="O14" i="3"/>
  <c r="N10" i="12" s="1"/>
  <c r="M64" i="2"/>
  <c r="M106" i="2"/>
  <c r="N17" i="2"/>
  <c r="O3" i="2"/>
  <c r="O31" i="3" l="1"/>
  <c r="O29" i="3"/>
  <c r="O28" i="3" s="1"/>
  <c r="O36" i="3" s="1"/>
  <c r="N11" i="12" s="1"/>
  <c r="M70" i="2"/>
  <c r="M67" i="2"/>
  <c r="M68" i="2" s="1"/>
  <c r="L23" i="12" s="1"/>
  <c r="L24" i="12" s="1"/>
  <c r="L73" i="2"/>
  <c r="L166" i="2" s="1"/>
  <c r="M118" i="2"/>
  <c r="M184" i="2" s="1"/>
  <c r="G67" i="5"/>
  <c r="H100" i="5" s="1"/>
  <c r="P40" i="6" s="1"/>
  <c r="J46" i="12" s="1" a="1"/>
  <c r="J46" i="12" s="1"/>
  <c r="L82" i="2"/>
  <c r="L162" i="2" s="1"/>
  <c r="M126" i="2"/>
  <c r="M173" i="2" s="1"/>
  <c r="M71" i="2"/>
  <c r="M133" i="2"/>
  <c r="M177" i="2" s="1"/>
  <c r="M81" i="2"/>
  <c r="M127" i="2"/>
  <c r="M174" i="2" s="1"/>
  <c r="M128" i="2"/>
  <c r="M175" i="2" s="1"/>
  <c r="M113" i="2"/>
  <c r="M171" i="2" s="1"/>
  <c r="M49" i="4"/>
  <c r="M50" i="4" s="1"/>
  <c r="M119" i="2"/>
  <c r="M172" i="2" s="1"/>
  <c r="M72" i="2"/>
  <c r="N59" i="3"/>
  <c r="M20" i="12" s="1"/>
  <c r="M21" i="12" s="1"/>
  <c r="M11" i="12"/>
  <c r="N154" i="2"/>
  <c r="M7" i="12"/>
  <c r="P21" i="6"/>
  <c r="H85" i="5"/>
  <c r="L169" i="2"/>
  <c r="L170" i="2"/>
  <c r="L163" i="2"/>
  <c r="M111" i="2"/>
  <c r="M169" i="2" s="1"/>
  <c r="M112" i="2"/>
  <c r="N64" i="2"/>
  <c r="N106" i="2"/>
  <c r="O17" i="2"/>
  <c r="P3" i="2"/>
  <c r="P30" i="3" l="1"/>
  <c r="L52" i="4"/>
  <c r="L75" i="2"/>
  <c r="L86" i="3"/>
  <c r="L182" i="2" s="1"/>
  <c r="L185" i="2" s="1"/>
  <c r="K33" i="12" s="1"/>
  <c r="M82" i="2"/>
  <c r="M162" i="2" s="1"/>
  <c r="M73" i="2"/>
  <c r="M166" i="2" s="1"/>
  <c r="G31" i="5"/>
  <c r="H81" i="5" s="1"/>
  <c r="N66" i="2"/>
  <c r="O59" i="3"/>
  <c r="O154" i="2"/>
  <c r="N7" i="12"/>
  <c r="M163" i="2"/>
  <c r="M170" i="2"/>
  <c r="O64" i="2"/>
  <c r="O106" i="2"/>
  <c r="P17" i="2"/>
  <c r="P31" i="3" l="1"/>
  <c r="P29" i="3"/>
  <c r="N118" i="2"/>
  <c r="N82" i="2" s="1"/>
  <c r="N162" i="2" s="1"/>
  <c r="N67" i="2"/>
  <c r="N68" i="2" s="1"/>
  <c r="M23" i="12" s="1"/>
  <c r="M24" i="12" s="1"/>
  <c r="N95" i="3"/>
  <c r="M95" i="3"/>
  <c r="K29" i="12"/>
  <c r="O95" i="3"/>
  <c r="L95" i="3"/>
  <c r="L100" i="3" s="1"/>
  <c r="L89" i="3" s="1"/>
  <c r="M94" i="3" s="1"/>
  <c r="P95" i="3"/>
  <c r="L65" i="4"/>
  <c r="L72" i="3"/>
  <c r="L68" i="3" s="1"/>
  <c r="L70" i="3" s="1"/>
  <c r="L131" i="2" s="1"/>
  <c r="L124" i="2" s="1"/>
  <c r="L189" i="2" s="1"/>
  <c r="M75" i="2"/>
  <c r="M86" i="3"/>
  <c r="P96" i="3" s="1"/>
  <c r="M52" i="4"/>
  <c r="N72" i="2"/>
  <c r="N127" i="2"/>
  <c r="N174" i="2" s="1"/>
  <c r="N81" i="2"/>
  <c r="H67" i="5"/>
  <c r="N126" i="2"/>
  <c r="N173" i="2" s="1"/>
  <c r="N112" i="2"/>
  <c r="N163" i="2" s="1"/>
  <c r="N111" i="2"/>
  <c r="N169" i="2" s="1"/>
  <c r="N49" i="4"/>
  <c r="N50" i="4" s="1"/>
  <c r="N119" i="2"/>
  <c r="N172" i="2" s="1"/>
  <c r="N113" i="2"/>
  <c r="N171" i="2" s="1"/>
  <c r="N128" i="2"/>
  <c r="N175" i="2" s="1"/>
  <c r="N133" i="2"/>
  <c r="N177" i="2" s="1"/>
  <c r="N70" i="2"/>
  <c r="N71" i="2"/>
  <c r="O66" i="2"/>
  <c r="N20" i="12"/>
  <c r="N21" i="12" s="1"/>
  <c r="P154" i="2"/>
  <c r="O7" i="12"/>
  <c r="P64" i="2"/>
  <c r="P106" i="2"/>
  <c r="P28" i="3" l="1"/>
  <c r="P36" i="3" s="1"/>
  <c r="N184" i="2"/>
  <c r="O126" i="2"/>
  <c r="O173" i="2" s="1"/>
  <c r="O67" i="2"/>
  <c r="O68" i="2" s="1"/>
  <c r="N23" i="12" s="1"/>
  <c r="N24" i="12" s="1"/>
  <c r="M66" i="3"/>
  <c r="L129" i="2"/>
  <c r="L75" i="3"/>
  <c r="L79" i="2" s="1"/>
  <c r="L83" i="2" s="1"/>
  <c r="K37" i="12"/>
  <c r="L191" i="2"/>
  <c r="L193" i="2" s="1"/>
  <c r="K34" i="12" s="1"/>
  <c r="L159" i="2"/>
  <c r="L60" i="4" s="1"/>
  <c r="M72" i="3"/>
  <c r="M68" i="3" s="1"/>
  <c r="L116" i="2"/>
  <c r="L132" i="2" s="1"/>
  <c r="L176" i="2" s="1"/>
  <c r="N96" i="3"/>
  <c r="M96" i="3"/>
  <c r="M100" i="3" s="1"/>
  <c r="M89" i="3" s="1"/>
  <c r="N94" i="3" s="1"/>
  <c r="L29" i="12"/>
  <c r="M182" i="2"/>
  <c r="M65" i="4" s="1"/>
  <c r="O96" i="3"/>
  <c r="N170" i="2"/>
  <c r="O112" i="2"/>
  <c r="O163" i="2" s="1"/>
  <c r="N73" i="2"/>
  <c r="N166" i="2" s="1"/>
  <c r="O111" i="2"/>
  <c r="O169" i="2" s="1"/>
  <c r="O133" i="2"/>
  <c r="O177" i="2" s="1"/>
  <c r="O72" i="2"/>
  <c r="O118" i="2"/>
  <c r="O81" i="2"/>
  <c r="O70" i="2"/>
  <c r="O49" i="4"/>
  <c r="O50" i="4" s="1"/>
  <c r="O128" i="2"/>
  <c r="O175" i="2" s="1"/>
  <c r="O127" i="2"/>
  <c r="O174" i="2" s="1"/>
  <c r="O71" i="2"/>
  <c r="O119" i="2"/>
  <c r="O113" i="2"/>
  <c r="Q10" i="12"/>
  <c r="Q16" i="12"/>
  <c r="Q14" i="12"/>
  <c r="Q15" i="12"/>
  <c r="Q12" i="12"/>
  <c r="L54" i="4" l="1"/>
  <c r="L84" i="2"/>
  <c r="O11" i="12"/>
  <c r="Q11" i="12" s="1"/>
  <c r="P59" i="3"/>
  <c r="P66" i="2" s="1"/>
  <c r="L86" i="2"/>
  <c r="L56" i="4" s="1"/>
  <c r="M70" i="3"/>
  <c r="M131" i="2" s="1"/>
  <c r="M124" i="2" s="1"/>
  <c r="M129" i="2" s="1"/>
  <c r="L100" i="2"/>
  <c r="K40" i="12" s="1"/>
  <c r="K41" i="12" s="1"/>
  <c r="M159" i="2"/>
  <c r="M60" i="4" s="1"/>
  <c r="L134" i="2"/>
  <c r="L117" i="2"/>
  <c r="L158" i="2" s="1"/>
  <c r="O170" i="2"/>
  <c r="N52" i="4"/>
  <c r="N75" i="2"/>
  <c r="N86" i="3"/>
  <c r="N182" i="2" s="1"/>
  <c r="N65" i="4" s="1"/>
  <c r="O171" i="2"/>
  <c r="O172" i="2"/>
  <c r="O73" i="2"/>
  <c r="O82" i="2"/>
  <c r="O162" i="2" s="1"/>
  <c r="O184" i="2"/>
  <c r="M116" i="2"/>
  <c r="M132" i="2" s="1"/>
  <c r="M176" i="2" s="1"/>
  <c r="O20" i="12" l="1"/>
  <c r="O21" i="12" s="1"/>
  <c r="P67" i="2"/>
  <c r="P133" i="2"/>
  <c r="P177" i="2" s="1"/>
  <c r="P118" i="2"/>
  <c r="P113" i="2"/>
  <c r="P171" i="2" s="1"/>
  <c r="P111" i="2"/>
  <c r="P169" i="2" s="1"/>
  <c r="P128" i="2"/>
  <c r="P175" i="2" s="1"/>
  <c r="P72" i="2"/>
  <c r="P127" i="2"/>
  <c r="P174" i="2" s="1"/>
  <c r="P81" i="2"/>
  <c r="P70" i="2"/>
  <c r="P112" i="2"/>
  <c r="P49" i="4"/>
  <c r="P50" i="4" s="1"/>
  <c r="P119" i="2"/>
  <c r="P172" i="2" s="1"/>
  <c r="P71" i="2"/>
  <c r="P126" i="2"/>
  <c r="P173" i="2" s="1"/>
  <c r="L87" i="2"/>
  <c r="L157" i="2" s="1"/>
  <c r="L141" i="2" s="1"/>
  <c r="L144" i="2" s="1"/>
  <c r="L147" i="2" s="1"/>
  <c r="L149" i="2" s="1"/>
  <c r="M191" i="2"/>
  <c r="M75" i="3"/>
  <c r="M79" i="2" s="1"/>
  <c r="L37" i="12"/>
  <c r="N66" i="3"/>
  <c r="N69" i="3" s="1"/>
  <c r="O78" i="3" s="1"/>
  <c r="M189" i="2"/>
  <c r="L69" i="4"/>
  <c r="L70" i="4" s="1"/>
  <c r="E32" i="5"/>
  <c r="F68" i="5" s="1"/>
  <c r="H97" i="5" s="1"/>
  <c r="R40" i="6" s="1"/>
  <c r="M29" i="12"/>
  <c r="O97" i="3"/>
  <c r="N72" i="3"/>
  <c r="N68" i="3" s="1"/>
  <c r="N97" i="3"/>
  <c r="N100" i="3" s="1"/>
  <c r="N89" i="3" s="1"/>
  <c r="O94" i="3" s="1"/>
  <c r="P97" i="3"/>
  <c r="O166" i="2"/>
  <c r="O86" i="3"/>
  <c r="O75" i="2"/>
  <c r="O52" i="4"/>
  <c r="M134" i="2"/>
  <c r="M117" i="2"/>
  <c r="Q20" i="12" l="1"/>
  <c r="P68" i="2"/>
  <c r="P163" i="2"/>
  <c r="P170" i="2"/>
  <c r="P73" i="2"/>
  <c r="P52" i="4" s="1"/>
  <c r="P82" i="2"/>
  <c r="P162" i="2" s="1"/>
  <c r="P184" i="2"/>
  <c r="L89" i="2"/>
  <c r="E33" i="5"/>
  <c r="H75" i="5" s="1"/>
  <c r="U21" i="6" s="1"/>
  <c r="L58" i="4"/>
  <c r="L92" i="2"/>
  <c r="L93" i="2" s="1"/>
  <c r="L95" i="2" s="1"/>
  <c r="L97" i="2" s="1"/>
  <c r="L98" i="2" s="1"/>
  <c r="L178" i="2"/>
  <c r="K32" i="12" s="1"/>
  <c r="N70" i="3"/>
  <c r="N75" i="3" s="1"/>
  <c r="N79" i="2" s="1"/>
  <c r="M193" i="2"/>
  <c r="L34" i="12" s="1"/>
  <c r="N125" i="2"/>
  <c r="N190" i="2" s="1"/>
  <c r="H74" i="5"/>
  <c r="H89" i="5" s="1"/>
  <c r="N159" i="2"/>
  <c r="N60" i="4" s="1"/>
  <c r="N116" i="2"/>
  <c r="N132" i="2" s="1"/>
  <c r="N176" i="2" s="1"/>
  <c r="O182" i="2"/>
  <c r="O65" i="4" s="1"/>
  <c r="N29" i="12"/>
  <c r="P98" i="3"/>
  <c r="O72" i="3"/>
  <c r="O68" i="3" s="1"/>
  <c r="O98" i="3"/>
  <c r="O100" i="3" s="1"/>
  <c r="O159" i="2" s="1"/>
  <c r="O60" i="4" s="1"/>
  <c r="M158" i="2"/>
  <c r="R21" i="6" l="1"/>
  <c r="P86" i="3"/>
  <c r="P166" i="2"/>
  <c r="O23" i="12"/>
  <c r="P75" i="2"/>
  <c r="F69" i="5"/>
  <c r="H98" i="5" s="1"/>
  <c r="U40" i="6" s="1"/>
  <c r="K26" i="12"/>
  <c r="L103" i="2"/>
  <c r="K27" i="12" s="1"/>
  <c r="L197" i="2"/>
  <c r="L199" i="2" s="1"/>
  <c r="L109" i="2" s="1"/>
  <c r="K38" i="12" s="1"/>
  <c r="N131" i="2"/>
  <c r="M37" i="12" s="1"/>
  <c r="O66" i="3"/>
  <c r="O69" i="3" s="1"/>
  <c r="P78" i="3" s="1"/>
  <c r="N117" i="2"/>
  <c r="N158" i="2" s="1"/>
  <c r="O89" i="3"/>
  <c r="O116" i="2" s="1"/>
  <c r="O132" i="2" s="1"/>
  <c r="O176" i="2" s="1"/>
  <c r="P72" i="3" l="1"/>
  <c r="P68" i="3" s="1"/>
  <c r="P182" i="2"/>
  <c r="P65" i="4" s="1"/>
  <c r="O29" i="12"/>
  <c r="Q29" i="12" s="1"/>
  <c r="P99" i="3"/>
  <c r="O24" i="12"/>
  <c r="Q23" i="12"/>
  <c r="L114" i="2"/>
  <c r="L120" i="2" s="1"/>
  <c r="L151" i="2" s="1"/>
  <c r="M78" i="2"/>
  <c r="M110" i="2"/>
  <c r="M94" i="2" s="1"/>
  <c r="M198" i="2"/>
  <c r="N124" i="2"/>
  <c r="N129" i="2" s="1"/>
  <c r="N134" i="2" s="1"/>
  <c r="N191" i="2"/>
  <c r="O70" i="3"/>
  <c r="P66" i="3" s="1"/>
  <c r="P69" i="3" s="1"/>
  <c r="Q78" i="3" s="1"/>
  <c r="O125" i="2"/>
  <c r="O190" i="2" s="1"/>
  <c r="O117" i="2"/>
  <c r="O158" i="2" s="1"/>
  <c r="P94" i="3"/>
  <c r="P100" i="3" l="1"/>
  <c r="P159" i="2" s="1"/>
  <c r="P60" i="4" s="1"/>
  <c r="M183" i="2"/>
  <c r="M185" i="2" s="1"/>
  <c r="L33" i="12" s="1"/>
  <c r="M80" i="2"/>
  <c r="M161" i="2" s="1"/>
  <c r="L62" i="4"/>
  <c r="L63" i="4" s="1"/>
  <c r="L67" i="4" s="1"/>
  <c r="K36" i="12"/>
  <c r="P70" i="3"/>
  <c r="P75" i="3" s="1"/>
  <c r="P79" i="2" s="1"/>
  <c r="N189" i="2"/>
  <c r="N193" i="2" s="1"/>
  <c r="M34" i="12" s="1"/>
  <c r="P125" i="2"/>
  <c r="P190" i="2" s="1"/>
  <c r="O131" i="2"/>
  <c r="O191" i="2" s="1"/>
  <c r="O75" i="3"/>
  <c r="O79" i="2" s="1"/>
  <c r="P89" i="3" l="1"/>
  <c r="P116" i="2" s="1"/>
  <c r="P132" i="2" s="1"/>
  <c r="P176" i="2" s="1"/>
  <c r="P131" i="2"/>
  <c r="P124" i="2" s="1"/>
  <c r="P129" i="2" s="1"/>
  <c r="M83" i="2"/>
  <c r="O124" i="2"/>
  <c r="O129" i="2" s="1"/>
  <c r="O134" i="2" s="1"/>
  <c r="N37" i="12"/>
  <c r="M86" i="2" l="1"/>
  <c r="M84" i="2"/>
  <c r="P134" i="2"/>
  <c r="P117" i="2"/>
  <c r="P158" i="2" s="1"/>
  <c r="M54" i="4"/>
  <c r="P191" i="2"/>
  <c r="O37" i="12"/>
  <c r="Q37" i="12" s="1"/>
  <c r="M100" i="2"/>
  <c r="L40" i="12" s="1"/>
  <c r="L41" i="12" s="1"/>
  <c r="O189" i="2"/>
  <c r="O193" i="2" s="1"/>
  <c r="N34" i="12" s="1"/>
  <c r="M87" i="2"/>
  <c r="M56" i="4"/>
  <c r="P189" i="2"/>
  <c r="P193" i="2" l="1"/>
  <c r="O34" i="12" s="1"/>
  <c r="Q34" i="12" s="1"/>
  <c r="F32" i="5"/>
  <c r="H78" i="5" s="1"/>
  <c r="M69" i="4"/>
  <c r="M70" i="4" s="1"/>
  <c r="M157" i="2"/>
  <c r="M58" i="4"/>
  <c r="F33" i="5"/>
  <c r="M92" i="2"/>
  <c r="M93" i="2" s="1"/>
  <c r="M95" i="2" s="1"/>
  <c r="M89" i="2"/>
  <c r="G68" i="5" l="1"/>
  <c r="H101" i="5" s="1"/>
  <c r="S40" i="6" s="1"/>
  <c r="L12" i="4" s="1"/>
  <c r="M103" i="2"/>
  <c r="L27" i="12" s="1"/>
  <c r="L26" i="12"/>
  <c r="M97" i="2"/>
  <c r="M98" i="2" s="1"/>
  <c r="G69" i="5"/>
  <c r="H102" i="5" s="1"/>
  <c r="V40" i="6" s="1"/>
  <c r="J56" i="12" s="1" a="1"/>
  <c r="J56" i="12" s="1"/>
  <c r="H79" i="5"/>
  <c r="V21" i="6" s="1"/>
  <c r="M141" i="2"/>
  <c r="M144" i="2" s="1"/>
  <c r="M147" i="2" s="1"/>
  <c r="M149" i="2" s="1"/>
  <c r="M178" i="2"/>
  <c r="J51" i="12" a="1"/>
  <c r="J51" i="12" s="1"/>
  <c r="S21" i="6"/>
  <c r="H86" i="5"/>
  <c r="H90" i="5"/>
  <c r="H12" i="9" l="1" a="1"/>
  <c r="M197" i="2"/>
  <c r="M199" i="2" s="1"/>
  <c r="L32" i="12"/>
  <c r="H12" i="9" l="1"/>
  <c r="N198" i="2"/>
  <c r="M109" i="2"/>
  <c r="M34" i="9" l="1"/>
  <c r="M12" i="9" s="1"/>
  <c r="N78" i="2"/>
  <c r="M114" i="2"/>
  <c r="L38" i="12"/>
  <c r="N110" i="2"/>
  <c r="N94" i="2" l="1"/>
  <c r="N80" i="2"/>
  <c r="N183" i="2"/>
  <c r="N185" i="2" s="1"/>
  <c r="M33" i="12" s="1"/>
  <c r="M120" i="2"/>
  <c r="M62" i="4"/>
  <c r="M63" i="4" s="1"/>
  <c r="M67" i="4" s="1"/>
  <c r="M151" i="2" l="1"/>
  <c r="L36" i="12"/>
  <c r="N161" i="2"/>
  <c r="N83" i="2"/>
  <c r="N84" i="2" s="1"/>
  <c r="N54" i="4" l="1"/>
  <c r="N100" i="2"/>
  <c r="N86" i="2"/>
  <c r="N56" i="4" l="1"/>
  <c r="N87" i="2"/>
  <c r="N69" i="4"/>
  <c r="N70" i="4" s="1"/>
  <c r="M40" i="12"/>
  <c r="M41" i="12" s="1"/>
  <c r="G32" i="5"/>
  <c r="H82" i="5" l="1"/>
  <c r="H68" i="5"/>
  <c r="G33" i="5"/>
  <c r="N58" i="4"/>
  <c r="N157" i="2"/>
  <c r="N92" i="2"/>
  <c r="N93" i="2" s="1"/>
  <c r="N95" i="2" s="1"/>
  <c r="N89" i="2"/>
  <c r="N103" i="2" l="1"/>
  <c r="M27" i="12" s="1"/>
  <c r="M26" i="12"/>
  <c r="N97" i="2"/>
  <c r="N98" i="2" s="1"/>
  <c r="N141" i="2"/>
  <c r="N144" i="2" s="1"/>
  <c r="N147" i="2" s="1"/>
  <c r="N149" i="2" s="1"/>
  <c r="N178" i="2"/>
  <c r="H83" i="5"/>
  <c r="H69" i="5"/>
  <c r="N197" i="2" l="1"/>
  <c r="N199" i="2" s="1"/>
  <c r="M32" i="12"/>
  <c r="N109" i="2" l="1"/>
  <c r="O198" i="2"/>
  <c r="M38" i="12" l="1"/>
  <c r="N114" i="2"/>
  <c r="O78" i="2"/>
  <c r="O110" i="2"/>
  <c r="O94" i="2" l="1"/>
  <c r="O80" i="2"/>
  <c r="O161" i="2" s="1"/>
  <c r="O183" i="2"/>
  <c r="O185" i="2" s="1"/>
  <c r="N33" i="12" s="1"/>
  <c r="N62" i="4"/>
  <c r="N63" i="4" s="1"/>
  <c r="N67" i="4" s="1"/>
  <c r="N120" i="2"/>
  <c r="O83" i="2" l="1"/>
  <c r="N151" i="2"/>
  <c r="M36" i="12"/>
  <c r="O86" i="2" l="1"/>
  <c r="O56" i="4" s="1"/>
  <c r="O84" i="2"/>
  <c r="O54" i="4"/>
  <c r="O100" i="2"/>
  <c r="O69" i="4" s="1"/>
  <c r="O70" i="4" s="1"/>
  <c r="O87" i="2" l="1"/>
  <c r="O157" i="2" s="1"/>
  <c r="O178" i="2" s="1"/>
  <c r="N40" i="12"/>
  <c r="N41" i="12" s="1"/>
  <c r="O141" i="2" l="1"/>
  <c r="O144" i="2" s="1"/>
  <c r="O147" i="2" s="1"/>
  <c r="O149" i="2" s="1"/>
  <c r="O92" i="2"/>
  <c r="O93" i="2" s="1"/>
  <c r="O95" i="2" s="1"/>
  <c r="O103" i="2" s="1"/>
  <c r="N27" i="12" s="1"/>
  <c r="O58" i="4"/>
  <c r="O89" i="2"/>
  <c r="O97" i="2"/>
  <c r="O98" i="2" s="1"/>
  <c r="N26" i="12"/>
  <c r="O197" i="2"/>
  <c r="O199" i="2" s="1"/>
  <c r="N32" i="12"/>
  <c r="O109" i="2" l="1"/>
  <c r="P198" i="2"/>
  <c r="N38" i="12" l="1"/>
  <c r="P110" i="2"/>
  <c r="P78" i="2"/>
  <c r="O114" i="2"/>
  <c r="O120" i="2" l="1"/>
  <c r="O62" i="4"/>
  <c r="O63" i="4" s="1"/>
  <c r="O67" i="4" s="1"/>
  <c r="P94" i="2"/>
  <c r="P80" i="2"/>
  <c r="P161" i="2" s="1"/>
  <c r="P183" i="2"/>
  <c r="P185" i="2" s="1"/>
  <c r="O33" i="12" s="1"/>
  <c r="Q33" i="12" s="1"/>
  <c r="P83" i="2" l="1"/>
  <c r="P84" i="2" s="1"/>
  <c r="N36" i="12"/>
  <c r="O151" i="2"/>
  <c r="P100" i="2" l="1"/>
  <c r="P86" i="2"/>
  <c r="P56" i="4" s="1"/>
  <c r="P54" i="4"/>
  <c r="P87" i="2" l="1"/>
  <c r="P58" i="4" s="1"/>
  <c r="P69" i="4"/>
  <c r="O40" i="12"/>
  <c r="P89" i="2" l="1"/>
  <c r="P92" i="2"/>
  <c r="P93" i="2" s="1"/>
  <c r="P95" i="2" s="1"/>
  <c r="O26" i="12" s="1"/>
  <c r="Q26" i="12" s="1"/>
  <c r="P157" i="2"/>
  <c r="P178" i="2" s="1"/>
  <c r="O41" i="12"/>
  <c r="Q40" i="12"/>
  <c r="P70" i="4"/>
  <c r="L20" i="4"/>
  <c r="L23" i="4" s="1"/>
  <c r="P141" i="2" l="1"/>
  <c r="P144" i="2" s="1"/>
  <c r="P147" i="2" s="1"/>
  <c r="P149" i="2" s="1"/>
  <c r="P103" i="2"/>
  <c r="O27" i="12" s="1"/>
  <c r="P97" i="2"/>
  <c r="P98" i="2" s="1"/>
  <c r="L21" i="4"/>
  <c r="P197" i="2"/>
  <c r="P199" i="2" s="1"/>
  <c r="P109" i="2" s="1"/>
  <c r="O32" i="12"/>
  <c r="Q32" i="12" s="1"/>
  <c r="P114" i="2" l="1"/>
  <c r="O38" i="12"/>
  <c r="Q38" i="12" s="1"/>
  <c r="P62" i="4" l="1"/>
  <c r="P63" i="4" s="1"/>
  <c r="P67" i="4" s="1"/>
  <c r="Q20" i="4" s="1"/>
  <c r="P120" i="2"/>
  <c r="P151" i="2" l="1"/>
  <c r="O36" i="12"/>
  <c r="Q36" i="12" s="1"/>
  <c r="Q24" i="4"/>
  <c r="L24" i="4"/>
  <c r="L25" i="4" l="1"/>
  <c r="L37" i="4" s="1"/>
  <c r="L41" i="4" s="1"/>
  <c r="L27" i="4"/>
  <c r="Q21" i="4"/>
  <c r="Q23" i="4"/>
  <c r="Q25" i="4" s="1"/>
  <c r="E75" i="4" l="1"/>
  <c r="L42" i="4"/>
  <c r="Q27" i="4"/>
  <c r="Q37" i="4" s="1"/>
  <c r="Q41" i="4" s="1"/>
  <c r="Q42" i="4" l="1"/>
  <c r="E90" i="4"/>
  <c r="L43" i="10" s="1"/>
  <c r="L42" i="10" s="1"/>
  <c r="M41" i="10" s="1"/>
  <c r="L41" i="10" s="1"/>
  <c r="L40" i="10" s="1"/>
  <c r="J37" i="9" s="1"/>
  <c r="J15" i="9" s="1"/>
  <c r="I34" i="9" s="1"/>
  <c r="I12" i="9" s="1"/>
  <c r="J34" i="9" s="1"/>
  <c r="J12" i="9" s="1"/>
  <c r="K34" i="9" s="1"/>
  <c r="L34" i="9" s="1"/>
  <c r="L12" i="9" s="1"/>
  <c r="N41" i="10" l="1"/>
  <c r="O41" i="10"/>
  <c r="M40" i="10"/>
  <c r="N40" i="10"/>
  <c r="O40" i="10"/>
  <c r="I37" i="9"/>
  <c r="I15" i="9" s="1"/>
  <c r="K40" i="9"/>
  <c r="K18" i="9" s="1"/>
  <c r="J40" i="9"/>
  <c r="J18" i="9" s="1"/>
  <c r="I40" i="9"/>
  <c r="I18" i="9" s="1"/>
  <c r="M41" i="9"/>
  <c r="M19" i="9" s="1"/>
  <c r="M38" i="9"/>
  <c r="M16" i="9" s="1"/>
  <c r="L41" i="9"/>
  <c r="L19" i="9" s="1"/>
  <c r="K41" i="9"/>
  <c r="K19" i="9" s="1"/>
  <c r="K35" i="9"/>
  <c r="K13" i="9" s="1"/>
  <c r="J35" i="9"/>
  <c r="J13" i="9" s="1"/>
  <c r="I35" i="9"/>
  <c r="I13" i="9" s="1"/>
  <c r="M35" i="9"/>
  <c r="M13" i="9" s="1"/>
  <c r="L35" i="9"/>
  <c r="L13" i="9" s="1"/>
  <c r="M43" i="10"/>
  <c r="N43" i="10"/>
  <c r="L38" i="9"/>
  <c r="L16" i="9" s="1"/>
  <c r="O43" i="10"/>
  <c r="K38" i="9"/>
  <c r="K16" i="9" s="1"/>
  <c r="J38" i="9"/>
  <c r="J16" i="9" s="1"/>
  <c r="M36" i="9"/>
  <c r="M14" i="9" s="1"/>
  <c r="I38" i="9"/>
  <c r="I16" i="9" s="1"/>
  <c r="J41" i="9"/>
  <c r="J19" i="9" s="1"/>
  <c r="L36" i="9"/>
  <c r="L14" i="9" s="1"/>
  <c r="M39" i="9"/>
  <c r="M17" i="9" s="1"/>
  <c r="I41" i="9"/>
  <c r="I19" i="9" s="1"/>
  <c r="K36" i="9"/>
  <c r="K14" i="9" s="1"/>
  <c r="L39" i="9"/>
  <c r="L17" i="9" s="1"/>
  <c r="M42" i="9"/>
  <c r="M20" i="9" s="1"/>
  <c r="J36" i="9"/>
  <c r="J14" i="9" s="1"/>
  <c r="K39" i="9"/>
  <c r="K17" i="9" s="1"/>
  <c r="L42" i="9"/>
  <c r="L20" i="9" s="1"/>
  <c r="I36" i="9"/>
  <c r="I14" i="9" s="1"/>
  <c r="J39" i="9"/>
  <c r="J17" i="9" s="1"/>
  <c r="K42" i="9"/>
  <c r="K20" i="9" s="1"/>
  <c r="M37" i="9"/>
  <c r="M15" i="9" s="1"/>
  <c r="I39" i="9"/>
  <c r="I17" i="9" s="1"/>
  <c r="J42" i="9"/>
  <c r="J20" i="9" s="1"/>
  <c r="M42" i="10"/>
  <c r="K12" i="9"/>
  <c r="E32" i="9"/>
  <c r="E40" i="9" s="1"/>
  <c r="E44" i="9" s="1"/>
  <c r="E45" i="9" s="1"/>
  <c r="L37" i="9"/>
  <c r="L15" i="9" s="1"/>
  <c r="M40" i="9"/>
  <c r="M18" i="9" s="1"/>
  <c r="I42" i="9"/>
  <c r="I20" i="9" s="1"/>
  <c r="N42" i="10"/>
  <c r="K37" i="9"/>
  <c r="K15" i="9" s="1"/>
  <c r="L40" i="9"/>
  <c r="L18" i="9" s="1"/>
  <c r="O42" i="10"/>
  <c r="E49" i="10" l="1" a="1"/>
  <c r="E49" i="10" s="1"/>
  <c r="E50" i="10" a="1"/>
  <c r="N50" i="10" s="1"/>
  <c r="E46" i="10" a="1"/>
  <c r="N46" i="10" s="1"/>
  <c r="E52" i="10" a="1"/>
  <c r="N52" i="10" s="1"/>
  <c r="E48" i="10" a="1"/>
  <c r="E51" i="10" a="1"/>
  <c r="N51" i="10" s="1"/>
  <c r="E47" i="10" a="1"/>
  <c r="E47" i="10" s="1"/>
  <c r="K47" i="10" s="1"/>
  <c r="E53" i="10" a="1"/>
  <c r="E53" i="10" s="1"/>
  <c r="O49" i="10"/>
  <c r="M50" i="10"/>
  <c r="M49" i="10"/>
  <c r="E54" i="10" a="1"/>
  <c r="N49" i="10"/>
  <c r="M47" i="10"/>
  <c r="O50" i="10" l="1"/>
  <c r="O53" i="10"/>
  <c r="N47" i="10"/>
  <c r="O47" i="10"/>
  <c r="N53" i="10"/>
  <c r="M53" i="10"/>
  <c r="K53" i="10"/>
  <c r="L53" i="10"/>
  <c r="K49" i="10"/>
  <c r="L49" i="10"/>
  <c r="E48" i="10"/>
  <c r="K48" i="10" s="1"/>
  <c r="M51" i="10"/>
  <c r="E51" i="10"/>
  <c r="K51" i="10" s="1"/>
  <c r="O48" i="10"/>
  <c r="O51" i="10"/>
  <c r="E52" i="10"/>
  <c r="L47" i="10"/>
  <c r="O52" i="10"/>
  <c r="N48" i="10"/>
  <c r="M52" i="10"/>
  <c r="M48" i="10"/>
  <c r="M46" i="10"/>
  <c r="E46" i="10"/>
  <c r="K46" i="10" s="1"/>
  <c r="O46" i="10"/>
  <c r="E50" i="10"/>
  <c r="E54" i="10"/>
  <c r="K54" i="10" s="1"/>
  <c r="O54" i="10"/>
  <c r="M54" i="10"/>
  <c r="N54" i="10"/>
  <c r="L54" i="10" l="1"/>
  <c r="K52" i="10"/>
  <c r="L52" i="10"/>
  <c r="K50" i="10"/>
  <c r="L50" i="10"/>
  <c r="L46" i="10"/>
  <c r="L48" i="10"/>
  <c r="L51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67" authorId="0" shapeId="0" xr:uid="{470CDB75-C2D1-4B1D-BC60-3BE800F95241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Bloomberg Consesus - 422K 2025, 434K 2026</t>
        </r>
      </text>
    </comment>
    <comment ref="C80" authorId="0" shapeId="0" xr:uid="{E19A1137-A3A9-4C28-88FD-5CF27CD6E03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realized gain, unrealized loss
</t>
        </r>
      </text>
    </comment>
    <comment ref="C109" authorId="0" shapeId="0" xr:uid="{E5623744-6554-4A6F-9054-DF03ECC6255E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Cash, Restricted Cash
</t>
        </r>
      </text>
    </comment>
    <comment ref="C110" authorId="0" shapeId="0" xr:uid="{E43DE62D-FF9B-421D-AD0A-DFDE3B64D47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short-term time deposits, trading securities</t>
        </r>
      </text>
    </comment>
    <comment ref="C113" authorId="0" shapeId="0" xr:uid="{782F2071-19B6-427A-A809-5AB74F28CAC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Other, Income tax receivable, advances to related party, prepaid expenses
</t>
        </r>
      </text>
    </comment>
    <comment ref="C116" authorId="0" shapeId="0" xr:uid="{17C50A68-CAA2-44AB-A45D-8138B5CDAD75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PPE &amp; Intangibles
</t>
        </r>
      </text>
    </comment>
    <comment ref="C118" authorId="0" shapeId="0" xr:uid="{0A3F1A07-9EBD-47A5-8887-D1A62ECA2F8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Long-term investments, time deposits</t>
        </r>
      </text>
    </comment>
    <comment ref="C119" authorId="0" shapeId="0" xr:uid="{A48E62E5-8555-4D80-8343-23E245FF96C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other long-term assets, deferred tax assets</t>
        </r>
      </text>
    </comment>
    <comment ref="C126" authorId="0" shapeId="0" xr:uid="{DA317383-BE8D-4EA6-AB3A-3A00BEF31A5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accounts payable, related party accounts payable</t>
        </r>
      </text>
    </comment>
    <comment ref="C128" authorId="0" shapeId="0" xr:uid="{D653D888-01FB-44F3-AA81-7B758ABBD87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Other payables and accrued expenses, deferred revenue, income taxes payable, fin-48 payable</t>
        </r>
      </text>
    </comment>
    <comment ref="C132" authorId="0" shapeId="0" xr:uid="{9D50401D-8EB2-458C-9962-B967B8E02358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long-term, short-term portions</t>
        </r>
      </text>
    </comment>
    <comment ref="C133" authorId="0" shapeId="0" xr:uid="{60356B0F-6565-45E9-BFB2-32BA3C66D8C3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Other, deferred tax (obsolete after 2021)</t>
        </r>
      </text>
    </comment>
    <comment ref="C158" authorId="0" shapeId="0" xr:uid="{412C86B0-7AB2-4099-9BD5-C1C2AFDD305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ORU Assets</t>
        </r>
      </text>
    </comment>
    <comment ref="C182" authorId="0" shapeId="0" xr:uid="{E376BDBE-1A4F-4974-A454-DB43A63248D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PPE &amp; intangibles</t>
        </r>
      </text>
    </comment>
    <comment ref="C189" authorId="0" shapeId="0" xr:uid="{A44A5A78-2275-4344-B061-ECA2E4DFE6FF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proceeds from short term borrowings, repayments of short term borrowings</t>
        </r>
      </text>
    </comment>
    <comment ref="C191" authorId="0" shapeId="0" xr:uid="{EBCDDF5D-FCA2-4F6C-A4AF-07B6CA866C4C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proceeds from long term borrowings, repayments of long term borrowings</t>
        </r>
      </text>
    </comment>
    <comment ref="C192" authorId="0" shapeId="0" xr:uid="{73102F26-09A7-492F-857F-B722CB7EFF1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Proceeds from exercise of stock options, subsidiary equity issuance (2021), warrant exercise (2021), dividends paid by ACM Shanghai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8" authorId="0" shapeId="0" xr:uid="{A3297EC6-26DF-4757-86B6-C949B35CE032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Base Case based on bloomberg figures
</t>
        </r>
      </text>
    </comment>
    <comment ref="C10" authorId="0" shapeId="0" xr:uid="{46619258-8C33-4328-938E-F30483E1838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The New Platforms line item is a hypothetical scenario based on discussion based on I discussion I had with IR. It represents the successful ramp of new platforms in all cases. </t>
        </r>
      </text>
    </comment>
    <comment ref="C86" authorId="0" shapeId="0" xr:uid="{4DAE43A2-0F4D-41D0-84F4-470D23AD9A52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PPE &amp; intangibles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8" authorId="0" shapeId="0" xr:uid="{2521413D-3710-432C-8AB2-36BD9523A95F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All Figures per Capital IQ</t>
        </r>
      </text>
    </comment>
    <comment ref="C31" authorId="0" shapeId="0" xr:uid="{C0A5C23C-5E1C-450C-B6C5-B50E23F3B1E0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Projected Financials Via Bloomberg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<sst xmlns="http://schemas.openxmlformats.org/spreadsheetml/2006/main" count="1429" uniqueCount="536">
  <si>
    <t>Revenue</t>
  </si>
  <si>
    <t>Cash and cash equivalents</t>
  </si>
  <si>
    <t>Accounts receivable</t>
  </si>
  <si>
    <t>Inventories</t>
  </si>
  <si>
    <t>Total current assets</t>
  </si>
  <si>
    <t>Property, plant and equipment, net</t>
  </si>
  <si>
    <t>Operating lease right-of-use assets, net</t>
  </si>
  <si>
    <t>Long-term investments</t>
  </si>
  <si>
    <t>Other long-term assets</t>
  </si>
  <si>
    <t>Total assets</t>
  </si>
  <si>
    <t>Short-term borrowings</t>
  </si>
  <si>
    <t>Current portion of long-term borrowings</t>
  </si>
  <si>
    <t>Accounts payable</t>
  </si>
  <si>
    <t>Advances from customers</t>
  </si>
  <si>
    <t>Other payables and accrued expenses</t>
  </si>
  <si>
    <t>Total current liabilities</t>
  </si>
  <si>
    <t>Long-term borrowings</t>
  </si>
  <si>
    <t>Long-term operating lease liabilities</t>
  </si>
  <si>
    <t>Other long-term liabilities</t>
  </si>
  <si>
    <t>Total liabilities</t>
  </si>
  <si>
    <t>Class A Common stock</t>
  </si>
  <si>
    <t>Class B Common stock</t>
  </si>
  <si>
    <t>Additional paid-in capital</t>
  </si>
  <si>
    <t>Retained earnings</t>
  </si>
  <si>
    <t>Statutory surplus reserve</t>
  </si>
  <si>
    <t>Accumulated other comprehensive income (loss)</t>
  </si>
  <si>
    <t>Total ACM Research, Inc. stockholders’ equity</t>
  </si>
  <si>
    <t>Non-controlling interests</t>
  </si>
  <si>
    <t>Total equity</t>
  </si>
  <si>
    <t>Total liabilities and equity</t>
  </si>
  <si>
    <t>Net income</t>
  </si>
  <si>
    <t>Depreciation and amortization</t>
  </si>
  <si>
    <t>Non-cash operating lease cost</t>
  </si>
  <si>
    <t>Gain on disposals of property, plant and equipment</t>
  </si>
  <si>
    <t>Realized gain on short-term investments</t>
  </si>
  <si>
    <t>Income from equity method investments</t>
  </si>
  <si>
    <t>Inventory provision</t>
  </si>
  <si>
    <t>Provision for credit losses</t>
  </si>
  <si>
    <t>Deferred income taxes</t>
  </si>
  <si>
    <t>Stock-based compensation</t>
  </si>
  <si>
    <t>Dividends from unconsolidated affiliates</t>
  </si>
  <si>
    <t>Net cash provided by (used in) operating activities</t>
  </si>
  <si>
    <t>Net cash used in investing activities</t>
  </si>
  <si>
    <t>Cost of revenue</t>
  </si>
  <si>
    <t>Gross profit</t>
  </si>
  <si>
    <t>Sales and marketing</t>
  </si>
  <si>
    <t>Research and development</t>
  </si>
  <si>
    <t>General and administrative</t>
  </si>
  <si>
    <t>Total operating expenses</t>
  </si>
  <si>
    <t>Income from operations</t>
  </si>
  <si>
    <t>Interest income</t>
  </si>
  <si>
    <t>Interest expense</t>
  </si>
  <si>
    <t>Other income (expense), net</t>
  </si>
  <si>
    <t>Income before income taxes</t>
  </si>
  <si>
    <t>Income tax expense</t>
  </si>
  <si>
    <t>Net income attributable to non-controlling interests</t>
  </si>
  <si>
    <t>Net income attributable to ACM Research, Inc.</t>
  </si>
  <si>
    <t>Foreign currency translation adjustment, net</t>
  </si>
  <si>
    <t>Unrealized gain on AFS investments, net of tax</t>
  </si>
  <si>
    <t>Comprehensive income (loss)</t>
  </si>
  <si>
    <t>Comprehensive income attributable to non-controlling interests</t>
  </si>
  <si>
    <t>Comprehensive income (loss) attributable to ACM Research, Inc.</t>
  </si>
  <si>
    <t>Balance Check</t>
  </si>
  <si>
    <t>Net changes in operating assets and liabilities:</t>
  </si>
  <si>
    <t>    Accounts receivable</t>
  </si>
  <si>
    <t>    Inventories</t>
  </si>
  <si>
    <t>    Other long-term assets</t>
  </si>
  <si>
    <t>    Accounts payable</t>
  </si>
  <si>
    <t>    Advances from customers</t>
  </si>
  <si>
    <t>    Other payables and accrued expenses</t>
  </si>
  <si>
    <t>    Operating lease liabilities</t>
  </si>
  <si>
    <t>    Other long-term liabilities</t>
  </si>
  <si>
    <t>Purchase of property, plant and equipment</t>
  </si>
  <si>
    <t>Net cash provided by financing activities</t>
  </si>
  <si>
    <t>Cash and cash equivalents at beginning of year</t>
  </si>
  <si>
    <t>Effect of exchange rate changes on cash</t>
  </si>
  <si>
    <t>Net increase (decrease) in cash</t>
  </si>
  <si>
    <t>Cash and cash equivalents at end of year</t>
  </si>
  <si>
    <t>Historical</t>
  </si>
  <si>
    <t>Projected:</t>
  </si>
  <si>
    <t>Units:</t>
  </si>
  <si>
    <t>Company Name:</t>
  </si>
  <si>
    <t>Name</t>
  </si>
  <si>
    <t>Last Fiscal Year:</t>
  </si>
  <si>
    <t>Ticker:</t>
  </si>
  <si>
    <t>Next Fiscal Year:</t>
  </si>
  <si>
    <t>Current Share Price:</t>
  </si>
  <si>
    <t>$ / Share</t>
  </si>
  <si>
    <t>Most Recent Quarter End Date:</t>
  </si>
  <si>
    <t>Diluted Shares Outstanding:</t>
  </si>
  <si>
    <t>M Shares</t>
  </si>
  <si>
    <t>Valuation Date:</t>
  </si>
  <si>
    <t>Effective Tax Rate:</t>
  </si>
  <si>
    <t>%</t>
  </si>
  <si>
    <t>Discount Rate (WACC):</t>
  </si>
  <si>
    <t>LTM Period:</t>
  </si>
  <si>
    <t>Forward Year 1:</t>
  </si>
  <si>
    <t>Conversion Units:</t>
  </si>
  <si>
    <t>#</t>
  </si>
  <si>
    <t>Forward Year 2:</t>
  </si>
  <si>
    <t>Forward Year 3:</t>
  </si>
  <si>
    <t>Income Statement</t>
  </si>
  <si>
    <t>ACMR</t>
  </si>
  <si>
    <t>ACM Research, Inc.</t>
  </si>
  <si>
    <t>Assets</t>
  </si>
  <si>
    <t>Liabilities</t>
  </si>
  <si>
    <t>Stockholder's Equity</t>
  </si>
  <si>
    <t>Cash From Operations</t>
  </si>
  <si>
    <t>Cash From Financing</t>
  </si>
  <si>
    <t>Cash From Investment Activities</t>
  </si>
  <si>
    <t>EBITDA</t>
  </si>
  <si>
    <t>$T</t>
  </si>
  <si>
    <t>$T / OK!</t>
  </si>
  <si>
    <t>Single Wafer Cleaning – Mainland China</t>
  </si>
  <si>
    <t>Units</t>
  </si>
  <si>
    <t>Single Wafer Cleaning – Other Regions</t>
  </si>
  <si>
    <t>ECP + Furnace – Mainland China</t>
  </si>
  <si>
    <t>ECP + Furnace – Other Regions</t>
  </si>
  <si>
    <t>Advanced Packaging + Spares/Service – Mainland China</t>
  </si>
  <si>
    <t>Revenue (non-unit based)</t>
  </si>
  <si>
    <t>Advanced Packaging + Spares/Service – Other Regions</t>
  </si>
  <si>
    <t>Total Revenue</t>
  </si>
  <si>
    <t>Average Selling Price</t>
  </si>
  <si>
    <t>% Growth</t>
  </si>
  <si>
    <t>Upside</t>
  </si>
  <si>
    <t>Base</t>
  </si>
  <si>
    <t>Downside</t>
  </si>
  <si>
    <t>Scenario:</t>
  </si>
  <si>
    <t>Terminal Value - Multiples Method:</t>
  </si>
  <si>
    <t>Terminal Value - Perpetuity Growth Method:</t>
  </si>
  <si>
    <t>Median CY 26 TEV / EBITDA of Comps:</t>
  </si>
  <si>
    <t>Expected Long-Term GDP Growth:</t>
  </si>
  <si>
    <t>Median CY 26 TEV / EBITDA of Target:</t>
  </si>
  <si>
    <t>Baseline Terminal EBITDA Multiple:</t>
  </si>
  <si>
    <t>Baseline Terminal FCF Growth Rate:</t>
  </si>
  <si>
    <t>Baseline Terminal Value:</t>
  </si>
  <si>
    <t>Current Equity Value:</t>
  </si>
  <si>
    <t>Implied Terminal FCF Growth Rate:</t>
  </si>
  <si>
    <t>Implied Terminal EBITDA Multiple:</t>
  </si>
  <si>
    <t>(-) Cash &amp; Investments:</t>
  </si>
  <si>
    <t>(-) Net Operating Losses:</t>
  </si>
  <si>
    <t xml:space="preserve">(+) Present Value of Terminal Value: </t>
  </si>
  <si>
    <t>(+) Debt &amp; Finance Leases:</t>
  </si>
  <si>
    <t>(+) Present Value of UFCF:</t>
  </si>
  <si>
    <t>(+) Preferred Stock:</t>
  </si>
  <si>
    <t xml:space="preserve">Implied Enterprise Value: </t>
  </si>
  <si>
    <t>(+) Operating Leases:</t>
  </si>
  <si>
    <t>(+) Noncontrolling Interests:</t>
  </si>
  <si>
    <t>% of implied TEV from Terminal Value:</t>
  </si>
  <si>
    <t>(+) Unfunded Pensions:</t>
  </si>
  <si>
    <t>Current Enterprise Value:</t>
  </si>
  <si>
    <t>(+) Cash and Investments:</t>
  </si>
  <si>
    <t>(+) Net Operating Losses:</t>
  </si>
  <si>
    <t>(-)Debt and Finance Leases:</t>
  </si>
  <si>
    <t>(-)Preferred Stock:</t>
  </si>
  <si>
    <t>(-) Operating Leases:</t>
  </si>
  <si>
    <t>(-) Noncontrolling Interests:</t>
  </si>
  <si>
    <t>(-)Unfunded Pensions:</t>
  </si>
  <si>
    <t xml:space="preserve">Implied Equity Value: </t>
  </si>
  <si>
    <t>Implied Share Price from DCF:</t>
  </si>
  <si>
    <t>Premium / (Discount) to Current:</t>
  </si>
  <si>
    <t>% Change</t>
  </si>
  <si>
    <t>Operating Expenses</t>
  </si>
  <si>
    <t>Operating Income (EBIT)</t>
  </si>
  <si>
    <t>(-) Taxes, Excluding Effect of Interest</t>
  </si>
  <si>
    <t>Net Operating Profit After Taxes (NOPAT)</t>
  </si>
  <si>
    <t>Depreciation and amortization:</t>
  </si>
  <si>
    <t>Operating Net Working Capital</t>
  </si>
  <si>
    <t>Change in Working Capital</t>
  </si>
  <si>
    <t xml:space="preserve">Capital Expenditures: </t>
  </si>
  <si>
    <t>Unlevered Free Cash Flow</t>
  </si>
  <si>
    <t>EBITDA Margin</t>
  </si>
  <si>
    <t>Sensitivity Analyses</t>
  </si>
  <si>
    <t>Discount Rate: (WACC)</t>
  </si>
  <si>
    <t>TEV / EBITDA Multiple:</t>
  </si>
  <si>
    <t xml:space="preserve">Terminal FCF Growth Rates: </t>
  </si>
  <si>
    <t>Cost of revenue % Revenue</t>
  </si>
  <si>
    <t>Sales and marketing % Revenue</t>
  </si>
  <si>
    <t>Research and development % Revenue</t>
  </si>
  <si>
    <t>General and administrative % Revenue</t>
  </si>
  <si>
    <t>Total Gross Borrowings</t>
  </si>
  <si>
    <t>Less: Current portion of borrowings</t>
  </si>
  <si>
    <t>Total Long-Term Borrowings</t>
  </si>
  <si>
    <t>Effective Rate</t>
  </si>
  <si>
    <t>Principal Due</t>
  </si>
  <si>
    <t>% CapEx</t>
  </si>
  <si>
    <t>CapEx (Purchase of PPE &amp; Intangibles)</t>
  </si>
  <si>
    <t>D&amp;A of Existing Net PP&amp;E and Intangibles:</t>
  </si>
  <si>
    <t>D&amp;A of NEW CapEx &amp; Intangible Purchases:</t>
  </si>
  <si>
    <t>D&amp;A - Existing PP&amp;E and Intangibles, Net:</t>
  </si>
  <si>
    <t>D&amp;A - Year 1 CapEx &amp; Intangible Purchases:</t>
  </si>
  <si>
    <t>D&amp;A - Year 2 CapEx &amp; Intangible Purchases:</t>
  </si>
  <si>
    <t>D&amp;A - Year 3 CapEx &amp; Intangible Purchases:</t>
  </si>
  <si>
    <t>D&amp;A - Year 4 CapEx &amp; Intangible Purchases:</t>
  </si>
  <si>
    <t>D&amp;A - Year 5 CapEx &amp; Intangible Purchases:</t>
  </si>
  <si>
    <t>% OpEx</t>
  </si>
  <si>
    <t>Total D&amp;A of New and Existing PPE and Intangibles:</t>
  </si>
  <si>
    <t>Interest income % Cash</t>
  </si>
  <si>
    <t>Balance Sheet</t>
  </si>
  <si>
    <t>Short-term investments</t>
  </si>
  <si>
    <t>Days receivables outstanding</t>
  </si>
  <si>
    <t>Days</t>
  </si>
  <si>
    <t>New Borrowings</t>
  </si>
  <si>
    <t>Change in short-term borrowings</t>
  </si>
  <si>
    <t>Change in long-term borrowings</t>
  </si>
  <si>
    <t>Days inventory outstanding</t>
  </si>
  <si>
    <t>Other current assets</t>
  </si>
  <si>
    <t>Other current assets % Revenue</t>
  </si>
  <si>
    <t>Operating lease right-of-use assets, net % PPE</t>
  </si>
  <si>
    <t>Long-term investments % Revenue</t>
  </si>
  <si>
    <t>Other long-term assets % Revenue</t>
  </si>
  <si>
    <t>Short-term investments % Cash</t>
  </si>
  <si>
    <t>Short-term borrowings % Debt</t>
  </si>
  <si>
    <t>Change in Debt (new borrowings)</t>
  </si>
  <si>
    <t>Days Payables Outstanding</t>
  </si>
  <si>
    <t>Advances from customers % Revenue</t>
  </si>
  <si>
    <t>Other payables and accrued expenses % Revenue</t>
  </si>
  <si>
    <t>Long-term operating lease liabilities % PPE</t>
  </si>
  <si>
    <t>Other long-term liabilities % Revenue</t>
  </si>
  <si>
    <t>Cash Flow Statement</t>
  </si>
  <si>
    <t>Gain from short-term investments</t>
  </si>
  <si>
    <t>Gain from short-term investments % short-term investments</t>
  </si>
  <si>
    <t>Other income (expense), net % Revenue</t>
  </si>
  <si>
    <t>Income from equity method investments % Long-Term Invesments</t>
  </si>
  <si>
    <t>Effective Tax Rate</t>
  </si>
  <si>
    <t>Rate of income attributable to NCI</t>
  </si>
  <si>
    <t>Change in Short-term investments</t>
  </si>
  <si>
    <t>Change in Long-term investments</t>
  </si>
  <si>
    <t>Other Financing Items</t>
  </si>
  <si>
    <t>Inventory provision % inventory</t>
  </si>
  <si>
    <t>Stock-based compensation % OpEx</t>
  </si>
  <si>
    <t>Change in current portion of Long-term borrowings</t>
  </si>
  <si>
    <t>%Total Borrowings</t>
  </si>
  <si>
    <t>sigma lithium</t>
  </si>
  <si>
    <t>lloyds metals and energy  ltd</t>
  </si>
  <si>
    <t>Calendarization:</t>
  </si>
  <si>
    <t>pilbaa minerals ltd</t>
  </si>
  <si>
    <t>Old Partial</t>
  </si>
  <si>
    <t>New Partial</t>
  </si>
  <si>
    <t>FY</t>
  </si>
  <si>
    <t>LTM</t>
  </si>
  <si>
    <t>LTM Revenue:</t>
  </si>
  <si>
    <t>LTM Reported Net Income:</t>
  </si>
  <si>
    <t>LTM Operating Income (EBIT):</t>
  </si>
  <si>
    <t>(+) Non-Recurring Items in EBIT:</t>
  </si>
  <si>
    <t>(+) Depreciation &amp; Amortization:</t>
  </si>
  <si>
    <t>LTM EBITDA:</t>
  </si>
  <si>
    <t>Balance Sheet Data:</t>
  </si>
  <si>
    <t>(-) Cash &amp; Cash-Equivalents:</t>
  </si>
  <si>
    <t>(-) Equity Investments:</t>
  </si>
  <si>
    <t>(-) Other Non-Core Assets, Net:</t>
  </si>
  <si>
    <t>(+) Debt &amp; Capital Leases:</t>
  </si>
  <si>
    <t>(+) Unfunded Pension Obligations:</t>
  </si>
  <si>
    <t>(+) Restructuring &amp; Other Liabilities:</t>
  </si>
  <si>
    <t>Projected Financials:</t>
  </si>
  <si>
    <t>Revenue:</t>
  </si>
  <si>
    <t>EBITDA:</t>
  </si>
  <si>
    <t>Reported Net Income:</t>
  </si>
  <si>
    <t>Diluted Shares Calculations:</t>
  </si>
  <si>
    <t>Share Price:</t>
  </si>
  <si>
    <t>Common Shares Outstanding:</t>
  </si>
  <si>
    <t>Options and Warrants:</t>
  </si>
  <si>
    <t>Total</t>
  </si>
  <si>
    <t>Strike</t>
  </si>
  <si>
    <t>Dilution</t>
  </si>
  <si>
    <t>Convertible Bonds:</t>
  </si>
  <si>
    <t>$ Amount</t>
  </si>
  <si>
    <t>Par Value</t>
  </si>
  <si>
    <t>Conv. Price</t>
  </si>
  <si>
    <t># RSUs</t>
  </si>
  <si>
    <t>Restricted Stock Units (RSUs):</t>
  </si>
  <si>
    <t>Total Diluted Shares:</t>
  </si>
  <si>
    <t>Valuation Metrics:</t>
  </si>
  <si>
    <t>Equity Value:</t>
  </si>
  <si>
    <t>Enterprise Value:</t>
  </si>
  <si>
    <t>Levered Beta:</t>
  </si>
  <si>
    <t>Valuation Multiples:</t>
  </si>
  <si>
    <t>EV / Revenue:</t>
  </si>
  <si>
    <t>EV / EBITDA:</t>
  </si>
  <si>
    <t>P / E:</t>
  </si>
  <si>
    <t>Lookup Variables:</t>
  </si>
  <si>
    <t>Year 1 Projected Revenue Growth:</t>
  </si>
  <si>
    <t>Year 1 Projected EBITDA Growth:</t>
  </si>
  <si>
    <t>LTM EBITDA Margin:</t>
  </si>
  <si>
    <t>Corporate Website:</t>
  </si>
  <si>
    <t>MP Materials | Rare Earth Materials &amp; Magnetics Producer</t>
  </si>
  <si>
    <t>Home - Lynas Rare Earths</t>
  </si>
  <si>
    <t>reht.com/index</t>
  </si>
  <si>
    <t>Alkane Resources: Gold exploration and production</t>
  </si>
  <si>
    <t>Materion | Advanced Materials Solutions to Drive Innovation</t>
  </si>
  <si>
    <t>AMETEK</t>
  </si>
  <si>
    <t>TDK Corporation | TDK</t>
  </si>
  <si>
    <t>Consensus CapEx (Bloomberg)</t>
  </si>
  <si>
    <t>Consensus Revenue (Bloomberg)</t>
  </si>
  <si>
    <t>ONTO</t>
  </si>
  <si>
    <t>Onto Innovation Inc.</t>
  </si>
  <si>
    <t>ACLS</t>
  </si>
  <si>
    <t>Axcelis Technologies, Inc.</t>
  </si>
  <si>
    <t>FORM</t>
  </si>
  <si>
    <t>FormFactor, Inc.</t>
  </si>
  <si>
    <t>UCTT</t>
  </si>
  <si>
    <t>Ultra Clean Holdings, Inc.</t>
  </si>
  <si>
    <t>VECO</t>
  </si>
  <si>
    <t>Veeco Instruments Inc.</t>
  </si>
  <si>
    <t>ENTG</t>
  </si>
  <si>
    <t>Entegris, Inc.</t>
  </si>
  <si>
    <t>Comparable Companies - Semiconductor Manufacturing Equipment Provisions and Servicing</t>
  </si>
  <si>
    <t>($ USD in Millions Except Per Share Amounts in USD as Stated)</t>
  </si>
  <si>
    <t>2025-12-31 EBITDA:</t>
  </si>
  <si>
    <t>2025-12-31 Reported Net Income:</t>
  </si>
  <si>
    <t>2026-12-31 Reported Net Income:</t>
  </si>
  <si>
    <t>Operating Statistics:</t>
  </si>
  <si>
    <t>Capitalization</t>
  </si>
  <si>
    <t>Projected</t>
  </si>
  <si>
    <t>Share</t>
  </si>
  <si>
    <t>Diluted</t>
  </si>
  <si>
    <t>Equity</t>
  </si>
  <si>
    <t>Other &amp;</t>
  </si>
  <si>
    <t>Enterprise</t>
  </si>
  <si>
    <t>Net Income</t>
  </si>
  <si>
    <t>Company Name</t>
  </si>
  <si>
    <t>Ticker</t>
  </si>
  <si>
    <t>Price</t>
  </si>
  <si>
    <t>Shares</t>
  </si>
  <si>
    <t xml:space="preserve">Value </t>
  </si>
  <si>
    <t>Beta</t>
  </si>
  <si>
    <t>Tax Rate</t>
  </si>
  <si>
    <t>Cash</t>
  </si>
  <si>
    <t>Debt</t>
  </si>
  <si>
    <t>Preferred</t>
  </si>
  <si>
    <t>NCI</t>
  </si>
  <si>
    <t>Value</t>
  </si>
  <si>
    <t>Growth</t>
  </si>
  <si>
    <t>Maximum</t>
  </si>
  <si>
    <t>75th Percentile</t>
  </si>
  <si>
    <t>Median</t>
  </si>
  <si>
    <t>25th Percentile</t>
  </si>
  <si>
    <t>Minimum</t>
  </si>
  <si>
    <t>LTM P / E:</t>
  </si>
  <si>
    <t>2025-12-31 P / E:</t>
  </si>
  <si>
    <t>2026-12-31 P / E:</t>
  </si>
  <si>
    <t>Valuation Statistics:</t>
  </si>
  <si>
    <t>Enterprise Value /</t>
  </si>
  <si>
    <t>P / E Multiple</t>
  </si>
  <si>
    <t>Discount Rate Calculations - Assumptions:</t>
  </si>
  <si>
    <t>Risk-Free Rate:</t>
  </si>
  <si>
    <t>Equity Risk Premium:</t>
  </si>
  <si>
    <t>Pre-Tax Cost of Debt:</t>
  </si>
  <si>
    <t>Cost of Preferred Stock:</t>
  </si>
  <si>
    <t>Comparable Companies - Unlevered Beta Calculation:</t>
  </si>
  <si>
    <t>Levered</t>
  </si>
  <si>
    <t>Unlevered</t>
  </si>
  <si>
    <t>% Debt</t>
  </si>
  <si>
    <t>Stock</t>
  </si>
  <si>
    <t>% Preferred</t>
  </si>
  <si>
    <t>% Equity</t>
  </si>
  <si>
    <t>Median:</t>
  </si>
  <si>
    <t>Current Capital Structure:</t>
  </si>
  <si>
    <t>"Optimal" Capital Structure:</t>
  </si>
  <si>
    <t>Cost of Equity Based on Comparables, Current Capital Structure:</t>
  </si>
  <si>
    <t>Cost of Equity Based on Comparables, "Optimal" Capital Structure:</t>
  </si>
  <si>
    <t>Cost of Equity Based on Historical Beta:</t>
  </si>
  <si>
    <t>WACC, Current Capital Structure:</t>
  </si>
  <si>
    <t>WACC, "Optimal" Capital Structure:</t>
  </si>
  <si>
    <t>WACC, Current Capital Structure and Historical Cost of Equity:</t>
  </si>
  <si>
    <t>Average WACC Produced by All Methods:</t>
  </si>
  <si>
    <t>Operating Metrics</t>
  </si>
  <si>
    <t>Valuation Multiples</t>
  </si>
  <si>
    <t>Share Prices</t>
  </si>
  <si>
    <t>Premiums Paid</t>
  </si>
  <si>
    <t>Transaction</t>
  </si>
  <si>
    <t xml:space="preserve">EV / </t>
  </si>
  <si>
    <t>Offer</t>
  </si>
  <si>
    <t>1-Day</t>
  </si>
  <si>
    <t>1-Week</t>
  </si>
  <si>
    <t>1-Month</t>
  </si>
  <si>
    <t>Acquirer Name</t>
  </si>
  <si>
    <t>Target Name</t>
  </si>
  <si>
    <t>Date</t>
  </si>
  <si>
    <t>Prior</t>
  </si>
  <si>
    <t>KLA Corporation</t>
  </si>
  <si>
    <t>Orbotech Ltd.</t>
  </si>
  <si>
    <t>Analog Devices, Inc.</t>
  </si>
  <si>
    <t>Maxim Integrated Products, Inc.</t>
  </si>
  <si>
    <t>Advanced Micro Devices, Inc.</t>
  </si>
  <si>
    <t>Xilinx, Inc.</t>
  </si>
  <si>
    <t>Broadcom Inc.</t>
  </si>
  <si>
    <t xml:space="preserve">Vmware Inc. </t>
  </si>
  <si>
    <t>Precedent Transactions - U.S. and China-Based Semiconductor Manufacturing Equipment Industry with Transaction Enterprise Value Above $100 Million</t>
  </si>
  <si>
    <t>Announced Between May 1st, 2021 and June 1st, 2025</t>
  </si>
  <si>
    <t>Coherent Inc.</t>
  </si>
  <si>
    <t>CMC Materials LLC</t>
  </si>
  <si>
    <t>II-V1 Incorporated</t>
  </si>
  <si>
    <t>Atotech Limited</t>
  </si>
  <si>
    <t>MKS Instruments, Inc.</t>
  </si>
  <si>
    <t xml:space="preserve">Entegris, Inc. </t>
  </si>
  <si>
    <t>($ in Millions Except Per Share and Per Unit Data) - All Figures Sourced from Capital IQ</t>
  </si>
  <si>
    <t>75th</t>
  </si>
  <si>
    <t>25th</t>
  </si>
  <si>
    <t>Applicable</t>
  </si>
  <si>
    <t>Percentile</t>
  </si>
  <si>
    <t>Company</t>
  </si>
  <si>
    <t>Methodology Name</t>
  </si>
  <si>
    <t>Multiple</t>
  </si>
  <si>
    <t>Figure</t>
  </si>
  <si>
    <t>Public Company Comparables:</t>
  </si>
  <si>
    <t>Precedent Transactions:</t>
  </si>
  <si>
    <t>1-Day Premiums:</t>
  </si>
  <si>
    <t>1-Week Premiums:</t>
  </si>
  <si>
    <t>1-Month Premiums:</t>
  </si>
  <si>
    <t>Discounted Cash Flow Analysis:</t>
  </si>
  <si>
    <t>Implied Enterprise Value:</t>
  </si>
  <si>
    <t>Enterprise Value --&gt;</t>
  </si>
  <si>
    <t>Equity Value --&gt;</t>
  </si>
  <si>
    <t>LTM TEV / Revenue:</t>
  </si>
  <si>
    <t>LTM TEV / EBITDA:</t>
  </si>
  <si>
    <t>(10% - 12% WACC, 4.5% - 7.5% Free Cash Flow Growth Rate</t>
  </si>
  <si>
    <t>Implied Enterprise Value or Equity Value at a Range of Multiples:</t>
  </si>
  <si>
    <t>($ USD in Thousands Except Per Share Amounts in USD as Stated)</t>
  </si>
  <si>
    <t>Min.</t>
  </si>
  <si>
    <t>Max</t>
  </si>
  <si>
    <t>Min Point</t>
  </si>
  <si>
    <t>25th Point</t>
  </si>
  <si>
    <t>Median Point</t>
  </si>
  <si>
    <t>75th Point</t>
  </si>
  <si>
    <t>Max Point</t>
  </si>
  <si>
    <t>Current Share Price</t>
  </si>
  <si>
    <t>Model Name:</t>
  </si>
  <si>
    <t>Operating Model and Valuation (5-Year Forecast)</t>
  </si>
  <si>
    <t>Author:</t>
  </si>
  <si>
    <t>Glenn Rentrop</t>
  </si>
  <si>
    <t>File Name:</t>
  </si>
  <si>
    <t>Analysis Date:</t>
  </si>
  <si>
    <t>Navigation, Summary, or Graph Worksheet:</t>
  </si>
  <si>
    <t>Financial Model Worksheet:</t>
  </si>
  <si>
    <t>Data and Back-End Calculation Worksheet:</t>
  </si>
  <si>
    <t>Sheet Name</t>
  </si>
  <si>
    <t>Link to Sheet</t>
  </si>
  <si>
    <t>Model and Valuation Summary</t>
  </si>
  <si>
    <t>Summary</t>
  </si>
  <si>
    <t>Operating Scenarios and 3-Statement Model</t>
  </si>
  <si>
    <t>Model</t>
  </si>
  <si>
    <t>Debt, Capex, D&amp;A</t>
  </si>
  <si>
    <t>Discounted Cash Flow Analysis and Sensitivities</t>
  </si>
  <si>
    <t>DCF</t>
  </si>
  <si>
    <t>Weighted Average Cost of Capital (WACC) Calculations</t>
  </si>
  <si>
    <t>WACC</t>
  </si>
  <si>
    <t>Valuation Summary - Back-End Calculations</t>
  </si>
  <si>
    <t>ValSum</t>
  </si>
  <si>
    <t>Valuation "Football Field" Chart</t>
  </si>
  <si>
    <t>ValGraph</t>
  </si>
  <si>
    <t>Comparable Public Companies - Output</t>
  </si>
  <si>
    <t>PubComps</t>
  </si>
  <si>
    <t>Comparable Public Companies - Data and Calculations</t>
  </si>
  <si>
    <t>Precedent Transactions</t>
  </si>
  <si>
    <t>MAComps</t>
  </si>
  <si>
    <t>Summary of Operational Performance:</t>
  </si>
  <si>
    <t>CAGR:</t>
  </si>
  <si>
    <t>Segment-Level Statistics:</t>
  </si>
  <si>
    <t>Company-Wide:</t>
  </si>
  <si>
    <t>Revenue Growth:</t>
  </si>
  <si>
    <t>Gross Profit:</t>
  </si>
  <si>
    <t>Profit Margin:</t>
  </si>
  <si>
    <t>Comprehensive Income:</t>
  </si>
  <si>
    <t>Basic Earnings per Share (EPS):</t>
  </si>
  <si>
    <t>$ as Stated</t>
  </si>
  <si>
    <t>Capital expenditures:</t>
  </si>
  <si>
    <t>% Revenue:</t>
  </si>
  <si>
    <t xml:space="preserve">Cash Flow From Operations: </t>
  </si>
  <si>
    <t>Cash Flow From Investing:</t>
  </si>
  <si>
    <t>Cash Flows From Financing Activities:</t>
  </si>
  <si>
    <t xml:space="preserve">Total Assets: </t>
  </si>
  <si>
    <t>Long-term Debt:</t>
  </si>
  <si>
    <t>Cash and Cash Equivalents:</t>
  </si>
  <si>
    <t>EBITDA Margin:</t>
  </si>
  <si>
    <t>Summary of Valuation Multiples:</t>
  </si>
  <si>
    <t>EV / Revenue - Comparables:</t>
  </si>
  <si>
    <t>x</t>
  </si>
  <si>
    <t>Projected Revenue Growth - Comparables:</t>
  </si>
  <si>
    <t>EV / EBITDA - Comparables:</t>
  </si>
  <si>
    <t>Projected EBITDA Growth - Comparables:</t>
  </si>
  <si>
    <t>P / E - Comparables:</t>
  </si>
  <si>
    <t>Shares Outstanding</t>
  </si>
  <si>
    <t>Earnings per Share (basic)</t>
  </si>
  <si>
    <t>($ in Thousands Except Per Share and Per Unit Data)</t>
  </si>
  <si>
    <t>M&amp;A Comparables</t>
  </si>
  <si>
    <t>Share Price</t>
  </si>
  <si>
    <t>EV /</t>
  </si>
  <si>
    <t>P /</t>
  </si>
  <si>
    <t>E</t>
  </si>
  <si>
    <t>Comparable Companies Analysis - FY 2026 Multiples</t>
  </si>
  <si>
    <t>ACM Research, Inc. - Levered Beta &amp; WACC Calculation:</t>
  </si>
  <si>
    <t>Historical:</t>
  </si>
  <si>
    <t>Unlevered Free Cash Flow Calculation - ACM Research, Inc.</t>
  </si>
  <si>
    <t>Weighted Average</t>
  </si>
  <si>
    <t>% COGs</t>
  </si>
  <si>
    <t>Component Category</t>
  </si>
  <si>
    <t>U.S.-origin ICs, sensors, FPGAs</t>
  </si>
  <si>
    <t>Motion systems, pumps, valves</t>
  </si>
  <si>
    <t>Stainless frames, casings</t>
  </si>
  <si>
    <t>Optical components, cameras</t>
  </si>
  <si>
    <t>Software licenses</t>
  </si>
  <si>
    <t>Local Chinese supply (misc.)</t>
  </si>
  <si>
    <t>Tariff Rate (%)</t>
  </si>
  <si>
    <t>Optimistic</t>
  </si>
  <si>
    <t>Pessimistic</t>
  </si>
  <si>
    <t>Selected Scenario</t>
  </si>
  <si>
    <t>No Change</t>
  </si>
  <si>
    <t>Drivers</t>
  </si>
  <si>
    <t>PubComps_Data</t>
  </si>
  <si>
    <t>Tariff Source</t>
  </si>
  <si>
    <t>List 1 – HTS 8542.31</t>
  </si>
  <si>
    <t>List 2 – HTS 8413.x, 8481.x</t>
  </si>
  <si>
    <t>Section 232 (Steel duties)</t>
  </si>
  <si>
    <t>List 3 – HTS 9002.x, 8525.x</t>
  </si>
  <si>
    <t>Exempt – Software/IP</t>
  </si>
  <si>
    <t>N/A – Domestically sourced</t>
  </si>
  <si>
    <t>Yes</t>
  </si>
  <si>
    <t>Reescalation</t>
  </si>
  <si>
    <t>2025-12-31 Revenue:</t>
  </si>
  <si>
    <t>2026-12-31 Revenue:</t>
  </si>
  <si>
    <t>2026-12-31 EBITDA:</t>
  </si>
  <si>
    <t>2025-12-31 EBITDA Margin:</t>
  </si>
  <si>
    <t>2026-12-31 EBITDA Margin:</t>
  </si>
  <si>
    <t>LTM EV / Revenue:</t>
  </si>
  <si>
    <t>2025-12-31 EV / Revenue:</t>
  </si>
  <si>
    <t>2026-12-31 EV / Revenue:</t>
  </si>
  <si>
    <t>LTM EV / EBITDA:</t>
  </si>
  <si>
    <t>2025-12-31 EV / EBITDA:</t>
  </si>
  <si>
    <t>2026-12-31 EV / EBITDA:</t>
  </si>
  <si>
    <t>New Platforms</t>
  </si>
  <si>
    <t>New Platform Ramp</t>
  </si>
  <si>
    <t>Range of Implied Share Prices</t>
  </si>
  <si>
    <t>Discount</t>
  </si>
  <si>
    <t>Margin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</si>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</sst>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\(#,##0\);&quot;OK!&quot;;&quot;Error&quot;"/>
    <numFmt numFmtId="165" formatCode="&quot;FY&quot;\ yy"/>
    <numFmt numFmtId="166" formatCode="_(* #,##0.0_);_(* \(#,##0.0\);_(* &quot;-&quot;?_);_(@_)"/>
    <numFmt numFmtId="167" formatCode="_([$$-409]* #,##0.00_);_([$$-409]* \(#,##0.00\);_([$$-409]* &quot;-&quot;??_);_(@_)"/>
    <numFmt numFmtId="168" formatCode="_(* #,##0_);_(* \(#,##0\);_(* &quot;-&quot;???_);_(@_)"/>
    <numFmt numFmtId="169" formatCode="0.0%;\(0.0%\)"/>
    <numFmt numFmtId="170" formatCode="_(#,##0.00%_);\(#,##0.00%\);_(&quot;–&quot;_)_%;_(@_)_%"/>
    <numFmt numFmtId="171" formatCode="_(* #,##0_);_(* \(#,##0\);_(* &quot;-&quot;????_);_(@_)"/>
    <numFmt numFmtId="172" formatCode="yyyy\-mm\-dd"/>
    <numFmt numFmtId="173" formatCode="_(0.0\ \x_);\(0.0\ \x\);_(&quot;–&quot;_);_(@_)"/>
    <numFmt numFmtId="174" formatCode="0.0%"/>
    <numFmt numFmtId="175" formatCode="_(&quot;$&quot;* #,##0.0_);_(&quot;$&quot;* \(#,##0.0\);_(&quot;$&quot;* &quot;-&quot;?_);_(@_)"/>
    <numFmt numFmtId="176" formatCode="0.0\ \x"/>
    <numFmt numFmtId="177" formatCode="_(&quot;$&quot;* #,##0_);_(&quot;$&quot;* \(#,##0\);_(&quot;$&quot;* &quot;-&quot;?_);_(@_)"/>
    <numFmt numFmtId="178" formatCode="0.00%;\(0.00%\)"/>
    <numFmt numFmtId="179" formatCode="_([$$-409]* #,##0_);_([$$-409]* \(#,##0\);_([$$-409]* &quot;-&quot;??_);_(@_)"/>
    <numFmt numFmtId="180" formatCode="_(0.0%_);\(0.0%\);_(&quot;–&quot;_);_(@_)"/>
    <numFmt numFmtId="181" formatCode="_(* #,##0_);_(* \(#,##0\);_(* &quot;-&quot;?_);_(@_)"/>
    <numFmt numFmtId="182" formatCode="_(* #,##0.0_);_(* \(#,##0.0\);_(* &quot;-&quot;_);_(@_)"/>
    <numFmt numFmtId="183" formatCode="_(&quot;$&quot;* #,##0.00_);_(&quot;$&quot;* \(#,##0.00\);_(&quot;$&quot;* &quot;-&quot;?_);_(@_)"/>
    <numFmt numFmtId="184" formatCode="0.0%_);\(0.0%\);\-_%_);@_)"/>
    <numFmt numFmtId="185" formatCode="0.0\ \x;\(0.0\ \x\)"/>
    <numFmt numFmtId="186" formatCode="_(0.0%_);\(0.0%\);_(&quot;–&quot;_)_%;_(@_)_%"/>
    <numFmt numFmtId="187" formatCode="#,##0.000"/>
    <numFmt numFmtId="188" formatCode="0.0\ \x;[Red]\ 0.0\ \x"/>
    <numFmt numFmtId="189" formatCode="&quot;FY&quot;yy"/>
    <numFmt numFmtId="190" formatCode="_(* #,##0.00_);_(* \(#,##0.00\);_(* &quot;-&quot;_);_(@_)"/>
    <numFmt numFmtId="191" formatCode="_(&quot;$&quot;* #,##0.0_);_(&quot;$&quot;* \(#,##0.0\);_(&quot;$&quot;* &quot;-&quot;??_);_(@_)"/>
    <numFmt numFmtId="192" formatCode="_(#,##0.0%_);\(#,##0.0%\);_(&quot;–&quot;_)_%;_(@_)_%"/>
    <numFmt numFmtId="193" formatCode="_(* #,##0.0_);_(* \(#,##0.0\);_(* &quot;-&quot;??_);_(@_)"/>
    <numFmt numFmtId="194" formatCode="_(&quot;$&quot;* #,##0.00_);_(&quot;$&quot;* \(#,##0.00\);_(&quot;$&quot;* &quot;-&quot;_);_(@_)"/>
    <numFmt numFmtId="195" formatCode="_(0.00%_);\(0.00%\);_(&quot;–&quot;_)_%;_(@_)_%"/>
    <numFmt numFmtId="196" formatCode="_(#,##0.00_);\(#,##0.00\);_(&quot;–&quot;_);_(@_)"/>
    <numFmt numFmtId="197" formatCode="_(#,##0.00_)_%;\(#,##0.00\)_%;_(&quot;–&quot;_)_%;_(@_)_%"/>
    <numFmt numFmtId="198" formatCode="_(#,##0_)_%;\(#,##0\)_%;_(&quot;–&quot;_)_%;_(@_)_%"/>
    <numFmt numFmtId="199" formatCode="0.0%;\(0.0%\);\-_)_%;@_)_%"/>
    <numFmt numFmtId="200" formatCode="m/d/yyyy;@"/>
    <numFmt numFmtId="201" formatCode="_(* #,##0_);[Red]_(* \(#,##0\);_(* &quot;-&quot;_);_(@_)"/>
    <numFmt numFmtId="202" formatCode="_(* #,##0.000_);_(* \(#,##0.000\);_(* &quot;-&quot;???_);_(@_)"/>
    <numFmt numFmtId="203" formatCode="_(&quot;$&quot;* #,##0_);_(&quot;$&quot;* \(#,##0\);_(&quot;$&quot;* &quot;-&quot;??_);_(@_)"/>
  </numFmts>
  <fonts count="9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12"/>
      <color rgb="FF0000FF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i/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9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B05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rial"/>
      <family val="2"/>
    </font>
    <font>
      <b/>
      <sz val="12"/>
      <color theme="0"/>
      <name val="Aptos Narrow"/>
      <family val="2"/>
    </font>
    <font>
      <b/>
      <i/>
      <sz val="12"/>
      <color rgb="FF0000FF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u/>
      <sz val="12"/>
      <color indexed="9"/>
      <name val="Aptos Narrow"/>
      <family val="2"/>
      <scheme val="minor"/>
    </font>
    <font>
      <u/>
      <sz val="12"/>
      <color indexed="9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 tint="-4.9989318521683403E-2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theme="1"/>
      <name val="Calibri"/>
      <family val="2"/>
    </font>
    <font>
      <u/>
      <sz val="12"/>
      <color theme="10"/>
      <name val="Calibri"/>
      <family val="2"/>
    </font>
    <font>
      <sz val="12"/>
      <color rgb="FF000000"/>
      <name val="Calibri"/>
      <family val="2"/>
    </font>
    <font>
      <sz val="12"/>
      <color indexed="9"/>
      <name val="Aptos Narrow"/>
      <family val="2"/>
      <scheme val="minor"/>
    </font>
    <font>
      <sz val="7"/>
      <color rgb="FF232A31"/>
      <name val="Arial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sz val="12"/>
      <color rgb="FF0000FF"/>
      <name val="Calibri"/>
      <family val="2"/>
    </font>
    <font>
      <sz val="12"/>
      <color rgb="FFFF0000"/>
      <name val="Calibri"/>
      <family val="2"/>
    </font>
    <font>
      <sz val="12"/>
      <color rgb="FF00B050"/>
      <name val="Calibri"/>
      <family val="2"/>
    </font>
    <font>
      <b/>
      <sz val="14"/>
      <color rgb="FF000000"/>
      <name val="Aptos Narrow"/>
      <family val="2"/>
      <scheme val="minor"/>
    </font>
    <font>
      <sz val="8"/>
      <color indexed="8"/>
      <name val="Arial"/>
      <family val="2"/>
    </font>
    <font>
      <sz val="12"/>
      <color theme="6"/>
      <name val="Aptos Narrow"/>
      <family val="2"/>
      <scheme val="minor"/>
    </font>
    <font>
      <sz val="10"/>
      <color rgb="FF000000"/>
      <name val="Times New Roman"/>
      <family val="1"/>
    </font>
    <font>
      <b/>
      <sz val="11"/>
      <color theme="0"/>
      <name val="Aptos Narrow"/>
      <family val="2"/>
      <scheme val="minor"/>
    </font>
    <font>
      <i/>
      <sz val="12"/>
      <color theme="0"/>
      <name val="Aptos Narrow"/>
      <family val="2"/>
      <scheme val="minor"/>
    </font>
    <font>
      <i/>
      <sz val="12"/>
      <color rgb="FF000000"/>
      <name val="Aptos Narrow"/>
      <family val="2"/>
      <scheme val="minor"/>
    </font>
    <font>
      <i/>
      <sz val="12"/>
      <color rgb="FF00B050"/>
      <name val="Aptos Narrow"/>
      <family val="2"/>
      <scheme val="minor"/>
    </font>
    <font>
      <i/>
      <sz val="12"/>
      <color rgb="FFFF000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2"/>
      <color rgb="FFFFFF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6"/>
      <name val="Aptos Narrow"/>
      <family val="2"/>
      <scheme val="minor"/>
    </font>
    <font>
      <b/>
      <sz val="16"/>
      <name val="Aptos Narrow"/>
      <family val="2"/>
      <scheme val="minor"/>
    </font>
    <font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6"/>
      <color rgb="FF00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rgb="FF00B050"/>
      <name val="Aptos Narrow"/>
      <family val="2"/>
      <scheme val="minor"/>
    </font>
    <font>
      <i/>
      <sz val="16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sz val="16"/>
      <color rgb="FF0000FF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sz val="18"/>
      <color theme="0"/>
      <name val="Aptos Narrow"/>
      <family val="2"/>
      <scheme val="minor"/>
    </font>
    <font>
      <i/>
      <sz val="18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8"/>
      <name val="Aptos Narrow"/>
      <family val="2"/>
      <scheme val="minor"/>
    </font>
    <font>
      <b/>
      <i/>
      <sz val="18"/>
      <color theme="0"/>
      <name val="Aptos Narrow"/>
      <family val="2"/>
      <scheme val="minor"/>
    </font>
    <font>
      <b/>
      <sz val="18"/>
      <name val="Aptos Narrow"/>
      <family val="2"/>
      <scheme val="minor"/>
    </font>
    <font>
      <i/>
      <sz val="18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color rgb="FF0000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8"/>
      <color rgb="FF000000"/>
      <name val="Aptos Narrow"/>
      <family val="2"/>
      <scheme val="minor"/>
    </font>
    <font>
      <sz val="18"/>
      <color rgb="FF00B050"/>
      <name val="Aptos Narrow"/>
      <family val="2"/>
      <scheme val="minor"/>
    </font>
    <font>
      <i/>
      <sz val="18"/>
      <color theme="1"/>
      <name val="Aptos Narrow"/>
      <family val="2"/>
      <scheme val="minor"/>
    </font>
    <font>
      <i/>
      <sz val="18"/>
      <color rgb="FF00B050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b/>
      <sz val="18"/>
      <color rgb="FF00B050"/>
      <name val="Aptos Narrow"/>
      <family val="2"/>
      <scheme val="minor"/>
    </font>
    <font>
      <sz val="18"/>
      <color theme="7"/>
      <name val="Aptos Narrow"/>
      <family val="2"/>
      <scheme val="minor"/>
    </font>
    <font>
      <sz val="18"/>
      <color rgb="FFFFFF00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4" fillId="0" borderId="0"/>
    <xf numFmtId="0" fontId="17" fillId="0" borderId="0"/>
    <xf numFmtId="0" fontId="25" fillId="0" borderId="0" applyNumberFormat="0" applyFill="0" applyBorder="0" applyAlignment="0" applyProtection="0"/>
    <xf numFmtId="0" fontId="1" fillId="0" borderId="0"/>
    <xf numFmtId="0" fontId="48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</cellStyleXfs>
  <cellXfs count="778">
    <xf numFmtId="0" fontId="0" fillId="0" borderId="0" xfId="0"/>
    <xf numFmtId="3" fontId="0" fillId="0" borderId="0" xfId="0" applyNumberFormat="1" applyAlignment="1">
      <alignment vertical="center"/>
    </xf>
    <xf numFmtId="164" fontId="2" fillId="0" borderId="0" xfId="0" applyNumberFormat="1" applyFont="1" applyAlignment="1">
      <alignment horizontal="center"/>
    </xf>
    <xf numFmtId="41" fontId="3" fillId="0" borderId="0" xfId="0" applyNumberFormat="1" applyFont="1"/>
    <xf numFmtId="41" fontId="0" fillId="0" borderId="0" xfId="0" applyNumberFormat="1"/>
    <xf numFmtId="41" fontId="4" fillId="0" borderId="0" xfId="0" applyNumberFormat="1" applyFont="1"/>
    <xf numFmtId="41" fontId="5" fillId="0" borderId="0" xfId="0" applyNumberFormat="1" applyFont="1" applyAlignment="1">
      <alignment vertical="center" wrapText="1"/>
    </xf>
    <xf numFmtId="41" fontId="4" fillId="0" borderId="0" xfId="0" applyNumberFormat="1" applyFont="1" applyAlignment="1">
      <alignment vertical="center" wrapText="1"/>
    </xf>
    <xf numFmtId="41" fontId="4" fillId="0" borderId="0" xfId="0" applyNumberFormat="1" applyFont="1" applyAlignment="1">
      <alignment vertical="center"/>
    </xf>
    <xf numFmtId="41" fontId="5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3" borderId="0" xfId="0" applyFont="1" applyFill="1"/>
    <xf numFmtId="0" fontId="4" fillId="3" borderId="2" xfId="0" applyFont="1" applyFill="1" applyBorder="1"/>
    <xf numFmtId="0" fontId="7" fillId="3" borderId="2" xfId="0" applyFont="1" applyFill="1" applyBorder="1"/>
    <xf numFmtId="0" fontId="4" fillId="3" borderId="3" xfId="0" applyFont="1" applyFill="1" applyBorder="1"/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right"/>
    </xf>
    <xf numFmtId="165" fontId="7" fillId="3" borderId="0" xfId="0" applyNumberFormat="1" applyFont="1" applyFill="1" applyAlignment="1">
      <alignment horizontal="center"/>
    </xf>
    <xf numFmtId="165" fontId="7" fillId="3" borderId="4" xfId="0" applyNumberFormat="1" applyFont="1" applyFill="1" applyBorder="1" applyAlignment="1">
      <alignment horizontal="center"/>
    </xf>
    <xf numFmtId="165" fontId="7" fillId="3" borderId="5" xfId="0" applyNumberFormat="1" applyFont="1" applyFill="1" applyBorder="1" applyAlignment="1">
      <alignment horizontal="center"/>
    </xf>
    <xf numFmtId="0" fontId="8" fillId="0" borderId="0" xfId="3" applyFont="1"/>
    <xf numFmtId="0" fontId="3" fillId="4" borderId="0" xfId="2" applyFont="1" applyFill="1" applyBorder="1" applyAlignment="1">
      <alignment horizontal="left"/>
    </xf>
    <xf numFmtId="14" fontId="3" fillId="4" borderId="0" xfId="0" applyNumberFormat="1" applyFont="1" applyFill="1" applyAlignment="1">
      <alignment horizontal="center"/>
    </xf>
    <xf numFmtId="0" fontId="3" fillId="4" borderId="0" xfId="2" applyFont="1" applyFill="1" applyBorder="1" applyAlignment="1">
      <alignment horizontal="centerContinuous"/>
    </xf>
    <xf numFmtId="167" fontId="11" fillId="4" borderId="0" xfId="3" applyNumberFormat="1" applyFont="1" applyFill="1"/>
    <xf numFmtId="0" fontId="11" fillId="0" borderId="0" xfId="3" applyFont="1"/>
    <xf numFmtId="169" fontId="11" fillId="4" borderId="0" xfId="2" applyNumberFormat="1" applyFont="1" applyFill="1" applyBorder="1" applyAlignment="1">
      <alignment horizontal="center"/>
    </xf>
    <xf numFmtId="170" fontId="12" fillId="4" borderId="0" xfId="0" applyNumberFormat="1" applyFont="1" applyFill="1" applyAlignment="1">
      <alignment horizontal="center"/>
    </xf>
    <xf numFmtId="171" fontId="3" fillId="4" borderId="0" xfId="0" applyNumberFormat="1" applyFont="1" applyFill="1" applyAlignment="1">
      <alignment horizontal="center" vertical="center"/>
    </xf>
    <xf numFmtId="172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165" fontId="7" fillId="3" borderId="6" xfId="0" applyNumberFormat="1" applyFont="1" applyFill="1" applyBorder="1" applyAlignment="1">
      <alignment horizontal="center"/>
    </xf>
    <xf numFmtId="172" fontId="3" fillId="5" borderId="0" xfId="0" applyNumberFormat="1" applyFont="1" applyFill="1" applyAlignment="1">
      <alignment horizontal="center"/>
    </xf>
    <xf numFmtId="14" fontId="3" fillId="5" borderId="0" xfId="0" applyNumberFormat="1" applyFont="1" applyFill="1" applyAlignment="1">
      <alignment horizontal="center"/>
    </xf>
    <xf numFmtId="42" fontId="6" fillId="0" borderId="0" xfId="0" applyNumberFormat="1" applyFont="1"/>
    <xf numFmtId="0" fontId="4" fillId="4" borderId="0" xfId="0" applyFont="1" applyFill="1"/>
    <xf numFmtId="0" fontId="9" fillId="0" borderId="0" xfId="0" applyFont="1"/>
    <xf numFmtId="0" fontId="10" fillId="0" borderId="0" xfId="0" applyFont="1"/>
    <xf numFmtId="166" fontId="10" fillId="0" borderId="0" xfId="0" applyNumberFormat="1" applyFont="1"/>
    <xf numFmtId="168" fontId="3" fillId="4" borderId="0" xfId="0" applyNumberFormat="1" applyFont="1" applyFill="1"/>
    <xf numFmtId="0" fontId="7" fillId="5" borderId="0" xfId="0" applyFont="1" applyFill="1"/>
    <xf numFmtId="0" fontId="4" fillId="5" borderId="0" xfId="0" applyFont="1" applyFill="1"/>
    <xf numFmtId="0" fontId="9" fillId="5" borderId="0" xfId="0" applyFont="1" applyFill="1"/>
    <xf numFmtId="0" fontId="10" fillId="5" borderId="0" xfId="0" applyFont="1" applyFill="1"/>
    <xf numFmtId="42" fontId="5" fillId="0" borderId="0" xfId="0" applyNumberFormat="1" applyFont="1" applyAlignment="1">
      <alignment vertical="center"/>
    </xf>
    <xf numFmtId="41" fontId="5" fillId="0" borderId="0" xfId="0" applyNumberFormat="1" applyFont="1" applyAlignment="1">
      <alignment vertical="center"/>
    </xf>
    <xf numFmtId="0" fontId="7" fillId="0" borderId="0" xfId="0" applyFont="1"/>
    <xf numFmtId="0" fontId="0" fillId="5" borderId="0" xfId="0" applyFill="1"/>
    <xf numFmtId="41" fontId="4" fillId="5" borderId="0" xfId="0" applyNumberFormat="1" applyFont="1" applyFill="1"/>
    <xf numFmtId="41" fontId="3" fillId="0" borderId="7" xfId="0" applyNumberFormat="1" applyFont="1" applyBorder="1"/>
    <xf numFmtId="41" fontId="4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0" xfId="0" applyFont="1" applyAlignment="1">
      <alignment horizontal="left" vertical="center" indent="1"/>
    </xf>
    <xf numFmtId="0" fontId="4" fillId="0" borderId="7" xfId="0" applyFont="1" applyBorder="1" applyAlignment="1">
      <alignment horizontal="left" vertical="center" inden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3" fontId="4" fillId="0" borderId="0" xfId="0" applyNumberFormat="1" applyFont="1" applyAlignment="1">
      <alignment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 vertical="center" indent="1"/>
    </xf>
    <xf numFmtId="9" fontId="4" fillId="0" borderId="0" xfId="1" applyFont="1" applyAlignment="1">
      <alignment vertical="center"/>
    </xf>
    <xf numFmtId="166" fontId="4" fillId="0" borderId="0" xfId="0" applyNumberFormat="1" applyFont="1" applyAlignment="1">
      <alignment vertical="center"/>
    </xf>
    <xf numFmtId="9" fontId="0" fillId="4" borderId="0" xfId="0" applyNumberFormat="1" applyFill="1"/>
    <xf numFmtId="41" fontId="0" fillId="4" borderId="0" xfId="0" applyNumberFormat="1" applyFill="1"/>
    <xf numFmtId="41" fontId="4" fillId="4" borderId="0" xfId="0" applyNumberFormat="1" applyFont="1" applyFill="1" applyAlignment="1">
      <alignment vertical="center"/>
    </xf>
    <xf numFmtId="9" fontId="4" fillId="4" borderId="0" xfId="1" applyFont="1" applyFill="1" applyAlignment="1">
      <alignment vertical="center"/>
    </xf>
    <xf numFmtId="41" fontId="4" fillId="4" borderId="0" xfId="0" applyNumberFormat="1" applyFont="1" applyFill="1"/>
    <xf numFmtId="9" fontId="4" fillId="4" borderId="0" xfId="0" applyNumberFormat="1" applyFont="1" applyFill="1"/>
    <xf numFmtId="0" fontId="2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left" indent="1"/>
    </xf>
    <xf numFmtId="0" fontId="16" fillId="0" borderId="0" xfId="0" applyFont="1"/>
    <xf numFmtId="0" fontId="11" fillId="4" borderId="0" xfId="0" applyFont="1" applyFill="1"/>
    <xf numFmtId="0" fontId="3" fillId="4" borderId="0" xfId="2" applyFont="1" applyFill="1" applyBorder="1" applyAlignment="1">
      <alignment horizontal="center"/>
    </xf>
    <xf numFmtId="0" fontId="5" fillId="6" borderId="7" xfId="0" applyFont="1" applyFill="1" applyBorder="1"/>
    <xf numFmtId="167" fontId="11" fillId="0" borderId="0" xfId="3" applyNumberFormat="1" applyFont="1"/>
    <xf numFmtId="166" fontId="3" fillId="4" borderId="0" xfId="0" applyNumberFormat="1" applyFont="1" applyFill="1"/>
    <xf numFmtId="173" fontId="12" fillId="0" borderId="0" xfId="0" applyNumberFormat="1" applyFont="1" applyAlignment="1">
      <alignment horizontal="center"/>
    </xf>
    <xf numFmtId="169" fontId="3" fillId="4" borderId="0" xfId="2" applyNumberFormat="1" applyFont="1" applyFill="1" applyBorder="1" applyAlignment="1">
      <alignment horizontal="center"/>
    </xf>
    <xf numFmtId="9" fontId="0" fillId="0" borderId="0" xfId="1" applyFont="1"/>
    <xf numFmtId="173" fontId="11" fillId="0" borderId="0" xfId="3" applyNumberFormat="1" applyFont="1"/>
    <xf numFmtId="174" fontId="12" fillId="4" borderId="0" xfId="0" applyNumberFormat="1" applyFont="1" applyFill="1" applyAlignment="1">
      <alignment horizontal="center"/>
    </xf>
    <xf numFmtId="175" fontId="16" fillId="0" borderId="0" xfId="3" applyNumberFormat="1" applyFont="1"/>
    <xf numFmtId="176" fontId="11" fillId="4" borderId="0" xfId="3" applyNumberFormat="1" applyFont="1" applyFill="1" applyAlignment="1">
      <alignment horizontal="center"/>
    </xf>
    <xf numFmtId="174" fontId="12" fillId="0" borderId="0" xfId="0" applyNumberFormat="1" applyFont="1" applyAlignment="1">
      <alignment horizontal="center"/>
    </xf>
    <xf numFmtId="176" fontId="3" fillId="4" borderId="0" xfId="3" applyNumberFormat="1" applyFont="1" applyFill="1" applyAlignment="1">
      <alignment horizontal="center"/>
    </xf>
    <xf numFmtId="176" fontId="3" fillId="0" borderId="0" xfId="3" applyNumberFormat="1" applyFont="1" applyAlignment="1">
      <alignment horizontal="center"/>
    </xf>
    <xf numFmtId="169" fontId="3" fillId="0" borderId="0" xfId="2" applyNumberFormat="1" applyFont="1" applyFill="1" applyBorder="1" applyAlignment="1">
      <alignment horizontal="center"/>
    </xf>
    <xf numFmtId="170" fontId="12" fillId="0" borderId="0" xfId="0" applyNumberFormat="1" applyFont="1"/>
    <xf numFmtId="177" fontId="4" fillId="0" borderId="0" xfId="0" applyNumberFormat="1" applyFont="1"/>
    <xf numFmtId="177" fontId="9" fillId="0" borderId="0" xfId="0" applyNumberFormat="1" applyFont="1"/>
    <xf numFmtId="0" fontId="16" fillId="6" borderId="0" xfId="3" applyFont="1" applyFill="1"/>
    <xf numFmtId="0" fontId="4" fillId="6" borderId="0" xfId="0" applyFont="1" applyFill="1"/>
    <xf numFmtId="0" fontId="8" fillId="6" borderId="0" xfId="3" applyFont="1" applyFill="1"/>
    <xf numFmtId="42" fontId="16" fillId="6" borderId="0" xfId="0" applyNumberFormat="1" applyFont="1" applyFill="1"/>
    <xf numFmtId="178" fontId="9" fillId="0" borderId="0" xfId="4" applyNumberFormat="1" applyFont="1" applyAlignment="1">
      <alignment horizontal="center"/>
    </xf>
    <xf numFmtId="176" fontId="11" fillId="0" borderId="0" xfId="3" applyNumberFormat="1" applyFont="1"/>
    <xf numFmtId="0" fontId="11" fillId="0" borderId="0" xfId="3" applyFont="1" applyAlignment="1">
      <alignment horizontal="left" indent="1"/>
    </xf>
    <xf numFmtId="41" fontId="11" fillId="4" borderId="0" xfId="0" applyNumberFormat="1" applyFont="1" applyFill="1"/>
    <xf numFmtId="179" fontId="11" fillId="0" borderId="0" xfId="3" applyNumberFormat="1" applyFont="1"/>
    <xf numFmtId="6" fontId="11" fillId="0" borderId="0" xfId="3" applyNumberFormat="1" applyFont="1"/>
    <xf numFmtId="0" fontId="11" fillId="0" borderId="7" xfId="3" applyFont="1" applyBorder="1" applyAlignment="1">
      <alignment horizontal="left" indent="1"/>
    </xf>
    <xf numFmtId="0" fontId="11" fillId="0" borderId="7" xfId="3" applyFont="1" applyBorder="1"/>
    <xf numFmtId="179" fontId="11" fillId="0" borderId="7" xfId="3" applyNumberFormat="1" applyFont="1" applyBorder="1"/>
    <xf numFmtId="0" fontId="16" fillId="6" borderId="0" xfId="3" applyFont="1" applyFill="1" applyAlignment="1">
      <alignment horizontal="left"/>
    </xf>
    <xf numFmtId="0" fontId="11" fillId="6" borderId="0" xfId="3" applyFont="1" applyFill="1"/>
    <xf numFmtId="179" fontId="5" fillId="6" borderId="0" xfId="0" applyNumberFormat="1" applyFont="1" applyFill="1"/>
    <xf numFmtId="166" fontId="4" fillId="0" borderId="0" xfId="0" applyNumberFormat="1" applyFont="1"/>
    <xf numFmtId="0" fontId="8" fillId="0" borderId="0" xfId="3" applyFont="1" applyAlignment="1">
      <alignment horizontal="left" indent="1"/>
    </xf>
    <xf numFmtId="180" fontId="8" fillId="0" borderId="0" xfId="3" applyNumberFormat="1" applyFont="1"/>
    <xf numFmtId="0" fontId="16" fillId="6" borderId="8" xfId="3" applyFont="1" applyFill="1" applyBorder="1"/>
    <xf numFmtId="42" fontId="16" fillId="6" borderId="8" xfId="3" applyNumberFormat="1" applyFont="1" applyFill="1" applyBorder="1"/>
    <xf numFmtId="181" fontId="11" fillId="4" borderId="0" xfId="3" applyNumberFormat="1" applyFont="1" applyFill="1"/>
    <xf numFmtId="0" fontId="11" fillId="0" borderId="0" xfId="3" applyFont="1" applyAlignment="1">
      <alignment horizontal="left"/>
    </xf>
    <xf numFmtId="166" fontId="11" fillId="0" borderId="0" xfId="3" applyNumberFormat="1" applyFont="1"/>
    <xf numFmtId="0" fontId="16" fillId="6" borderId="7" xfId="3" applyFont="1" applyFill="1" applyBorder="1" applyAlignment="1">
      <alignment horizontal="left"/>
    </xf>
    <xf numFmtId="0" fontId="11" fillId="6" borderId="7" xfId="3" applyFont="1" applyFill="1" applyBorder="1"/>
    <xf numFmtId="179" fontId="5" fillId="6" borderId="7" xfId="0" applyNumberFormat="1" applyFont="1" applyFill="1" applyBorder="1"/>
    <xf numFmtId="0" fontId="16" fillId="0" borderId="0" xfId="3" applyFont="1" applyAlignment="1">
      <alignment horizontal="left"/>
    </xf>
    <xf numFmtId="167" fontId="5" fillId="0" borderId="0" xfId="0" applyNumberFormat="1" applyFont="1"/>
    <xf numFmtId="182" fontId="4" fillId="0" borderId="0" xfId="0" applyNumberFormat="1" applyFont="1"/>
    <xf numFmtId="0" fontId="16" fillId="7" borderId="9" xfId="3" applyFont="1" applyFill="1" applyBorder="1"/>
    <xf numFmtId="0" fontId="16" fillId="7" borderId="8" xfId="3" applyFont="1" applyFill="1" applyBorder="1"/>
    <xf numFmtId="183" fontId="5" fillId="7" borderId="10" xfId="0" applyNumberFormat="1" applyFont="1" applyFill="1" applyBorder="1"/>
    <xf numFmtId="0" fontId="16" fillId="7" borderId="11" xfId="3" applyFont="1" applyFill="1" applyBorder="1"/>
    <xf numFmtId="0" fontId="16" fillId="7" borderId="7" xfId="3" applyFont="1" applyFill="1" applyBorder="1"/>
    <xf numFmtId="174" fontId="5" fillId="7" borderId="12" xfId="0" applyNumberFormat="1" applyFont="1" applyFill="1" applyBorder="1"/>
    <xf numFmtId="0" fontId="5" fillId="0" borderId="0" xfId="0" applyFont="1"/>
    <xf numFmtId="42" fontId="5" fillId="0" borderId="0" xfId="0" applyNumberFormat="1" applyFont="1"/>
    <xf numFmtId="0" fontId="15" fillId="0" borderId="0" xfId="0" applyFont="1" applyAlignment="1">
      <alignment horizontal="left" indent="1"/>
    </xf>
    <xf numFmtId="9" fontId="4" fillId="0" borderId="0" xfId="1" applyFont="1"/>
    <xf numFmtId="9" fontId="4" fillId="0" borderId="0" xfId="1" applyFont="1" applyFill="1" applyBorder="1"/>
    <xf numFmtId="0" fontId="11" fillId="8" borderId="0" xfId="0" applyFont="1" applyFill="1" applyAlignment="1">
      <alignment horizontal="left" vertical="center" indent="1"/>
    </xf>
    <xf numFmtId="42" fontId="4" fillId="0" borderId="0" xfId="0" applyNumberFormat="1" applyFont="1"/>
    <xf numFmtId="0" fontId="16" fillId="0" borderId="0" xfId="3" applyFont="1"/>
    <xf numFmtId="44" fontId="11" fillId="8" borderId="0" xfId="0" applyNumberFormat="1" applyFont="1" applyFill="1" applyAlignment="1">
      <alignment horizontal="left" vertical="center" indent="1"/>
    </xf>
    <xf numFmtId="0" fontId="4" fillId="0" borderId="0" xfId="0" applyFont="1" applyAlignment="1">
      <alignment horizontal="left" indent="2"/>
    </xf>
    <xf numFmtId="0" fontId="4" fillId="0" borderId="0" xfId="0" applyFont="1" applyAlignment="1">
      <alignment horizontal="left" indent="1"/>
    </xf>
    <xf numFmtId="9" fontId="15" fillId="0" borderId="0" xfId="1" applyFont="1"/>
    <xf numFmtId="9" fontId="15" fillId="0" borderId="0" xfId="1" applyFont="1" applyFill="1" applyBorder="1"/>
    <xf numFmtId="0" fontId="4" fillId="9" borderId="9" xfId="0" applyFont="1" applyFill="1" applyBorder="1"/>
    <xf numFmtId="0" fontId="4" fillId="9" borderId="8" xfId="0" applyFont="1" applyFill="1" applyBorder="1"/>
    <xf numFmtId="0" fontId="18" fillId="9" borderId="8" xfId="3" applyFont="1" applyFill="1" applyBorder="1" applyAlignment="1">
      <alignment horizontal="center"/>
    </xf>
    <xf numFmtId="0" fontId="7" fillId="9" borderId="8" xfId="0" applyFont="1" applyFill="1" applyBorder="1"/>
    <xf numFmtId="0" fontId="4" fillId="9" borderId="10" xfId="0" applyFont="1" applyFill="1" applyBorder="1"/>
    <xf numFmtId="183" fontId="7" fillId="9" borderId="13" xfId="0" applyNumberFormat="1" applyFont="1" applyFill="1" applyBorder="1" applyAlignment="1">
      <alignment horizontal="center"/>
    </xf>
    <xf numFmtId="184" fontId="19" fillId="9" borderId="0" xfId="0" applyNumberFormat="1" applyFont="1" applyFill="1"/>
    <xf numFmtId="184" fontId="20" fillId="9" borderId="0" xfId="0" applyNumberFormat="1" applyFont="1" applyFill="1"/>
    <xf numFmtId="185" fontId="19" fillId="9" borderId="13" xfId="3" applyNumberFormat="1" applyFont="1" applyFill="1" applyBorder="1" applyAlignment="1">
      <alignment horizontal="center"/>
    </xf>
    <xf numFmtId="43" fontId="4" fillId="0" borderId="0" xfId="0" applyNumberFormat="1" applyFont="1"/>
    <xf numFmtId="43" fontId="5" fillId="6" borderId="0" xfId="0" applyNumberFormat="1" applyFont="1" applyFill="1"/>
    <xf numFmtId="43" fontId="4" fillId="0" borderId="14" xfId="0" applyNumberFormat="1" applyFont="1" applyBorder="1"/>
    <xf numFmtId="185" fontId="20" fillId="9" borderId="13" xfId="3" applyNumberFormat="1" applyFont="1" applyFill="1" applyBorder="1" applyAlignment="1">
      <alignment horizontal="center"/>
    </xf>
    <xf numFmtId="0" fontId="21" fillId="0" borderId="0" xfId="0" applyFont="1"/>
    <xf numFmtId="43" fontId="5" fillId="6" borderId="14" xfId="0" applyNumberFormat="1" applyFont="1" applyFill="1" applyBorder="1"/>
    <xf numFmtId="43" fontId="4" fillId="0" borderId="7" xfId="0" applyNumberFormat="1" applyFont="1" applyBorder="1"/>
    <xf numFmtId="43" fontId="5" fillId="6" borderId="7" xfId="0" applyNumberFormat="1" applyFont="1" applyFill="1" applyBorder="1"/>
    <xf numFmtId="43" fontId="4" fillId="0" borderId="12" xfId="0" applyNumberFormat="1" applyFont="1" applyBorder="1"/>
    <xf numFmtId="174" fontId="19" fillId="9" borderId="13" xfId="0" applyNumberFormat="1" applyFont="1" applyFill="1" applyBorder="1" applyAlignment="1">
      <alignment horizontal="center"/>
    </xf>
    <xf numFmtId="174" fontId="20" fillId="9" borderId="13" xfId="0" applyNumberFormat="1" applyFont="1" applyFill="1" applyBorder="1" applyAlignment="1">
      <alignment horizontal="center"/>
    </xf>
    <xf numFmtId="41" fontId="5" fillId="4" borderId="0" xfId="0" applyNumberFormat="1" applyFont="1" applyFill="1"/>
    <xf numFmtId="9" fontId="15" fillId="0" borderId="0" xfId="1" applyFont="1" applyFill="1" applyAlignment="1"/>
    <xf numFmtId="9" fontId="8" fillId="4" borderId="0" xfId="0" applyNumberFormat="1" applyFont="1" applyFill="1"/>
    <xf numFmtId="0" fontId="4" fillId="0" borderId="7" xfId="0" applyFont="1" applyBorder="1" applyAlignment="1">
      <alignment horizontal="left" vertical="center" wrapText="1" indent="1"/>
    </xf>
    <xf numFmtId="9" fontId="4" fillId="0" borderId="0" xfId="1" applyFont="1" applyAlignment="1">
      <alignment vertical="center" wrapText="1"/>
    </xf>
    <xf numFmtId="41" fontId="4" fillId="4" borderId="7" xfId="0" applyNumberFormat="1" applyFont="1" applyFill="1" applyBorder="1"/>
    <xf numFmtId="0" fontId="15" fillId="0" borderId="0" xfId="0" applyFont="1" applyAlignment="1">
      <alignment horizontal="left" vertical="center" wrapText="1" indent="1"/>
    </xf>
    <xf numFmtId="169" fontId="11" fillId="0" borderId="0" xfId="2" applyNumberFormat="1" applyFont="1" applyFill="1" applyBorder="1" applyAlignment="1">
      <alignment horizontal="right"/>
    </xf>
    <xf numFmtId="169" fontId="11" fillId="4" borderId="0" xfId="2" applyNumberFormat="1" applyFont="1" applyFill="1" applyBorder="1" applyAlignment="1">
      <alignment horizontal="right"/>
    </xf>
    <xf numFmtId="169" fontId="11" fillId="0" borderId="0" xfId="2" applyNumberFormat="1" applyFont="1" applyFill="1" applyBorder="1" applyAlignment="1">
      <alignment horizontal="center"/>
    </xf>
    <xf numFmtId="41" fontId="11" fillId="0" borderId="0" xfId="0" applyNumberFormat="1" applyFont="1" applyAlignment="1">
      <alignment vertical="center" wrapText="1"/>
    </xf>
    <xf numFmtId="0" fontId="15" fillId="0" borderId="0" xfId="0" applyFont="1" applyAlignment="1">
      <alignment horizontal="left" vertical="center" indent="2"/>
    </xf>
    <xf numFmtId="0" fontId="4" fillId="0" borderId="7" xfId="0" applyFont="1" applyBorder="1" applyAlignment="1">
      <alignment horizontal="left" indent="2"/>
    </xf>
    <xf numFmtId="0" fontId="4" fillId="0" borderId="7" xfId="0" applyFont="1" applyBorder="1"/>
    <xf numFmtId="41" fontId="4" fillId="0" borderId="7" xfId="0" applyNumberFormat="1" applyFont="1" applyBorder="1"/>
    <xf numFmtId="41" fontId="3" fillId="0" borderId="7" xfId="0" applyNumberFormat="1" applyFont="1" applyBorder="1" applyAlignment="1">
      <alignment vertical="center" wrapText="1"/>
    </xf>
    <xf numFmtId="41" fontId="3" fillId="0" borderId="0" xfId="0" applyNumberFormat="1" applyFont="1" applyAlignment="1">
      <alignment vertical="center" wrapText="1"/>
    </xf>
    <xf numFmtId="0" fontId="15" fillId="0" borderId="0" xfId="0" applyFont="1"/>
    <xf numFmtId="41" fontId="4" fillId="0" borderId="0" xfId="1" applyNumberFormat="1" applyFont="1" applyAlignment="1">
      <alignment vertical="center" wrapText="1"/>
    </xf>
    <xf numFmtId="9" fontId="4" fillId="4" borderId="0" xfId="1" applyFont="1" applyFill="1"/>
    <xf numFmtId="41" fontId="4" fillId="4" borderId="7" xfId="0" applyNumberFormat="1" applyFont="1" applyFill="1" applyBorder="1" applyAlignment="1">
      <alignment vertical="center"/>
    </xf>
    <xf numFmtId="9" fontId="8" fillId="0" borderId="0" xfId="0" applyNumberFormat="1" applyFont="1"/>
    <xf numFmtId="9" fontId="15" fillId="0" borderId="0" xfId="1" applyFont="1" applyFill="1"/>
    <xf numFmtId="9" fontId="4" fillId="0" borderId="0" xfId="1" applyFont="1" applyAlignment="1">
      <alignment horizontal="left" vertical="center" indent="2"/>
    </xf>
    <xf numFmtId="9" fontId="0" fillId="4" borderId="0" xfId="1" applyFont="1" applyFill="1"/>
    <xf numFmtId="0" fontId="27" fillId="0" borderId="0" xfId="6" applyFont="1" applyAlignment="1">
      <alignment horizontal="center"/>
    </xf>
    <xf numFmtId="0" fontId="9" fillId="0" borderId="0" xfId="6" applyFont="1"/>
    <xf numFmtId="0" fontId="27" fillId="0" borderId="0" xfId="6" applyFont="1"/>
    <xf numFmtId="0" fontId="28" fillId="3" borderId="0" xfId="6" applyFont="1" applyFill="1" applyAlignment="1">
      <alignment horizontal="left"/>
    </xf>
    <xf numFmtId="0" fontId="29" fillId="3" borderId="0" xfId="6" applyFont="1" applyFill="1" applyAlignment="1">
      <alignment horizontal="left"/>
    </xf>
    <xf numFmtId="0" fontId="30" fillId="3" borderId="0" xfId="6" applyFont="1" applyFill="1" applyAlignment="1">
      <alignment horizontal="right"/>
    </xf>
    <xf numFmtId="0" fontId="4" fillId="0" borderId="0" xfId="6" applyFont="1"/>
    <xf numFmtId="0" fontId="30" fillId="0" borderId="0" xfId="6" applyFont="1" applyAlignment="1">
      <alignment horizontal="right"/>
    </xf>
    <xf numFmtId="0" fontId="31" fillId="3" borderId="0" xfId="3" applyFont="1" applyFill="1" applyAlignment="1">
      <alignment horizontal="right"/>
    </xf>
    <xf numFmtId="0" fontId="31" fillId="0" borderId="0" xfId="3" applyFont="1" applyAlignment="1">
      <alignment horizontal="right"/>
    </xf>
    <xf numFmtId="0" fontId="16" fillId="5" borderId="0" xfId="6" applyFont="1" applyFill="1" applyAlignment="1">
      <alignment horizontal="centerContinuous"/>
    </xf>
    <xf numFmtId="0" fontId="4" fillId="5" borderId="0" xfId="6" applyFont="1" applyFill="1" applyAlignment="1">
      <alignment horizontal="centerContinuous"/>
    </xf>
    <xf numFmtId="0" fontId="4" fillId="0" borderId="0" xfId="6" applyFont="1" applyAlignment="1">
      <alignment horizontal="centerContinuous"/>
    </xf>
    <xf numFmtId="14" fontId="11" fillId="5" borderId="0" xfId="0" applyNumberFormat="1" applyFont="1" applyFill="1" applyAlignment="1">
      <alignment horizontal="center"/>
    </xf>
    <xf numFmtId="14" fontId="11" fillId="0" borderId="0" xfId="0" applyNumberFormat="1" applyFont="1" applyAlignment="1">
      <alignment horizontal="center"/>
    </xf>
    <xf numFmtId="172" fontId="9" fillId="0" borderId="0" xfId="0" applyNumberFormat="1" applyFont="1" applyAlignment="1">
      <alignment horizontal="center" vertical="center"/>
    </xf>
    <xf numFmtId="172" fontId="9" fillId="0" borderId="0" xfId="0" applyNumberFormat="1" applyFont="1" applyAlignment="1">
      <alignment horizontal="center"/>
    </xf>
    <xf numFmtId="181" fontId="3" fillId="0" borderId="0" xfId="6" applyNumberFormat="1" applyFont="1"/>
    <xf numFmtId="41" fontId="3" fillId="0" borderId="0" xfId="6" applyNumberFormat="1" applyFont="1"/>
    <xf numFmtId="42" fontId="9" fillId="0" borderId="0" xfId="6" applyNumberFormat="1" applyFont="1"/>
    <xf numFmtId="177" fontId="9" fillId="0" borderId="0" xfId="6" applyNumberFormat="1" applyFont="1"/>
    <xf numFmtId="0" fontId="9" fillId="0" borderId="0" xfId="6" applyFont="1" applyAlignment="1">
      <alignment horizontal="left"/>
    </xf>
    <xf numFmtId="0" fontId="27" fillId="0" borderId="0" xfId="6" applyFont="1" applyAlignment="1">
      <alignment horizontal="left" indent="1"/>
    </xf>
    <xf numFmtId="181" fontId="9" fillId="0" borderId="0" xfId="6" applyNumberFormat="1" applyFont="1"/>
    <xf numFmtId="9" fontId="27" fillId="0" borderId="0" xfId="1" applyFont="1" applyBorder="1"/>
    <xf numFmtId="41" fontId="27" fillId="0" borderId="0" xfId="1" applyNumberFormat="1" applyFont="1" applyBorder="1"/>
    <xf numFmtId="177" fontId="27" fillId="0" borderId="0" xfId="1" applyNumberFormat="1" applyFont="1" applyBorder="1"/>
    <xf numFmtId="181" fontId="27" fillId="0" borderId="0" xfId="6" applyNumberFormat="1" applyFont="1"/>
    <xf numFmtId="0" fontId="9" fillId="0" borderId="0" xfId="6" applyFont="1" applyAlignment="1">
      <alignment horizontal="left" indent="1"/>
    </xf>
    <xf numFmtId="177" fontId="9" fillId="0" borderId="7" xfId="6" applyNumberFormat="1" applyFont="1" applyBorder="1"/>
    <xf numFmtId="181" fontId="9" fillId="0" borderId="7" xfId="6" applyNumberFormat="1" applyFont="1" applyBorder="1"/>
    <xf numFmtId="0" fontId="32" fillId="0" borderId="8" xfId="6" applyFont="1" applyBorder="1" applyAlignment="1">
      <alignment horizontal="left"/>
    </xf>
    <xf numFmtId="0" fontId="27" fillId="0" borderId="8" xfId="6" applyFont="1" applyBorder="1" applyAlignment="1">
      <alignment horizontal="left" indent="1"/>
    </xf>
    <xf numFmtId="177" fontId="33" fillId="0" borderId="0" xfId="6" applyNumberFormat="1" applyFont="1"/>
    <xf numFmtId="177" fontId="32" fillId="0" borderId="0" xfId="6" applyNumberFormat="1" applyFont="1"/>
    <xf numFmtId="0" fontId="27" fillId="0" borderId="0" xfId="6" applyFont="1" applyAlignment="1">
      <alignment horizontal="left"/>
    </xf>
    <xf numFmtId="166" fontId="27" fillId="0" borderId="0" xfId="6" applyNumberFormat="1" applyFont="1"/>
    <xf numFmtId="9" fontId="27" fillId="0" borderId="0" xfId="6" applyNumberFormat="1" applyFont="1"/>
    <xf numFmtId="186" fontId="9" fillId="0" borderId="0" xfId="6" applyNumberFormat="1" applyFont="1"/>
    <xf numFmtId="174" fontId="4" fillId="0" borderId="0" xfId="6" applyNumberFormat="1" applyFont="1"/>
    <xf numFmtId="6" fontId="27" fillId="0" borderId="0" xfId="6" applyNumberFormat="1" applyFont="1"/>
    <xf numFmtId="0" fontId="7" fillId="3" borderId="0" xfId="6" applyFont="1" applyFill="1" applyAlignment="1">
      <alignment horizontal="centerContinuous"/>
    </xf>
    <xf numFmtId="0" fontId="24" fillId="3" borderId="0" xfId="6" applyFont="1" applyFill="1" applyAlignment="1">
      <alignment horizontal="centerContinuous"/>
    </xf>
    <xf numFmtId="0" fontId="24" fillId="0" borderId="0" xfId="6" applyFont="1" applyAlignment="1">
      <alignment horizontal="centerContinuous"/>
    </xf>
    <xf numFmtId="0" fontId="33" fillId="0" borderId="0" xfId="6" applyFont="1" applyAlignment="1">
      <alignment horizontal="centerContinuous"/>
    </xf>
    <xf numFmtId="0" fontId="27" fillId="0" borderId="0" xfId="6" applyFont="1" applyAlignment="1">
      <alignment horizontal="centerContinuous"/>
    </xf>
    <xf numFmtId="177" fontId="3" fillId="0" borderId="0" xfId="6" applyNumberFormat="1" applyFont="1"/>
    <xf numFmtId="166" fontId="4" fillId="0" borderId="0" xfId="6" applyNumberFormat="1" applyFont="1"/>
    <xf numFmtId="0" fontId="34" fillId="3" borderId="0" xfId="6" applyFont="1" applyFill="1" applyAlignment="1">
      <alignment horizontal="centerContinuous"/>
    </xf>
    <xf numFmtId="0" fontId="27" fillId="3" borderId="0" xfId="6" applyFont="1" applyFill="1" applyAlignment="1">
      <alignment horizontal="centerContinuous"/>
    </xf>
    <xf numFmtId="0" fontId="27" fillId="10" borderId="0" xfId="6" applyFont="1" applyFill="1" applyAlignment="1">
      <alignment horizontal="centerContinuous"/>
    </xf>
    <xf numFmtId="41" fontId="9" fillId="0" borderId="0" xfId="6" applyNumberFormat="1" applyFont="1"/>
    <xf numFmtId="0" fontId="4" fillId="0" borderId="0" xfId="6" applyFont="1" applyAlignment="1">
      <alignment horizontal="center"/>
    </xf>
    <xf numFmtId="9" fontId="4" fillId="0" borderId="0" xfId="1" applyFont="1" applyBorder="1"/>
    <xf numFmtId="0" fontId="34" fillId="0" borderId="0" xfId="6" applyFont="1" applyAlignment="1">
      <alignment horizontal="centerContinuous"/>
    </xf>
    <xf numFmtId="0" fontId="4" fillId="0" borderId="0" xfId="6" applyFont="1" applyAlignment="1">
      <alignment horizontal="left" indent="1"/>
    </xf>
    <xf numFmtId="0" fontId="5" fillId="0" borderId="0" xfId="6" applyFont="1" applyAlignment="1">
      <alignment horizontal="centerContinuous"/>
    </xf>
    <xf numFmtId="44" fontId="3" fillId="0" borderId="0" xfId="6" applyNumberFormat="1" applyFont="1"/>
    <xf numFmtId="3" fontId="3" fillId="0" borderId="0" xfId="6" applyNumberFormat="1" applyFont="1" applyAlignment="1">
      <alignment horizontal="right"/>
    </xf>
    <xf numFmtId="4" fontId="3" fillId="0" borderId="0" xfId="6" applyNumberFormat="1" applyFont="1" applyAlignment="1">
      <alignment horizontal="right"/>
    </xf>
    <xf numFmtId="0" fontId="5" fillId="5" borderId="0" xfId="6" applyFont="1" applyFill="1" applyAlignment="1">
      <alignment horizontal="center"/>
    </xf>
    <xf numFmtId="0" fontId="5" fillId="0" borderId="0" xfId="6" applyFont="1" applyAlignment="1">
      <alignment horizontal="center"/>
    </xf>
    <xf numFmtId="187" fontId="3" fillId="0" borderId="0" xfId="6" applyNumberFormat="1" applyFont="1"/>
    <xf numFmtId="44" fontId="3" fillId="0" borderId="0" xfId="6" applyNumberFormat="1" applyFont="1" applyAlignment="1">
      <alignment horizontal="right"/>
    </xf>
    <xf numFmtId="187" fontId="4" fillId="0" borderId="0" xfId="6" applyNumberFormat="1" applyFont="1"/>
    <xf numFmtId="4" fontId="4" fillId="0" borderId="0" xfId="6" applyNumberFormat="1" applyFont="1"/>
    <xf numFmtId="0" fontId="7" fillId="3" borderId="0" xfId="6" applyFont="1" applyFill="1" applyAlignment="1">
      <alignment horizontal="center"/>
    </xf>
    <xf numFmtId="0" fontId="7" fillId="0" borderId="0" xfId="6" applyFont="1" applyAlignment="1">
      <alignment horizontal="center"/>
    </xf>
    <xf numFmtId="175" fontId="3" fillId="0" borderId="0" xfId="6" applyNumberFormat="1" applyFont="1"/>
    <xf numFmtId="42" fontId="3" fillId="0" borderId="0" xfId="6" applyNumberFormat="1" applyFont="1"/>
    <xf numFmtId="44" fontId="4" fillId="0" borderId="0" xfId="6" applyNumberFormat="1" applyFont="1"/>
    <xf numFmtId="4" fontId="5" fillId="0" borderId="0" xfId="6" applyNumberFormat="1" applyFont="1"/>
    <xf numFmtId="44" fontId="4" fillId="0" borderId="0" xfId="6" applyNumberFormat="1" applyFont="1" applyAlignment="1">
      <alignment horizontal="centerContinuous"/>
    </xf>
    <xf numFmtId="42" fontId="4" fillId="0" borderId="0" xfId="6" applyNumberFormat="1" applyFont="1"/>
    <xf numFmtId="41" fontId="4" fillId="0" borderId="0" xfId="6" applyNumberFormat="1" applyFont="1"/>
    <xf numFmtId="4" fontId="3" fillId="0" borderId="0" xfId="6" applyNumberFormat="1" applyFont="1"/>
    <xf numFmtId="172" fontId="11" fillId="5" borderId="0" xfId="0" applyNumberFormat="1" applyFont="1" applyFill="1" applyAlignment="1">
      <alignment horizontal="center"/>
    </xf>
    <xf numFmtId="172" fontId="11" fillId="0" borderId="0" xfId="0" applyNumberFormat="1" applyFont="1" applyAlignment="1">
      <alignment horizontal="center"/>
    </xf>
    <xf numFmtId="188" fontId="11" fillId="0" borderId="0" xfId="6" applyNumberFormat="1" applyFont="1"/>
    <xf numFmtId="0" fontId="4" fillId="10" borderId="0" xfId="6" applyFont="1" applyFill="1"/>
    <xf numFmtId="177" fontId="11" fillId="0" borderId="0" xfId="6" applyNumberFormat="1" applyFont="1"/>
    <xf numFmtId="181" fontId="11" fillId="0" borderId="0" xfId="6" applyNumberFormat="1" applyFont="1"/>
    <xf numFmtId="41" fontId="11" fillId="0" borderId="0" xfId="6" applyNumberFormat="1" applyFont="1"/>
    <xf numFmtId="186" fontId="11" fillId="0" borderId="0" xfId="6" applyNumberFormat="1" applyFont="1"/>
    <xf numFmtId="0" fontId="35" fillId="0" borderId="0" xfId="0" applyFont="1"/>
    <xf numFmtId="0" fontId="25" fillId="0" borderId="0" xfId="5"/>
    <xf numFmtId="0" fontId="36" fillId="0" borderId="0" xfId="5" applyFont="1" applyAlignment="1">
      <alignment horizontal="right"/>
    </xf>
    <xf numFmtId="0" fontId="36" fillId="0" borderId="0" xfId="5" applyFont="1" applyFill="1" applyBorder="1" applyAlignment="1">
      <alignment horizontal="right"/>
    </xf>
    <xf numFmtId="42" fontId="4" fillId="4" borderId="0" xfId="0" applyNumberFormat="1" applyFont="1" applyFill="1" applyAlignment="1">
      <alignment vertical="center"/>
    </xf>
    <xf numFmtId="0" fontId="5" fillId="0" borderId="0" xfId="3" applyFont="1"/>
    <xf numFmtId="0" fontId="9" fillId="0" borderId="0" xfId="4" applyFont="1"/>
    <xf numFmtId="0" fontId="37" fillId="0" borderId="0" xfId="0" applyFont="1"/>
    <xf numFmtId="1" fontId="9" fillId="0" borderId="0" xfId="4" applyNumberFormat="1" applyFont="1"/>
    <xf numFmtId="0" fontId="32" fillId="0" borderId="0" xfId="6" applyFont="1" applyAlignment="1">
      <alignment horizontal="left"/>
    </xf>
    <xf numFmtId="0" fontId="30" fillId="3" borderId="0" xfId="6" applyFont="1" applyFill="1" applyAlignment="1">
      <alignment horizontal="left"/>
    </xf>
    <xf numFmtId="0" fontId="30" fillId="3" borderId="0" xfId="3" applyFont="1" applyFill="1"/>
    <xf numFmtId="0" fontId="28" fillId="3" borderId="0" xfId="3" applyFont="1" applyFill="1" applyAlignment="1">
      <alignment horizontal="centerContinuous"/>
    </xf>
    <xf numFmtId="0" fontId="29" fillId="3" borderId="0" xfId="3" applyFont="1" applyFill="1" applyAlignment="1">
      <alignment horizontal="centerContinuous"/>
    </xf>
    <xf numFmtId="0" fontId="38" fillId="3" borderId="0" xfId="3" applyFont="1" applyFill="1"/>
    <xf numFmtId="0" fontId="30" fillId="3" borderId="0" xfId="3" applyFont="1" applyFill="1" applyAlignment="1">
      <alignment horizontal="center"/>
    </xf>
    <xf numFmtId="0" fontId="38" fillId="3" borderId="0" xfId="3" applyFont="1" applyFill="1" applyAlignment="1">
      <alignment horizontal="centerContinuous"/>
    </xf>
    <xf numFmtId="0" fontId="30" fillId="3" borderId="7" xfId="3" applyFont="1" applyFill="1" applyBorder="1"/>
    <xf numFmtId="0" fontId="30" fillId="3" borderId="7" xfId="3" applyFont="1" applyFill="1" applyBorder="1" applyAlignment="1">
      <alignment horizontal="center"/>
    </xf>
    <xf numFmtId="14" fontId="30" fillId="3" borderId="7" xfId="3" applyNumberFormat="1" applyFont="1" applyFill="1" applyBorder="1" applyAlignment="1">
      <alignment horizontal="center"/>
    </xf>
    <xf numFmtId="189" fontId="7" fillId="3" borderId="7" xfId="0" applyNumberFormat="1" applyFont="1" applyFill="1" applyBorder="1" applyAlignment="1">
      <alignment horizontal="center"/>
    </xf>
    <xf numFmtId="0" fontId="11" fillId="0" borderId="0" xfId="3" applyFont="1" applyAlignment="1">
      <alignment horizontal="center"/>
    </xf>
    <xf numFmtId="44" fontId="11" fillId="0" borderId="8" xfId="3" applyNumberFormat="1" applyFont="1" applyBorder="1"/>
    <xf numFmtId="42" fontId="9" fillId="0" borderId="0" xfId="4" applyNumberFormat="1" applyFont="1"/>
    <xf numFmtId="0" fontId="11" fillId="0" borderId="9" xfId="3" applyFont="1" applyBorder="1"/>
    <xf numFmtId="0" fontId="11" fillId="0" borderId="8" xfId="3" applyFont="1" applyBorder="1"/>
    <xf numFmtId="191" fontId="11" fillId="0" borderId="8" xfId="3" applyNumberFormat="1" applyFont="1" applyBorder="1"/>
    <xf numFmtId="192" fontId="11" fillId="0" borderId="8" xfId="3" applyNumberFormat="1" applyFont="1" applyBorder="1"/>
    <xf numFmtId="192" fontId="11" fillId="0" borderId="10" xfId="3" applyNumberFormat="1" applyFont="1" applyBorder="1"/>
    <xf numFmtId="0" fontId="11" fillId="0" borderId="13" xfId="3" applyFont="1" applyBorder="1"/>
    <xf numFmtId="43" fontId="11" fillId="0" borderId="0" xfId="3" applyNumberFormat="1" applyFont="1"/>
    <xf numFmtId="193" fontId="11" fillId="0" borderId="0" xfId="3" applyNumberFormat="1" applyFont="1"/>
    <xf numFmtId="192" fontId="11" fillId="0" borderId="0" xfId="3" applyNumberFormat="1" applyFont="1"/>
    <xf numFmtId="192" fontId="11" fillId="0" borderId="14" xfId="3" applyNumberFormat="1" applyFont="1" applyBorder="1"/>
    <xf numFmtId="0" fontId="16" fillId="9" borderId="15" xfId="3" applyFont="1" applyFill="1" applyBorder="1"/>
    <xf numFmtId="0" fontId="16" fillId="9" borderId="16" xfId="3" applyFont="1" applyFill="1" applyBorder="1"/>
    <xf numFmtId="44" fontId="16" fillId="9" borderId="16" xfId="3" applyNumberFormat="1" applyFont="1" applyFill="1" applyBorder="1"/>
    <xf numFmtId="166" fontId="16" fillId="9" borderId="16" xfId="3" applyNumberFormat="1" applyFont="1" applyFill="1" applyBorder="1"/>
    <xf numFmtId="191" fontId="16" fillId="9" borderId="16" xfId="3" applyNumberFormat="1" applyFont="1" applyFill="1" applyBorder="1"/>
    <xf numFmtId="192" fontId="16" fillId="9" borderId="16" xfId="3" applyNumberFormat="1" applyFont="1" applyFill="1" applyBorder="1"/>
    <xf numFmtId="192" fontId="16" fillId="9" borderId="17" xfId="3" applyNumberFormat="1" applyFont="1" applyFill="1" applyBorder="1"/>
    <xf numFmtId="0" fontId="11" fillId="0" borderId="11" xfId="3" applyFont="1" applyBorder="1"/>
    <xf numFmtId="0" fontId="16" fillId="0" borderId="7" xfId="3" applyFont="1" applyBorder="1"/>
    <xf numFmtId="43" fontId="11" fillId="0" borderId="7" xfId="3" applyNumberFormat="1" applyFont="1" applyBorder="1"/>
    <xf numFmtId="193" fontId="11" fillId="0" borderId="7" xfId="3" applyNumberFormat="1" applyFont="1" applyBorder="1"/>
    <xf numFmtId="192" fontId="11" fillId="0" borderId="7" xfId="3" applyNumberFormat="1" applyFont="1" applyBorder="1"/>
    <xf numFmtId="192" fontId="11" fillId="0" borderId="12" xfId="3" applyNumberFormat="1" applyFont="1" applyBorder="1"/>
    <xf numFmtId="0" fontId="26" fillId="0" borderId="0" xfId="0" applyFont="1"/>
    <xf numFmtId="42" fontId="7" fillId="5" borderId="15" xfId="4" applyNumberFormat="1" applyFont="1" applyFill="1" applyBorder="1"/>
    <xf numFmtId="0" fontId="7" fillId="5" borderId="16" xfId="3" applyFont="1" applyFill="1" applyBorder="1"/>
    <xf numFmtId="194" fontId="7" fillId="5" borderId="16" xfId="4" applyNumberFormat="1" applyFont="1" applyFill="1" applyBorder="1"/>
    <xf numFmtId="0" fontId="7" fillId="5" borderId="16" xfId="4" applyFont="1" applyFill="1" applyBorder="1"/>
    <xf numFmtId="42" fontId="7" fillId="5" borderId="16" xfId="4" applyNumberFormat="1" applyFont="1" applyFill="1" applyBorder="1"/>
    <xf numFmtId="190" fontId="7" fillId="5" borderId="16" xfId="4" applyNumberFormat="1" applyFont="1" applyFill="1" applyBorder="1"/>
    <xf numFmtId="9" fontId="7" fillId="5" borderId="16" xfId="1" applyFont="1" applyFill="1" applyBorder="1"/>
    <xf numFmtId="192" fontId="7" fillId="5" borderId="16" xfId="3" applyNumberFormat="1" applyFont="1" applyFill="1" applyBorder="1"/>
    <xf numFmtId="192" fontId="7" fillId="5" borderId="17" xfId="3" applyNumberFormat="1" applyFont="1" applyFill="1" applyBorder="1"/>
    <xf numFmtId="0" fontId="7" fillId="0" borderId="0" xfId="3" applyFont="1"/>
    <xf numFmtId="44" fontId="7" fillId="0" borderId="0" xfId="3" applyNumberFormat="1" applyFont="1"/>
    <xf numFmtId="193" fontId="7" fillId="0" borderId="0" xfId="3" applyNumberFormat="1" applyFont="1"/>
    <xf numFmtId="175" fontId="7" fillId="0" borderId="0" xfId="3" applyNumberFormat="1" applyFont="1"/>
    <xf numFmtId="43" fontId="7" fillId="0" borderId="0" xfId="3" applyNumberFormat="1" applyFont="1" applyAlignment="1">
      <alignment horizontal="center"/>
    </xf>
    <xf numFmtId="192" fontId="7" fillId="0" borderId="0" xfId="3" applyNumberFormat="1" applyFont="1" applyAlignment="1">
      <alignment horizontal="center"/>
    </xf>
    <xf numFmtId="174" fontId="7" fillId="0" borderId="0" xfId="3" applyNumberFormat="1" applyFont="1"/>
    <xf numFmtId="43" fontId="11" fillId="0" borderId="0" xfId="3" applyNumberFormat="1" applyFont="1" applyAlignment="1">
      <alignment horizontal="center"/>
    </xf>
    <xf numFmtId="14" fontId="30" fillId="3" borderId="0" xfId="3" applyNumberFormat="1" applyFont="1" applyFill="1" applyAlignment="1">
      <alignment horizontal="center"/>
    </xf>
    <xf numFmtId="189" fontId="7" fillId="3" borderId="0" xfId="0" applyNumberFormat="1" applyFont="1" applyFill="1" applyAlignment="1">
      <alignment horizontal="center"/>
    </xf>
    <xf numFmtId="0" fontId="16" fillId="0" borderId="0" xfId="3" applyFont="1" applyAlignment="1">
      <alignment horizontal="center"/>
    </xf>
    <xf numFmtId="176" fontId="11" fillId="0" borderId="0" xfId="3" applyNumberFormat="1" applyFont="1" applyAlignment="1">
      <alignment horizontal="center"/>
    </xf>
    <xf numFmtId="3" fontId="39" fillId="0" borderId="0" xfId="0" applyNumberFormat="1" applyFont="1" applyAlignment="1">
      <alignment vertical="center"/>
    </xf>
    <xf numFmtId="176" fontId="11" fillId="0" borderId="8" xfId="3" applyNumberFormat="1" applyFont="1" applyBorder="1"/>
    <xf numFmtId="176" fontId="11" fillId="0" borderId="10" xfId="3" applyNumberFormat="1" applyFont="1" applyBorder="1"/>
    <xf numFmtId="176" fontId="11" fillId="0" borderId="14" xfId="3" applyNumberFormat="1" applyFont="1" applyBorder="1"/>
    <xf numFmtId="0" fontId="16" fillId="5" borderId="15" xfId="3" applyFont="1" applyFill="1" applyBorder="1"/>
    <xf numFmtId="0" fontId="16" fillId="5" borderId="16" xfId="3" applyFont="1" applyFill="1" applyBorder="1"/>
    <xf numFmtId="44" fontId="16" fillId="5" borderId="16" xfId="3" applyNumberFormat="1" applyFont="1" applyFill="1" applyBorder="1"/>
    <xf numFmtId="166" fontId="16" fillId="5" borderId="16" xfId="3" applyNumberFormat="1" applyFont="1" applyFill="1" applyBorder="1"/>
    <xf numFmtId="191" fontId="16" fillId="5" borderId="16" xfId="3" applyNumberFormat="1" applyFont="1" applyFill="1" applyBorder="1"/>
    <xf numFmtId="176" fontId="16" fillId="5" borderId="16" xfId="3" applyNumberFormat="1" applyFont="1" applyFill="1" applyBorder="1"/>
    <xf numFmtId="176" fontId="16" fillId="5" borderId="17" xfId="3" applyNumberFormat="1" applyFont="1" applyFill="1" applyBorder="1"/>
    <xf numFmtId="176" fontId="11" fillId="0" borderId="7" xfId="3" applyNumberFormat="1" applyFont="1" applyBorder="1"/>
    <xf numFmtId="176" fontId="11" fillId="0" borderId="12" xfId="3" applyNumberFormat="1" applyFont="1" applyBorder="1"/>
    <xf numFmtId="185" fontId="7" fillId="5" borderId="15" xfId="4" applyNumberFormat="1" applyFont="1" applyFill="1" applyBorder="1"/>
    <xf numFmtId="44" fontId="7" fillId="5" borderId="16" xfId="3" applyNumberFormat="1" applyFont="1" applyFill="1" applyBorder="1"/>
    <xf numFmtId="185" fontId="7" fillId="5" borderId="16" xfId="4" applyNumberFormat="1" applyFont="1" applyFill="1" applyBorder="1"/>
    <xf numFmtId="185" fontId="7" fillId="5" borderId="17" xfId="4" applyNumberFormat="1" applyFont="1" applyFill="1" applyBorder="1"/>
    <xf numFmtId="9" fontId="9" fillId="0" borderId="0" xfId="1" applyFont="1"/>
    <xf numFmtId="0" fontId="0" fillId="0" borderId="0" xfId="0" applyAlignment="1">
      <alignment wrapText="1"/>
    </xf>
    <xf numFmtId="0" fontId="40" fillId="0" borderId="0" xfId="0" applyFont="1"/>
    <xf numFmtId="0" fontId="41" fillId="0" borderId="0" xfId="0" applyFont="1"/>
    <xf numFmtId="0" fontId="42" fillId="11" borderId="0" xfId="0" applyFont="1" applyFill="1"/>
    <xf numFmtId="0" fontId="43" fillId="11" borderId="0" xfId="0" applyFont="1" applyFill="1"/>
    <xf numFmtId="0" fontId="43" fillId="0" borderId="0" xfId="0" applyFont="1"/>
    <xf numFmtId="195" fontId="3" fillId="12" borderId="0" xfId="0" applyNumberFormat="1" applyFont="1" applyFill="1" applyAlignment="1">
      <alignment horizontal="center"/>
    </xf>
    <xf numFmtId="195" fontId="44" fillId="0" borderId="0" xfId="0" applyNumberFormat="1" applyFont="1"/>
    <xf numFmtId="195" fontId="11" fillId="12" borderId="0" xfId="0" applyNumberFormat="1" applyFont="1" applyFill="1" applyAlignment="1">
      <alignment horizontal="center"/>
    </xf>
    <xf numFmtId="0" fontId="45" fillId="0" borderId="0" xfId="0" applyFont="1"/>
    <xf numFmtId="0" fontId="46" fillId="0" borderId="0" xfId="0" applyFont="1"/>
    <xf numFmtId="1" fontId="46" fillId="0" borderId="0" xfId="0" applyNumberFormat="1" applyFont="1"/>
    <xf numFmtId="0" fontId="30" fillId="11" borderId="0" xfId="3" applyFont="1" applyFill="1"/>
    <xf numFmtId="0" fontId="30" fillId="11" borderId="0" xfId="3" applyFont="1" applyFill="1" applyAlignment="1">
      <alignment horizontal="center"/>
    </xf>
    <xf numFmtId="174" fontId="11" fillId="0" borderId="0" xfId="1" applyNumberFormat="1" applyFont="1"/>
    <xf numFmtId="9" fontId="11" fillId="0" borderId="0" xfId="1" applyFont="1"/>
    <xf numFmtId="42" fontId="11" fillId="0" borderId="0" xfId="3" applyNumberFormat="1" applyFont="1"/>
    <xf numFmtId="196" fontId="37" fillId="0" borderId="0" xfId="0" applyNumberFormat="1" applyFont="1"/>
    <xf numFmtId="0" fontId="4" fillId="0" borderId="0" xfId="0" applyFont="1" applyAlignment="1">
      <alignment horizontal="center"/>
    </xf>
    <xf numFmtId="0" fontId="16" fillId="9" borderId="0" xfId="3" applyFont="1" applyFill="1" applyAlignment="1">
      <alignment horizontal="left"/>
    </xf>
    <xf numFmtId="0" fontId="16" fillId="9" borderId="0" xfId="3" applyFont="1" applyFill="1"/>
    <xf numFmtId="197" fontId="16" fillId="9" borderId="0" xfId="3" applyNumberFormat="1" applyFont="1" applyFill="1"/>
    <xf numFmtId="198" fontId="16" fillId="9" borderId="0" xfId="3" applyNumberFormat="1" applyFont="1" applyFill="1" applyAlignment="1">
      <alignment horizontal="right"/>
    </xf>
    <xf numFmtId="174" fontId="16" fillId="9" borderId="0" xfId="1" applyNumberFormat="1" applyFont="1" applyFill="1"/>
    <xf numFmtId="9" fontId="16" fillId="9" borderId="0" xfId="1" applyFont="1" applyFill="1"/>
    <xf numFmtId="198" fontId="16" fillId="9" borderId="0" xfId="3" applyNumberFormat="1" applyFont="1" applyFill="1"/>
    <xf numFmtId="197" fontId="16" fillId="9" borderId="0" xfId="3" applyNumberFormat="1" applyFont="1" applyFill="1" applyAlignment="1">
      <alignment horizontal="right"/>
    </xf>
    <xf numFmtId="0" fontId="7" fillId="5" borderId="0" xfId="3" applyFont="1" applyFill="1"/>
    <xf numFmtId="174" fontId="7" fillId="5" borderId="0" xfId="1" applyNumberFormat="1" applyFont="1" applyFill="1"/>
    <xf numFmtId="41" fontId="7" fillId="5" borderId="0" xfId="3" applyNumberFormat="1" applyFont="1" applyFill="1"/>
    <xf numFmtId="9" fontId="7" fillId="5" borderId="0" xfId="1" applyFont="1" applyFill="1"/>
    <xf numFmtId="174" fontId="7" fillId="5" borderId="0" xfId="3" applyNumberFormat="1" applyFont="1" applyFill="1"/>
    <xf numFmtId="43" fontId="7" fillId="5" borderId="0" xfId="3" applyNumberFormat="1" applyFont="1" applyFill="1"/>
    <xf numFmtId="197" fontId="11" fillId="0" borderId="0" xfId="3" applyNumberFormat="1" applyFont="1"/>
    <xf numFmtId="174" fontId="11" fillId="0" borderId="0" xfId="3" applyNumberFormat="1" applyFont="1"/>
    <xf numFmtId="186" fontId="11" fillId="0" borderId="0" xfId="3" applyNumberFormat="1" applyFont="1"/>
    <xf numFmtId="174" fontId="11" fillId="0" borderId="0" xfId="3" applyNumberFormat="1" applyFont="1" applyAlignment="1">
      <alignment horizontal="center"/>
    </xf>
    <xf numFmtId="186" fontId="11" fillId="0" borderId="0" xfId="3" applyNumberFormat="1" applyFont="1" applyAlignment="1">
      <alignment horizontal="center"/>
    </xf>
    <xf numFmtId="197" fontId="4" fillId="0" borderId="0" xfId="0" applyNumberFormat="1" applyFont="1"/>
    <xf numFmtId="0" fontId="7" fillId="9" borderId="0" xfId="3" applyFont="1" applyFill="1"/>
    <xf numFmtId="178" fontId="7" fillId="9" borderId="0" xfId="3" applyNumberFormat="1" applyFont="1" applyFill="1"/>
    <xf numFmtId="195" fontId="7" fillId="9" borderId="0" xfId="3" applyNumberFormat="1" applyFont="1" applyFill="1"/>
    <xf numFmtId="0" fontId="47" fillId="0" borderId="0" xfId="4" applyFont="1"/>
    <xf numFmtId="0" fontId="16" fillId="0" borderId="0" xfId="4" applyFont="1"/>
    <xf numFmtId="0" fontId="11" fillId="0" borderId="0" xfId="4" applyFont="1"/>
    <xf numFmtId="44" fontId="11" fillId="0" borderId="0" xfId="4" applyNumberFormat="1" applyFont="1"/>
    <xf numFmtId="0" fontId="30" fillId="3" borderId="0" xfId="4" applyFont="1" applyFill="1"/>
    <xf numFmtId="0" fontId="30" fillId="3" borderId="0" xfId="4" applyFont="1" applyFill="1" applyAlignment="1">
      <alignment horizontal="center"/>
    </xf>
    <xf numFmtId="0" fontId="28" fillId="3" borderId="0" xfId="4" applyFont="1" applyFill="1" applyAlignment="1">
      <alignment horizontal="centerContinuous"/>
    </xf>
    <xf numFmtId="0" fontId="30" fillId="3" borderId="0" xfId="4" applyFont="1" applyFill="1" applyAlignment="1">
      <alignment horizontal="centerContinuous"/>
    </xf>
    <xf numFmtId="0" fontId="28" fillId="3" borderId="0" xfId="4" applyFont="1" applyFill="1"/>
    <xf numFmtId="0" fontId="38" fillId="3" borderId="0" xfId="4" applyFont="1" applyFill="1"/>
    <xf numFmtId="0" fontId="30" fillId="3" borderId="7" xfId="4" applyFont="1" applyFill="1" applyBorder="1" applyAlignment="1">
      <alignment horizontal="center"/>
    </xf>
    <xf numFmtId="0" fontId="11" fillId="0" borderId="0" xfId="4" applyFont="1" applyAlignment="1">
      <alignment horizontal="left"/>
    </xf>
    <xf numFmtId="0" fontId="11" fillId="0" borderId="0" xfId="4" applyFont="1" applyAlignment="1">
      <alignment horizontal="center"/>
    </xf>
    <xf numFmtId="14" fontId="9" fillId="0" borderId="0" xfId="7" applyNumberFormat="1" applyFont="1" applyAlignment="1">
      <alignment horizontal="left" vertical="top"/>
    </xf>
    <xf numFmtId="181" fontId="3" fillId="0" borderId="0" xfId="0" applyNumberFormat="1" applyFont="1" applyAlignment="1">
      <alignment vertical="top" wrapText="1"/>
    </xf>
    <xf numFmtId="177" fontId="3" fillId="0" borderId="0" xfId="0" applyNumberFormat="1" applyFont="1" applyAlignment="1">
      <alignment vertical="top" wrapText="1"/>
    </xf>
    <xf numFmtId="188" fontId="9" fillId="0" borderId="0" xfId="8" applyNumberFormat="1" applyFont="1" applyAlignment="1">
      <alignment vertical="top" wrapText="1"/>
    </xf>
    <xf numFmtId="44" fontId="3" fillId="0" borderId="0" xfId="8" applyNumberFormat="1" applyFont="1" applyAlignment="1">
      <alignment vertical="top" wrapText="1"/>
    </xf>
    <xf numFmtId="199" fontId="9" fillId="0" borderId="0" xfId="8" applyNumberFormat="1" applyFont="1" applyAlignment="1">
      <alignment vertical="top" wrapText="1"/>
    </xf>
    <xf numFmtId="179" fontId="3" fillId="0" borderId="0" xfId="0" applyNumberFormat="1" applyFont="1" applyAlignment="1">
      <alignment vertical="top" wrapText="1"/>
    </xf>
    <xf numFmtId="0" fontId="9" fillId="0" borderId="0" xfId="7" applyFont="1" applyAlignment="1">
      <alignment horizontal="left" vertical="top"/>
    </xf>
    <xf numFmtId="9" fontId="0" fillId="0" borderId="0" xfId="0" applyNumberFormat="1"/>
    <xf numFmtId="0" fontId="49" fillId="0" borderId="0" xfId="4" applyFont="1"/>
    <xf numFmtId="200" fontId="49" fillId="0" borderId="0" xfId="4" applyNumberFormat="1" applyFont="1" applyAlignment="1">
      <alignment horizontal="right"/>
    </xf>
    <xf numFmtId="201" fontId="49" fillId="0" borderId="0" xfId="4" applyNumberFormat="1" applyFont="1"/>
    <xf numFmtId="188" fontId="49" fillId="0" borderId="0" xfId="4" applyNumberFormat="1" applyFont="1" applyAlignment="1">
      <alignment horizontal="right"/>
    </xf>
    <xf numFmtId="0" fontId="9" fillId="0" borderId="9" xfId="4" applyFont="1" applyBorder="1" applyAlignment="1">
      <alignment horizontal="left"/>
    </xf>
    <xf numFmtId="0" fontId="9" fillId="0" borderId="8" xfId="4" applyFont="1" applyBorder="1" applyAlignment="1">
      <alignment horizontal="left"/>
    </xf>
    <xf numFmtId="0" fontId="49" fillId="0" borderId="8" xfId="4" applyFont="1" applyBorder="1" applyAlignment="1">
      <alignment horizontal="right"/>
    </xf>
    <xf numFmtId="42" fontId="9" fillId="0" borderId="8" xfId="4" applyNumberFormat="1" applyFont="1" applyBorder="1"/>
    <xf numFmtId="188" fontId="9" fillId="0" borderId="8" xfId="4" applyNumberFormat="1" applyFont="1" applyBorder="1"/>
    <xf numFmtId="188" fontId="49" fillId="0" borderId="8" xfId="4" applyNumberFormat="1" applyFont="1" applyBorder="1"/>
    <xf numFmtId="199" fontId="9" fillId="0" borderId="8" xfId="4" applyNumberFormat="1" applyFont="1" applyBorder="1"/>
    <xf numFmtId="199" fontId="9" fillId="0" borderId="10" xfId="4" applyNumberFormat="1" applyFont="1" applyBorder="1"/>
    <xf numFmtId="0" fontId="9" fillId="0" borderId="13" xfId="4" applyFont="1" applyBorder="1" applyAlignment="1">
      <alignment horizontal="left"/>
    </xf>
    <xf numFmtId="0" fontId="9" fillId="0" borderId="0" xfId="4" applyFont="1" applyAlignment="1">
      <alignment horizontal="left"/>
    </xf>
    <xf numFmtId="0" fontId="49" fillId="0" borderId="0" xfId="4" applyFont="1" applyAlignment="1">
      <alignment horizontal="right"/>
    </xf>
    <xf numFmtId="181" fontId="9" fillId="0" borderId="0" xfId="4" applyNumberFormat="1" applyFont="1"/>
    <xf numFmtId="188" fontId="9" fillId="0" borderId="0" xfId="4" applyNumberFormat="1" applyFont="1"/>
    <xf numFmtId="188" fontId="49" fillId="0" borderId="0" xfId="4" applyNumberFormat="1" applyFont="1"/>
    <xf numFmtId="199" fontId="9" fillId="0" borderId="0" xfId="4" applyNumberFormat="1" applyFont="1"/>
    <xf numFmtId="199" fontId="9" fillId="0" borderId="14" xfId="4" applyNumberFormat="1" applyFont="1" applyBorder="1"/>
    <xf numFmtId="0" fontId="16" fillId="5" borderId="15" xfId="4" applyFont="1" applyFill="1" applyBorder="1" applyAlignment="1">
      <alignment horizontal="left"/>
    </xf>
    <xf numFmtId="0" fontId="16" fillId="5" borderId="16" xfId="4" applyFont="1" applyFill="1" applyBorder="1" applyAlignment="1">
      <alignment horizontal="left"/>
    </xf>
    <xf numFmtId="0" fontId="16" fillId="5" borderId="16" xfId="4" applyFont="1" applyFill="1" applyBorder="1" applyAlignment="1">
      <alignment horizontal="right"/>
    </xf>
    <xf numFmtId="181" fontId="16" fillId="5" borderId="16" xfId="4" applyNumberFormat="1" applyFont="1" applyFill="1" applyBorder="1"/>
    <xf numFmtId="188" fontId="16" fillId="5" borderId="16" xfId="4" applyNumberFormat="1" applyFont="1" applyFill="1" applyBorder="1"/>
    <xf numFmtId="199" fontId="16" fillId="5" borderId="16" xfId="4" applyNumberFormat="1" applyFont="1" applyFill="1" applyBorder="1"/>
    <xf numFmtId="199" fontId="16" fillId="5" borderId="17" xfId="4" applyNumberFormat="1" applyFont="1" applyFill="1" applyBorder="1"/>
    <xf numFmtId="0" fontId="9" fillId="0" borderId="11" xfId="4" applyFont="1" applyBorder="1" applyAlignment="1">
      <alignment horizontal="left"/>
    </xf>
    <xf numFmtId="0" fontId="9" fillId="0" borderId="7" xfId="4" applyFont="1" applyBorder="1" applyAlignment="1">
      <alignment horizontal="left"/>
    </xf>
    <xf numFmtId="0" fontId="49" fillId="0" borderId="7" xfId="4" applyFont="1" applyBorder="1" applyAlignment="1">
      <alignment horizontal="right"/>
    </xf>
    <xf numFmtId="181" fontId="9" fillId="0" borderId="7" xfId="4" applyNumberFormat="1" applyFont="1" applyBorder="1"/>
    <xf numFmtId="188" fontId="9" fillId="0" borderId="7" xfId="4" applyNumberFormat="1" applyFont="1" applyBorder="1"/>
    <xf numFmtId="188" fontId="49" fillId="0" borderId="7" xfId="4" applyNumberFormat="1" applyFont="1" applyBorder="1"/>
    <xf numFmtId="199" fontId="9" fillId="0" borderId="7" xfId="4" applyNumberFormat="1" applyFont="1" applyBorder="1"/>
    <xf numFmtId="199" fontId="9" fillId="0" borderId="12" xfId="4" applyNumberFormat="1" applyFont="1" applyBorder="1"/>
    <xf numFmtId="3" fontId="50" fillId="0" borderId="0" xfId="0" applyNumberFormat="1" applyFont="1"/>
    <xf numFmtId="3" fontId="0" fillId="0" borderId="0" xfId="0" applyNumberFormat="1"/>
    <xf numFmtId="43" fontId="9" fillId="0" borderId="0" xfId="4" applyNumberFormat="1" applyFont="1"/>
    <xf numFmtId="0" fontId="0" fillId="0" borderId="0" xfId="0" applyAlignment="1">
      <alignment horizontal="center"/>
    </xf>
    <xf numFmtId="0" fontId="40" fillId="0" borderId="0" xfId="9" applyFont="1"/>
    <xf numFmtId="0" fontId="4" fillId="0" borderId="0" xfId="9" applyFont="1"/>
    <xf numFmtId="176" fontId="12" fillId="0" borderId="0" xfId="0" applyNumberFormat="1" applyFont="1" applyAlignment="1">
      <alignment horizontal="center"/>
    </xf>
    <xf numFmtId="42" fontId="12" fillId="0" borderId="0" xfId="0" applyNumberFormat="1" applyFont="1" applyAlignment="1">
      <alignment horizontal="center"/>
    </xf>
    <xf numFmtId="41" fontId="12" fillId="0" borderId="0" xfId="0" applyNumberFormat="1" applyFont="1" applyAlignment="1">
      <alignment horizontal="center"/>
    </xf>
    <xf numFmtId="0" fontId="11" fillId="0" borderId="0" xfId="4" applyFont="1" applyAlignment="1">
      <alignment horizontal="left" indent="1"/>
    </xf>
    <xf numFmtId="199" fontId="12" fillId="0" borderId="0" xfId="4" applyNumberFormat="1" applyFont="1" applyAlignment="1">
      <alignment horizontal="center"/>
    </xf>
    <xf numFmtId="0" fontId="4" fillId="6" borderId="7" xfId="0" applyFont="1" applyFill="1" applyBorder="1"/>
    <xf numFmtId="175" fontId="5" fillId="6" borderId="7" xfId="0" applyNumberFormat="1" applyFont="1" applyFill="1" applyBorder="1"/>
    <xf numFmtId="166" fontId="12" fillId="0" borderId="0" xfId="0" applyNumberFormat="1" applyFont="1"/>
    <xf numFmtId="0" fontId="4" fillId="0" borderId="0" xfId="0" applyFont="1" applyAlignment="1">
      <alignment wrapText="1"/>
    </xf>
    <xf numFmtId="166" fontId="12" fillId="0" borderId="7" xfId="0" applyNumberFormat="1" applyFont="1" applyBorder="1"/>
    <xf numFmtId="44" fontId="4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194" fontId="12" fillId="0" borderId="0" xfId="0" applyNumberFormat="1" applyFont="1" applyAlignment="1">
      <alignment horizontal="center"/>
    </xf>
    <xf numFmtId="0" fontId="16" fillId="6" borderId="7" xfId="3" applyFont="1" applyFill="1" applyBorder="1"/>
    <xf numFmtId="0" fontId="5" fillId="6" borderId="7" xfId="9" applyFont="1" applyFill="1" applyBorder="1" applyAlignment="1">
      <alignment horizontal="centerContinuous"/>
    </xf>
    <xf numFmtId="0" fontId="4" fillId="6" borderId="7" xfId="9" applyFont="1" applyFill="1" applyBorder="1" applyAlignment="1">
      <alignment horizontal="centerContinuous"/>
    </xf>
    <xf numFmtId="0" fontId="16" fillId="6" borderId="8" xfId="3" applyFont="1" applyFill="1" applyBorder="1" applyAlignment="1">
      <alignment horizontal="left"/>
    </xf>
    <xf numFmtId="0" fontId="11" fillId="6" borderId="8" xfId="3" applyFont="1" applyFill="1" applyBorder="1"/>
    <xf numFmtId="166" fontId="16" fillId="6" borderId="0" xfId="3" applyNumberFormat="1" applyFont="1" applyFill="1"/>
    <xf numFmtId="202" fontId="12" fillId="0" borderId="0" xfId="0" applyNumberFormat="1" applyFont="1"/>
    <xf numFmtId="0" fontId="16" fillId="13" borderId="9" xfId="3" applyFont="1" applyFill="1" applyBorder="1"/>
    <xf numFmtId="0" fontId="11" fillId="13" borderId="8" xfId="3" applyFont="1" applyFill="1" applyBorder="1"/>
    <xf numFmtId="44" fontId="16" fillId="13" borderId="10" xfId="3" applyNumberFormat="1" applyFont="1" applyFill="1" applyBorder="1"/>
    <xf numFmtId="0" fontId="16" fillId="13" borderId="11" xfId="3" applyFont="1" applyFill="1" applyBorder="1"/>
    <xf numFmtId="0" fontId="11" fillId="13" borderId="7" xfId="3" applyFont="1" applyFill="1" applyBorder="1"/>
    <xf numFmtId="169" fontId="16" fillId="13" borderId="12" xfId="3" applyNumberFormat="1" applyFont="1" applyFill="1" applyBorder="1"/>
    <xf numFmtId="44" fontId="11" fillId="0" borderId="0" xfId="10" applyNumberFormat="1" applyFont="1"/>
    <xf numFmtId="44" fontId="12" fillId="0" borderId="0" xfId="10" applyNumberFormat="1" applyFont="1"/>
    <xf numFmtId="43" fontId="11" fillId="0" borderId="0" xfId="10" applyNumberFormat="1" applyFont="1"/>
    <xf numFmtId="0" fontId="4" fillId="0" borderId="0" xfId="10" applyFont="1"/>
    <xf numFmtId="0" fontId="12" fillId="0" borderId="0" xfId="10" applyFont="1"/>
    <xf numFmtId="43" fontId="12" fillId="0" borderId="0" xfId="10" applyNumberFormat="1" applyFont="1"/>
    <xf numFmtId="43" fontId="3" fillId="0" borderId="0" xfId="10" applyNumberFormat="1" applyFont="1" applyAlignment="1">
      <alignment horizontal="right"/>
    </xf>
    <xf numFmtId="0" fontId="4" fillId="0" borderId="0" xfId="11" applyFont="1"/>
    <xf numFmtId="4" fontId="4" fillId="0" borderId="0" xfId="11" applyNumberFormat="1" applyFont="1"/>
    <xf numFmtId="172" fontId="11" fillId="0" borderId="0" xfId="0" applyNumberFormat="1" applyFont="1" applyAlignment="1">
      <alignment horizontal="left"/>
    </xf>
    <xf numFmtId="0" fontId="4" fillId="14" borderId="0" xfId="11" applyFont="1" applyFill="1"/>
    <xf numFmtId="0" fontId="4" fillId="12" borderId="0" xfId="11" applyFont="1" applyFill="1"/>
    <xf numFmtId="0" fontId="4" fillId="15" borderId="0" xfId="11" applyFont="1" applyFill="1"/>
    <xf numFmtId="0" fontId="5" fillId="16" borderId="7" xfId="11" applyFont="1" applyFill="1" applyBorder="1" applyAlignment="1">
      <alignment horizontal="center"/>
    </xf>
    <xf numFmtId="0" fontId="5" fillId="16" borderId="7" xfId="11" applyFont="1" applyFill="1" applyBorder="1"/>
    <xf numFmtId="0" fontId="4" fillId="0" borderId="0" xfId="11" applyFont="1" applyAlignment="1">
      <alignment horizontal="center"/>
    </xf>
    <xf numFmtId="0" fontId="36" fillId="0" borderId="0" xfId="5" applyFont="1"/>
    <xf numFmtId="0" fontId="47" fillId="0" borderId="0" xfId="0" applyFont="1"/>
    <xf numFmtId="0" fontId="34" fillId="3" borderId="0" xfId="0" applyFont="1" applyFill="1"/>
    <xf numFmtId="0" fontId="52" fillId="3" borderId="0" xfId="0" applyFont="1" applyFill="1"/>
    <xf numFmtId="0" fontId="7" fillId="3" borderId="2" xfId="0" applyFont="1" applyFill="1" applyBorder="1" applyAlignment="1">
      <alignment horizontal="centerContinuous"/>
    </xf>
    <xf numFmtId="0" fontId="7" fillId="3" borderId="3" xfId="0" applyFont="1" applyFill="1" applyBorder="1" applyAlignment="1">
      <alignment horizontal="centerContinuous"/>
    </xf>
    <xf numFmtId="0" fontId="7" fillId="3" borderId="0" xfId="0" applyFont="1" applyFill="1" applyAlignment="1">
      <alignment horizontal="centerContinuous"/>
    </xf>
    <xf numFmtId="0" fontId="11" fillId="0" borderId="0" xfId="11" applyFont="1"/>
    <xf numFmtId="0" fontId="20" fillId="3" borderId="0" xfId="0" applyFont="1" applyFill="1" applyAlignment="1">
      <alignment horizontal="center"/>
    </xf>
    <xf numFmtId="0" fontId="16" fillId="16" borderId="0" xfId="0" applyFont="1" applyFill="1"/>
    <xf numFmtId="0" fontId="8" fillId="16" borderId="0" xfId="0" applyFont="1" applyFill="1"/>
    <xf numFmtId="189" fontId="16" fillId="16" borderId="0" xfId="0" applyNumberFormat="1" applyFont="1" applyFill="1" applyAlignment="1">
      <alignment horizontal="center"/>
    </xf>
    <xf numFmtId="42" fontId="9" fillId="0" borderId="0" xfId="0" applyNumberFormat="1" applyFont="1"/>
    <xf numFmtId="0" fontId="9" fillId="0" borderId="0" xfId="11" applyFont="1"/>
    <xf numFmtId="0" fontId="53" fillId="0" borderId="0" xfId="0" applyFont="1" applyAlignment="1">
      <alignment horizontal="center"/>
    </xf>
    <xf numFmtId="203" fontId="12" fillId="0" borderId="0" xfId="0" applyNumberFormat="1" applyFont="1" applyAlignment="1">
      <alignment horizontal="right"/>
    </xf>
    <xf numFmtId="186" fontId="15" fillId="0" borderId="0" xfId="0" applyNumberFormat="1" applyFont="1" applyAlignment="1">
      <alignment horizontal="center"/>
    </xf>
    <xf numFmtId="0" fontId="53" fillId="0" borderId="0" xfId="0" applyFont="1" applyAlignment="1">
      <alignment horizontal="left" indent="1"/>
    </xf>
    <xf numFmtId="0" fontId="8" fillId="8" borderId="0" xfId="0" applyFont="1" applyFill="1" applyAlignment="1">
      <alignment horizontal="left" vertical="center" indent="1"/>
    </xf>
    <xf numFmtId="9" fontId="54" fillId="0" borderId="0" xfId="1" applyFont="1"/>
    <xf numFmtId="9" fontId="12" fillId="0" borderId="0" xfId="1" applyFont="1" applyAlignment="1">
      <alignment horizontal="right"/>
    </xf>
    <xf numFmtId="0" fontId="55" fillId="0" borderId="0" xfId="0" applyFont="1" applyAlignment="1">
      <alignment horizontal="left" indent="1"/>
    </xf>
    <xf numFmtId="0" fontId="27" fillId="0" borderId="0" xfId="11" applyFont="1"/>
    <xf numFmtId="0" fontId="53" fillId="0" borderId="0" xfId="11" applyFont="1" applyAlignment="1">
      <alignment horizontal="left" indent="1"/>
    </xf>
    <xf numFmtId="41" fontId="9" fillId="0" borderId="0" xfId="0" applyNumberFormat="1" applyFont="1"/>
    <xf numFmtId="0" fontId="8" fillId="0" borderId="0" xfId="0" applyFont="1"/>
    <xf numFmtId="189" fontId="16" fillId="0" borderId="0" xfId="0" applyNumberFormat="1" applyFont="1" applyAlignment="1">
      <alignment horizontal="center"/>
    </xf>
    <xf numFmtId="0" fontId="16" fillId="8" borderId="0" xfId="0" applyFont="1" applyFill="1" applyAlignment="1">
      <alignment vertical="center"/>
    </xf>
    <xf numFmtId="0" fontId="32" fillId="0" borderId="0" xfId="11" applyFont="1"/>
    <xf numFmtId="42" fontId="56" fillId="0" borderId="0" xfId="0" applyNumberFormat="1" applyFont="1"/>
    <xf numFmtId="9" fontId="56" fillId="0" borderId="0" xfId="1" applyFont="1"/>
    <xf numFmtId="0" fontId="57" fillId="0" borderId="0" xfId="11" applyFont="1"/>
    <xf numFmtId="0" fontId="58" fillId="0" borderId="0" xfId="11" applyFont="1"/>
    <xf numFmtId="43" fontId="12" fillId="0" borderId="0" xfId="0" applyNumberFormat="1" applyFont="1"/>
    <xf numFmtId="44" fontId="11" fillId="8" borderId="0" xfId="0" applyNumberFormat="1" applyFont="1" applyFill="1" applyAlignment="1">
      <alignment horizontal="left" vertical="center"/>
    </xf>
    <xf numFmtId="41" fontId="12" fillId="0" borderId="0" xfId="0" applyNumberFormat="1" applyFont="1"/>
    <xf numFmtId="42" fontId="12" fillId="0" borderId="0" xfId="0" applyNumberFormat="1" applyFont="1"/>
    <xf numFmtId="9" fontId="12" fillId="0" borderId="0" xfId="1" applyFont="1"/>
    <xf numFmtId="0" fontId="7" fillId="3" borderId="18" xfId="0" applyFont="1" applyFill="1" applyBorder="1" applyAlignment="1">
      <alignment horizontal="centerContinuous"/>
    </xf>
    <xf numFmtId="0" fontId="7" fillId="3" borderId="7" xfId="0" applyFont="1" applyFill="1" applyBorder="1"/>
    <xf numFmtId="0" fontId="20" fillId="3" borderId="7" xfId="0" applyFont="1" applyFill="1" applyBorder="1" applyAlignment="1">
      <alignment horizontal="center"/>
    </xf>
    <xf numFmtId="172" fontId="7" fillId="3" borderId="19" xfId="0" applyNumberFormat="1" applyFont="1" applyFill="1" applyBorder="1" applyAlignment="1">
      <alignment horizontal="center"/>
    </xf>
    <xf numFmtId="0" fontId="53" fillId="0" borderId="0" xfId="11" applyFont="1" applyAlignment="1">
      <alignment horizontal="center"/>
    </xf>
    <xf numFmtId="176" fontId="12" fillId="0" borderId="0" xfId="4" applyNumberFormat="1" applyFont="1"/>
    <xf numFmtId="4" fontId="39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0" fillId="4" borderId="0" xfId="0" applyFill="1"/>
    <xf numFmtId="43" fontId="4" fillId="4" borderId="0" xfId="0" applyNumberFormat="1" applyFont="1" applyFill="1" applyAlignment="1">
      <alignment vertical="center"/>
    </xf>
    <xf numFmtId="203" fontId="16" fillId="8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Continuous"/>
    </xf>
    <xf numFmtId="189" fontId="7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 indent="1"/>
    </xf>
    <xf numFmtId="176" fontId="12" fillId="0" borderId="0" xfId="4" applyNumberFormat="1" applyFont="1" applyAlignment="1">
      <alignment horizontal="center"/>
    </xf>
    <xf numFmtId="186" fontId="54" fillId="0" borderId="0" xfId="0" applyNumberFormat="1" applyFont="1" applyAlignment="1">
      <alignment horizontal="center"/>
    </xf>
    <xf numFmtId="0" fontId="51" fillId="5" borderId="0" xfId="0" applyFont="1" applyFill="1"/>
    <xf numFmtId="188" fontId="7" fillId="5" borderId="0" xfId="8" applyNumberFormat="1" applyFont="1" applyFill="1" applyAlignment="1">
      <alignment vertical="top" wrapText="1"/>
    </xf>
    <xf numFmtId="0" fontId="51" fillId="5" borderId="16" xfId="0" applyFont="1" applyFill="1" applyBorder="1"/>
    <xf numFmtId="14" fontId="7" fillId="5" borderId="16" xfId="7" applyNumberFormat="1" applyFont="1" applyFill="1" applyBorder="1" applyAlignment="1">
      <alignment horizontal="left" vertical="top"/>
    </xf>
    <xf numFmtId="179" fontId="7" fillId="5" borderId="16" xfId="0" applyNumberFormat="1" applyFont="1" applyFill="1" applyBorder="1" applyAlignment="1">
      <alignment vertical="top" wrapText="1"/>
    </xf>
    <xf numFmtId="188" fontId="7" fillId="5" borderId="16" xfId="8" applyNumberFormat="1" applyFont="1" applyFill="1" applyBorder="1" applyAlignment="1">
      <alignment vertical="top" wrapText="1"/>
    </xf>
    <xf numFmtId="0" fontId="51" fillId="5" borderId="17" xfId="0" applyFont="1" applyFill="1" applyBorder="1"/>
    <xf numFmtId="0" fontId="30" fillId="0" borderId="0" xfId="4" applyFont="1" applyAlignment="1">
      <alignment horizontal="centerContinuous"/>
    </xf>
    <xf numFmtId="0" fontId="30" fillId="0" borderId="0" xfId="4" applyFont="1" applyAlignment="1">
      <alignment horizontal="center"/>
    </xf>
    <xf numFmtId="0" fontId="16" fillId="5" borderId="0" xfId="4" applyFont="1" applyFill="1" applyAlignment="1">
      <alignment horizontal="left"/>
    </xf>
    <xf numFmtId="188" fontId="16" fillId="5" borderId="0" xfId="4" applyNumberFormat="1" applyFont="1" applyFill="1"/>
    <xf numFmtId="0" fontId="51" fillId="5" borderId="15" xfId="0" applyFont="1" applyFill="1" applyBorder="1"/>
    <xf numFmtId="14" fontId="9" fillId="0" borderId="0" xfId="7" applyNumberFormat="1" applyFont="1" applyAlignment="1">
      <alignment horizontal="right" vertical="top"/>
    </xf>
    <xf numFmtId="44" fontId="11" fillId="0" borderId="0" xfId="3" applyNumberFormat="1" applyFont="1"/>
    <xf numFmtId="176" fontId="16" fillId="5" borderId="0" xfId="3" applyNumberFormat="1" applyFont="1" applyFill="1"/>
    <xf numFmtId="176" fontId="7" fillId="5" borderId="0" xfId="3" applyNumberFormat="1" applyFont="1" applyFill="1"/>
    <xf numFmtId="44" fontId="7" fillId="5" borderId="0" xfId="0" applyNumberFormat="1" applyFont="1" applyFill="1"/>
    <xf numFmtId="0" fontId="30" fillId="3" borderId="0" xfId="3" applyFont="1" applyFill="1" applyAlignment="1">
      <alignment horizontal="centerContinuous"/>
    </xf>
    <xf numFmtId="183" fontId="5" fillId="0" borderId="0" xfId="0" applyNumberFormat="1" applyFont="1"/>
    <xf numFmtId="174" fontId="5" fillId="0" borderId="0" xfId="0" applyNumberFormat="1" applyFont="1"/>
    <xf numFmtId="0" fontId="60" fillId="3" borderId="0" xfId="0" applyFont="1" applyFill="1"/>
    <xf numFmtId="0" fontId="64" fillId="0" borderId="0" xfId="0" applyFont="1"/>
    <xf numFmtId="0" fontId="66" fillId="0" borderId="0" xfId="0" applyFont="1"/>
    <xf numFmtId="0" fontId="68" fillId="0" borderId="0" xfId="0" applyFont="1" applyAlignment="1">
      <alignment horizontal="left" indent="1"/>
    </xf>
    <xf numFmtId="0" fontId="64" fillId="3" borderId="0" xfId="0" applyFont="1" applyFill="1"/>
    <xf numFmtId="0" fontId="64" fillId="3" borderId="2" xfId="0" applyFont="1" applyFill="1" applyBorder="1"/>
    <xf numFmtId="0" fontId="60" fillId="3" borderId="2" xfId="0" applyFont="1" applyFill="1" applyBorder="1"/>
    <xf numFmtId="0" fontId="64" fillId="3" borderId="3" xfId="0" applyFont="1" applyFill="1" applyBorder="1"/>
    <xf numFmtId="0" fontId="60" fillId="3" borderId="0" xfId="0" applyFont="1" applyFill="1" applyAlignment="1">
      <alignment horizontal="center"/>
    </xf>
    <xf numFmtId="0" fontId="60" fillId="3" borderId="0" xfId="0" applyFont="1" applyFill="1" applyAlignment="1">
      <alignment horizontal="right"/>
    </xf>
    <xf numFmtId="165" fontId="60" fillId="3" borderId="0" xfId="0" applyNumberFormat="1" applyFont="1" applyFill="1" applyAlignment="1">
      <alignment horizontal="center"/>
    </xf>
    <xf numFmtId="165" fontId="60" fillId="3" borderId="4" xfId="0" applyNumberFormat="1" applyFont="1" applyFill="1" applyBorder="1" applyAlignment="1">
      <alignment horizontal="center"/>
    </xf>
    <xf numFmtId="165" fontId="60" fillId="3" borderId="5" xfId="0" applyNumberFormat="1" applyFont="1" applyFill="1" applyBorder="1" applyAlignment="1">
      <alignment horizontal="center"/>
    </xf>
    <xf numFmtId="0" fontId="69" fillId="0" borderId="0" xfId="0" applyFont="1" applyAlignment="1">
      <alignment horizontal="center"/>
    </xf>
    <xf numFmtId="42" fontId="66" fillId="0" borderId="0" xfId="0" applyNumberFormat="1" applyFont="1"/>
    <xf numFmtId="0" fontId="68" fillId="0" borderId="0" xfId="0" applyFont="1" applyAlignment="1">
      <alignment horizontal="center"/>
    </xf>
    <xf numFmtId="9" fontId="64" fillId="0" borderId="0" xfId="1" applyFont="1"/>
    <xf numFmtId="0" fontId="61" fillId="8" borderId="0" xfId="0" applyFont="1" applyFill="1" applyAlignment="1">
      <alignment horizontal="left" vertical="center" indent="1"/>
    </xf>
    <xf numFmtId="42" fontId="64" fillId="0" borderId="0" xfId="0" applyNumberFormat="1" applyFont="1"/>
    <xf numFmtId="0" fontId="61" fillId="0" borderId="0" xfId="3" applyFont="1"/>
    <xf numFmtId="41" fontId="64" fillId="0" borderId="0" xfId="0" applyNumberFormat="1" applyFont="1"/>
    <xf numFmtId="0" fontId="62" fillId="0" borderId="0" xfId="3" applyFont="1"/>
    <xf numFmtId="44" fontId="61" fillId="8" borderId="0" xfId="0" applyNumberFormat="1" applyFont="1" applyFill="1" applyAlignment="1">
      <alignment horizontal="left" vertical="center" indent="1"/>
    </xf>
    <xf numFmtId="0" fontId="64" fillId="0" borderId="0" xfId="0" applyFont="1" applyAlignment="1">
      <alignment horizontal="left" indent="2"/>
    </xf>
    <xf numFmtId="0" fontId="64" fillId="0" borderId="0" xfId="0" applyFont="1" applyAlignment="1">
      <alignment horizontal="left" indent="1"/>
    </xf>
    <xf numFmtId="9" fontId="68" fillId="0" borderId="0" xfId="1" applyFont="1"/>
    <xf numFmtId="0" fontId="66" fillId="6" borderId="7" xfId="0" applyFont="1" applyFill="1" applyBorder="1"/>
    <xf numFmtId="173" fontId="67" fillId="0" borderId="0" xfId="0" applyNumberFormat="1" applyFont="1" applyAlignment="1">
      <alignment horizontal="center"/>
    </xf>
    <xf numFmtId="169" fontId="70" fillId="4" borderId="0" xfId="2" applyNumberFormat="1" applyFont="1" applyFill="1" applyBorder="1" applyAlignment="1">
      <alignment horizontal="center"/>
    </xf>
    <xf numFmtId="173" fontId="61" fillId="0" borderId="0" xfId="3" applyNumberFormat="1" applyFont="1"/>
    <xf numFmtId="175" fontId="62" fillId="0" borderId="0" xfId="3" applyNumberFormat="1" applyFont="1"/>
    <xf numFmtId="176" fontId="61" fillId="4" borderId="0" xfId="3" applyNumberFormat="1" applyFont="1" applyFill="1" applyAlignment="1">
      <alignment horizontal="center"/>
    </xf>
    <xf numFmtId="169" fontId="61" fillId="4" borderId="0" xfId="2" applyNumberFormat="1" applyFont="1" applyFill="1" applyBorder="1" applyAlignment="1">
      <alignment horizontal="center"/>
    </xf>
    <xf numFmtId="176" fontId="70" fillId="4" borderId="0" xfId="3" applyNumberFormat="1" applyFont="1" applyFill="1" applyAlignment="1">
      <alignment horizontal="center"/>
    </xf>
    <xf numFmtId="176" fontId="70" fillId="0" borderId="0" xfId="3" applyNumberFormat="1" applyFont="1" applyAlignment="1">
      <alignment horizontal="center"/>
    </xf>
    <xf numFmtId="169" fontId="70" fillId="0" borderId="0" xfId="2" applyNumberFormat="1" applyFont="1" applyFill="1" applyBorder="1" applyAlignment="1">
      <alignment horizontal="center"/>
    </xf>
    <xf numFmtId="177" fontId="64" fillId="0" borderId="0" xfId="0" applyNumberFormat="1" applyFont="1"/>
    <xf numFmtId="177" fontId="65" fillId="0" borderId="0" xfId="0" applyNumberFormat="1" applyFont="1"/>
    <xf numFmtId="178" fontId="65" fillId="0" borderId="0" xfId="4" applyNumberFormat="1" applyFont="1" applyAlignment="1">
      <alignment horizontal="center"/>
    </xf>
    <xf numFmtId="176" fontId="61" fillId="0" borderId="0" xfId="3" applyNumberFormat="1" applyFont="1"/>
    <xf numFmtId="0" fontId="61" fillId="0" borderId="0" xfId="3" applyFont="1" applyAlignment="1">
      <alignment horizontal="left" indent="1"/>
    </xf>
    <xf numFmtId="179" fontId="61" fillId="0" borderId="0" xfId="3" applyNumberFormat="1" applyFont="1"/>
    <xf numFmtId="6" fontId="61" fillId="0" borderId="0" xfId="3" applyNumberFormat="1" applyFont="1"/>
    <xf numFmtId="0" fontId="61" fillId="0" borderId="7" xfId="3" applyFont="1" applyBorder="1" applyAlignment="1">
      <alignment horizontal="left" indent="1"/>
    </xf>
    <xf numFmtId="0" fontId="61" fillId="0" borderId="7" xfId="3" applyFont="1" applyBorder="1"/>
    <xf numFmtId="179" fontId="61" fillId="0" borderId="7" xfId="3" applyNumberFormat="1" applyFont="1" applyBorder="1"/>
    <xf numFmtId="0" fontId="62" fillId="6" borderId="0" xfId="3" applyFont="1" applyFill="1" applyAlignment="1">
      <alignment horizontal="left"/>
    </xf>
    <xf numFmtId="0" fontId="61" fillId="6" borderId="0" xfId="3" applyFont="1" applyFill="1"/>
    <xf numFmtId="179" fontId="66" fillId="6" borderId="0" xfId="0" applyNumberFormat="1" applyFont="1" applyFill="1"/>
    <xf numFmtId="166" fontId="64" fillId="0" borderId="0" xfId="0" applyNumberFormat="1" applyFont="1"/>
    <xf numFmtId="0" fontId="63" fillId="0" borderId="0" xfId="3" applyFont="1" applyAlignment="1">
      <alignment horizontal="left" indent="1"/>
    </xf>
    <xf numFmtId="180" fontId="63" fillId="0" borderId="0" xfId="3" applyNumberFormat="1" applyFont="1"/>
    <xf numFmtId="181" fontId="61" fillId="4" borderId="0" xfId="3" applyNumberFormat="1" applyFont="1" applyFill="1"/>
    <xf numFmtId="0" fontId="61" fillId="0" borderId="0" xfId="3" applyFont="1" applyAlignment="1">
      <alignment horizontal="left"/>
    </xf>
    <xf numFmtId="166" fontId="61" fillId="0" borderId="0" xfId="3" applyNumberFormat="1" applyFont="1"/>
    <xf numFmtId="0" fontId="62" fillId="6" borderId="7" xfId="3" applyFont="1" applyFill="1" applyBorder="1" applyAlignment="1">
      <alignment horizontal="left"/>
    </xf>
    <xf numFmtId="0" fontId="61" fillId="6" borderId="7" xfId="3" applyFont="1" applyFill="1" applyBorder="1"/>
    <xf numFmtId="179" fontId="66" fillId="6" borderId="7" xfId="0" applyNumberFormat="1" applyFont="1" applyFill="1" applyBorder="1"/>
    <xf numFmtId="0" fontId="62" fillId="0" borderId="0" xfId="3" applyFont="1" applyAlignment="1">
      <alignment horizontal="left"/>
    </xf>
    <xf numFmtId="167" fontId="66" fillId="0" borderId="0" xfId="0" applyNumberFormat="1" applyFont="1"/>
    <xf numFmtId="182" fontId="64" fillId="0" borderId="0" xfId="0" applyNumberFormat="1" applyFont="1"/>
    <xf numFmtId="0" fontId="62" fillId="7" borderId="9" xfId="3" applyFont="1" applyFill="1" applyBorder="1"/>
    <xf numFmtId="0" fontId="62" fillId="7" borderId="8" xfId="3" applyFont="1" applyFill="1" applyBorder="1"/>
    <xf numFmtId="183" fontId="66" fillId="7" borderId="10" xfId="0" applyNumberFormat="1" applyFont="1" applyFill="1" applyBorder="1"/>
    <xf numFmtId="0" fontId="62" fillId="7" borderId="11" xfId="3" applyFont="1" applyFill="1" applyBorder="1"/>
    <xf numFmtId="0" fontId="62" fillId="7" borderId="7" xfId="3" applyFont="1" applyFill="1" applyBorder="1"/>
    <xf numFmtId="174" fontId="66" fillId="7" borderId="12" xfId="0" applyNumberFormat="1" applyFont="1" applyFill="1" applyBorder="1"/>
    <xf numFmtId="174" fontId="0" fillId="0" borderId="0" xfId="1" applyNumberFormat="1" applyFont="1"/>
    <xf numFmtId="0" fontId="0" fillId="0" borderId="0" xfId="0" applyAlignment="1">
      <alignment horizontal="left" indent="1"/>
    </xf>
    <xf numFmtId="0" fontId="0" fillId="0" borderId="7" xfId="0" applyBorder="1" applyAlignment="1">
      <alignment horizontal="left" indent="1"/>
    </xf>
    <xf numFmtId="9" fontId="0" fillId="0" borderId="0" xfId="1" applyFont="1" applyAlignment="1">
      <alignment horizontal="center"/>
    </xf>
    <xf numFmtId="174" fontId="0" fillId="0" borderId="0" xfId="1" applyNumberFormat="1" applyFont="1" applyAlignment="1">
      <alignment horizontal="center"/>
    </xf>
    <xf numFmtId="9" fontId="0" fillId="0" borderId="7" xfId="1" applyFont="1" applyBorder="1" applyAlignment="1">
      <alignment horizontal="center"/>
    </xf>
    <xf numFmtId="165" fontId="60" fillId="0" borderId="0" xfId="0" applyNumberFormat="1" applyFont="1" applyAlignment="1">
      <alignment horizontal="center"/>
    </xf>
    <xf numFmtId="0" fontId="64" fillId="0" borderId="0" xfId="0" applyFont="1" applyAlignment="1">
      <alignment horizontal="center"/>
    </xf>
    <xf numFmtId="9" fontId="64" fillId="0" borderId="0" xfId="1" applyFont="1" applyFill="1" applyBorder="1" applyAlignment="1">
      <alignment horizontal="center"/>
    </xf>
    <xf numFmtId="174" fontId="64" fillId="0" borderId="0" xfId="1" applyNumberFormat="1" applyFont="1" applyFill="1" applyBorder="1" applyAlignment="1">
      <alignment horizontal="center"/>
    </xf>
    <xf numFmtId="41" fontId="64" fillId="0" borderId="0" xfId="1" applyNumberFormat="1" applyFont="1" applyFill="1" applyBorder="1" applyAlignment="1">
      <alignment horizontal="center"/>
    </xf>
    <xf numFmtId="174" fontId="66" fillId="0" borderId="0" xfId="1" applyNumberFormat="1" applyFont="1" applyFill="1" applyBorder="1" applyAlignment="1">
      <alignment horizont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9" fontId="0" fillId="0" borderId="0" xfId="0" applyNumberFormat="1" applyAlignment="1">
      <alignment vertical="center" wrapText="1"/>
    </xf>
    <xf numFmtId="0" fontId="59" fillId="0" borderId="0" xfId="0" applyFont="1" applyAlignment="1">
      <alignment horizontal="center"/>
    </xf>
    <xf numFmtId="0" fontId="59" fillId="0" borderId="0" xfId="0" applyFont="1" applyAlignment="1">
      <alignment horizontal="left"/>
    </xf>
    <xf numFmtId="9" fontId="15" fillId="0" borderId="0" xfId="1" applyFont="1" applyFill="1" applyBorder="1" applyAlignment="1">
      <alignment horizontal="center" vertical="center"/>
    </xf>
    <xf numFmtId="0" fontId="5" fillId="0" borderId="0" xfId="0" applyFont="1" applyAlignment="1">
      <alignment horizontal="centerContinuous"/>
    </xf>
    <xf numFmtId="0" fontId="59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0" xfId="0" applyFont="1" applyAlignment="1">
      <alignment horizontal="center" vertical="center"/>
    </xf>
    <xf numFmtId="8" fontId="4" fillId="0" borderId="0" xfId="0" applyNumberFormat="1" applyFont="1" applyAlignment="1">
      <alignment horizontal="center" vertical="center"/>
    </xf>
    <xf numFmtId="9" fontId="8" fillId="0" borderId="0" xfId="1" applyFont="1" applyFill="1" applyBorder="1" applyAlignment="1">
      <alignment horizontal="center"/>
    </xf>
    <xf numFmtId="8" fontId="0" fillId="0" borderId="0" xfId="0" applyNumberFormat="1"/>
    <xf numFmtId="166" fontId="0" fillId="0" borderId="0" xfId="1" applyNumberFormat="1" applyFont="1"/>
    <xf numFmtId="166" fontId="0" fillId="0" borderId="7" xfId="1" applyNumberFormat="1" applyFont="1" applyBorder="1"/>
    <xf numFmtId="174" fontId="0" fillId="0" borderId="0" xfId="1" applyNumberFormat="1" applyFont="1" applyFill="1" applyBorder="1" applyAlignment="1">
      <alignment horizontal="left"/>
    </xf>
    <xf numFmtId="174" fontId="1" fillId="0" borderId="7" xfId="1" applyNumberFormat="1" applyFont="1" applyFill="1" applyBorder="1" applyAlignment="1">
      <alignment horizontal="left"/>
    </xf>
    <xf numFmtId="0" fontId="0" fillId="0" borderId="7" xfId="0" applyBorder="1"/>
    <xf numFmtId="0" fontId="0" fillId="0" borderId="7" xfId="0" applyBorder="1" applyAlignment="1">
      <alignment horizontal="center"/>
    </xf>
    <xf numFmtId="0" fontId="60" fillId="0" borderId="0" xfId="0" applyFont="1"/>
    <xf numFmtId="0" fontId="66" fillId="0" borderId="0" xfId="0" applyFont="1" applyAlignment="1">
      <alignment horizontal="center"/>
    </xf>
    <xf numFmtId="174" fontId="64" fillId="0" borderId="0" xfId="1" applyNumberFormat="1" applyFont="1" applyFill="1" applyBorder="1" applyAlignment="1">
      <alignment horizontal="left"/>
    </xf>
    <xf numFmtId="166" fontId="64" fillId="0" borderId="0" xfId="1" applyNumberFormat="1" applyFont="1"/>
    <xf numFmtId="9" fontId="64" fillId="0" borderId="0" xfId="1" applyFont="1" applyAlignment="1">
      <alignment horizontal="center"/>
    </xf>
    <xf numFmtId="0" fontId="64" fillId="0" borderId="7" xfId="0" applyFont="1" applyBorder="1" applyAlignment="1">
      <alignment horizontal="left" indent="1"/>
    </xf>
    <xf numFmtId="0" fontId="64" fillId="0" borderId="7" xfId="0" applyFont="1" applyBorder="1"/>
    <xf numFmtId="166" fontId="64" fillId="0" borderId="7" xfId="1" applyNumberFormat="1" applyFont="1" applyBorder="1"/>
    <xf numFmtId="0" fontId="64" fillId="0" borderId="7" xfId="0" applyFont="1" applyBorder="1" applyAlignment="1">
      <alignment horizontal="center"/>
    </xf>
    <xf numFmtId="9" fontId="64" fillId="0" borderId="7" xfId="1" applyFont="1" applyBorder="1" applyAlignment="1">
      <alignment horizontal="center"/>
    </xf>
    <xf numFmtId="174" fontId="64" fillId="0" borderId="7" xfId="1" applyNumberFormat="1" applyFont="1" applyFill="1" applyBorder="1" applyAlignment="1">
      <alignment horizontal="left"/>
    </xf>
    <xf numFmtId="9" fontId="64" fillId="0" borderId="0" xfId="0" applyNumberFormat="1" applyFont="1"/>
    <xf numFmtId="174" fontId="64" fillId="0" borderId="0" xfId="1" applyNumberFormat="1" applyFont="1"/>
    <xf numFmtId="174" fontId="64" fillId="0" borderId="0" xfId="1" applyNumberFormat="1" applyFont="1" applyAlignment="1">
      <alignment horizontal="center"/>
    </xf>
    <xf numFmtId="174" fontId="64" fillId="0" borderId="0" xfId="0" applyNumberFormat="1" applyFont="1" applyAlignment="1">
      <alignment horizontal="left"/>
    </xf>
    <xf numFmtId="0" fontId="66" fillId="0" borderId="0" xfId="0" applyFont="1" applyAlignment="1">
      <alignment horizontal="left"/>
    </xf>
    <xf numFmtId="174" fontId="66" fillId="4" borderId="0" xfId="1" applyNumberFormat="1" applyFont="1" applyFill="1"/>
    <xf numFmtId="0" fontId="77" fillId="3" borderId="0" xfId="0" applyFont="1" applyFill="1"/>
    <xf numFmtId="0" fontId="78" fillId="3" borderId="0" xfId="0" applyFont="1" applyFill="1"/>
    <xf numFmtId="0" fontId="79" fillId="3" borderId="2" xfId="0" applyFont="1" applyFill="1" applyBorder="1" applyAlignment="1">
      <alignment horizontal="centerContinuous"/>
    </xf>
    <xf numFmtId="0" fontId="79" fillId="3" borderId="3" xfId="0" applyFont="1" applyFill="1" applyBorder="1" applyAlignment="1">
      <alignment horizontal="centerContinuous"/>
    </xf>
    <xf numFmtId="0" fontId="80" fillId="0" borderId="0" xfId="11" applyFont="1"/>
    <xf numFmtId="0" fontId="79" fillId="3" borderId="0" xfId="0" applyFont="1" applyFill="1" applyAlignment="1">
      <alignment horizontal="centerContinuous"/>
    </xf>
    <xf numFmtId="0" fontId="79" fillId="3" borderId="0" xfId="0" applyFont="1" applyFill="1"/>
    <xf numFmtId="0" fontId="81" fillId="3" borderId="0" xfId="0" applyFont="1" applyFill="1" applyAlignment="1">
      <alignment horizontal="center"/>
    </xf>
    <xf numFmtId="189" fontId="79" fillId="3" borderId="0" xfId="0" applyNumberFormat="1" applyFont="1" applyFill="1" applyAlignment="1">
      <alignment horizontal="center"/>
    </xf>
    <xf numFmtId="0" fontId="82" fillId="16" borderId="0" xfId="0" applyFont="1" applyFill="1"/>
    <xf numFmtId="0" fontId="83" fillId="16" borderId="0" xfId="0" applyFont="1" applyFill="1"/>
    <xf numFmtId="189" fontId="82" fillId="16" borderId="0" xfId="0" applyNumberFormat="1" applyFont="1" applyFill="1" applyAlignment="1">
      <alignment horizontal="center"/>
    </xf>
    <xf numFmtId="0" fontId="84" fillId="0" borderId="0" xfId="0" applyFont="1"/>
    <xf numFmtId="42" fontId="85" fillId="0" borderId="0" xfId="0" applyNumberFormat="1" applyFont="1"/>
    <xf numFmtId="0" fontId="84" fillId="0" borderId="0" xfId="11" applyFont="1"/>
    <xf numFmtId="0" fontId="86" fillId="0" borderId="0" xfId="0" applyFont="1" applyAlignment="1">
      <alignment vertical="center"/>
    </xf>
    <xf numFmtId="0" fontId="87" fillId="0" borderId="0" xfId="0" applyFont="1" applyAlignment="1">
      <alignment horizontal="center"/>
    </xf>
    <xf numFmtId="203" fontId="88" fillId="0" borderId="0" xfId="0" applyNumberFormat="1" applyFont="1" applyAlignment="1">
      <alignment horizontal="right"/>
    </xf>
    <xf numFmtId="186" fontId="89" fillId="0" borderId="0" xfId="0" applyNumberFormat="1" applyFont="1" applyAlignment="1">
      <alignment horizontal="center"/>
    </xf>
    <xf numFmtId="9" fontId="90" fillId="0" borderId="0" xfId="1" applyFont="1"/>
    <xf numFmtId="9" fontId="88" fillId="0" borderId="0" xfId="1" applyFont="1" applyAlignment="1">
      <alignment horizontal="right"/>
    </xf>
    <xf numFmtId="0" fontId="82" fillId="0" borderId="0" xfId="0" applyFont="1"/>
    <xf numFmtId="0" fontId="83" fillId="0" borderId="0" xfId="0" applyFont="1"/>
    <xf numFmtId="189" fontId="82" fillId="0" borderId="0" xfId="0" applyNumberFormat="1" applyFont="1" applyAlignment="1">
      <alignment horizontal="center"/>
    </xf>
    <xf numFmtId="0" fontId="82" fillId="8" borderId="0" xfId="0" applyFont="1" applyFill="1" applyAlignment="1">
      <alignment vertical="center"/>
    </xf>
    <xf numFmtId="0" fontId="91" fillId="0" borderId="0" xfId="11" applyFont="1"/>
    <xf numFmtId="42" fontId="92" fillId="0" borderId="0" xfId="0" applyNumberFormat="1" applyFont="1"/>
    <xf numFmtId="0" fontId="83" fillId="8" borderId="0" xfId="0" applyFont="1" applyFill="1" applyAlignment="1">
      <alignment horizontal="left" vertical="center" indent="1"/>
    </xf>
    <xf numFmtId="0" fontId="87" fillId="0" borderId="0" xfId="11" applyFont="1" applyAlignment="1">
      <alignment horizontal="left" indent="1"/>
    </xf>
    <xf numFmtId="9" fontId="92" fillId="0" borderId="0" xfId="1" applyFont="1"/>
    <xf numFmtId="0" fontId="93" fillId="0" borderId="0" xfId="11" applyFont="1"/>
    <xf numFmtId="0" fontId="94" fillId="0" borderId="0" xfId="11" applyFont="1"/>
    <xf numFmtId="0" fontId="85" fillId="0" borderId="0" xfId="0" applyFont="1" applyAlignment="1">
      <alignment horizontal="left" indent="1"/>
    </xf>
    <xf numFmtId="0" fontId="85" fillId="0" borderId="0" xfId="11" applyFont="1"/>
    <xf numFmtId="43" fontId="88" fillId="0" borderId="0" xfId="0" applyNumberFormat="1" applyFont="1"/>
    <xf numFmtId="44" fontId="80" fillId="8" borderId="0" xfId="0" applyNumberFormat="1" applyFont="1" applyFill="1" applyAlignment="1">
      <alignment horizontal="left" vertical="center"/>
    </xf>
    <xf numFmtId="41" fontId="88" fillId="0" borderId="0" xfId="0" applyNumberFormat="1" applyFont="1"/>
    <xf numFmtId="203" fontId="82" fillId="8" borderId="0" xfId="0" applyNumberFormat="1" applyFont="1" applyFill="1" applyAlignment="1">
      <alignment horizontal="left" vertical="center"/>
    </xf>
    <xf numFmtId="0" fontId="84" fillId="0" borderId="0" xfId="0" applyFont="1" applyAlignment="1">
      <alignment horizontal="left"/>
    </xf>
    <xf numFmtId="42" fontId="88" fillId="0" borderId="0" xfId="0" applyNumberFormat="1" applyFont="1"/>
    <xf numFmtId="0" fontId="86" fillId="0" borderId="0" xfId="0" applyFont="1"/>
    <xf numFmtId="0" fontId="89" fillId="0" borderId="0" xfId="0" applyFont="1" applyAlignment="1">
      <alignment horizontal="left" indent="1"/>
    </xf>
    <xf numFmtId="9" fontId="88" fillId="0" borderId="0" xfId="1" applyFont="1"/>
    <xf numFmtId="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59" fillId="0" borderId="0" xfId="0" applyNumberFormat="1" applyFont="1" applyAlignment="1">
      <alignment horizontal="center" vertical="center" wrapText="1"/>
    </xf>
    <xf numFmtId="10" fontId="59" fillId="0" borderId="0" xfId="0" applyNumberFormat="1" applyFont="1" applyAlignment="1">
      <alignment vertical="center"/>
    </xf>
    <xf numFmtId="43" fontId="0" fillId="0" borderId="0" xfId="1" applyNumberFormat="1" applyFont="1" applyAlignment="1">
      <alignment horizontal="center"/>
    </xf>
    <xf numFmtId="43" fontId="0" fillId="0" borderId="0" xfId="0" applyNumberFormat="1" applyAlignment="1">
      <alignment horizontal="center"/>
    </xf>
    <xf numFmtId="174" fontId="59" fillId="0" borderId="0" xfId="1" applyNumberFormat="1" applyFont="1" applyFill="1"/>
    <xf numFmtId="0" fontId="11" fillId="0" borderId="0" xfId="0" applyFont="1"/>
    <xf numFmtId="174" fontId="11" fillId="0" borderId="0" xfId="0" applyNumberFormat="1" applyFont="1" applyAlignment="1">
      <alignment horizontal="center"/>
    </xf>
    <xf numFmtId="0" fontId="34" fillId="3" borderId="0" xfId="0" applyFont="1" applyFill="1" applyAlignment="1">
      <alignment horizontal="centerContinuous"/>
    </xf>
    <xf numFmtId="183" fontId="5" fillId="0" borderId="0" xfId="0" applyNumberFormat="1" applyFont="1" applyAlignment="1">
      <alignment horizontal="right"/>
    </xf>
    <xf numFmtId="0" fontId="71" fillId="0" borderId="0" xfId="0" applyFont="1" applyAlignment="1">
      <alignment horizontal="centerContinuous"/>
    </xf>
    <xf numFmtId="0" fontId="72" fillId="0" borderId="0" xfId="0" applyFont="1" applyAlignment="1">
      <alignment horizontal="centerContinuous"/>
    </xf>
    <xf numFmtId="0" fontId="71" fillId="0" borderId="0" xfId="0" applyFont="1" applyAlignment="1">
      <alignment horizontal="center"/>
    </xf>
    <xf numFmtId="0" fontId="73" fillId="0" borderId="0" xfId="0" applyFont="1" applyAlignment="1">
      <alignment horizontal="centerContinuous"/>
    </xf>
    <xf numFmtId="0" fontId="73" fillId="0" borderId="0" xfId="0" applyFont="1"/>
    <xf numFmtId="0" fontId="21" fillId="0" borderId="0" xfId="0" applyFont="1" applyAlignment="1">
      <alignment horizontal="center"/>
    </xf>
    <xf numFmtId="10" fontId="21" fillId="0" borderId="0" xfId="0" applyNumberFormat="1" applyFont="1"/>
    <xf numFmtId="0" fontId="21" fillId="0" borderId="0" xfId="0" applyFont="1" applyAlignment="1">
      <alignment horizontal="left"/>
    </xf>
    <xf numFmtId="176" fontId="76" fillId="0" borderId="0" xfId="3" applyNumberFormat="1" applyFont="1" applyAlignment="1">
      <alignment horizontal="center"/>
    </xf>
    <xf numFmtId="183" fontId="21" fillId="0" borderId="0" xfId="0" applyNumberFormat="1" applyFont="1" applyAlignment="1">
      <alignment horizontal="right"/>
    </xf>
    <xf numFmtId="0" fontId="75" fillId="0" borderId="0" xfId="3" applyFont="1" applyAlignment="1">
      <alignment horizontal="left" indent="1"/>
    </xf>
    <xf numFmtId="174" fontId="75" fillId="0" borderId="0" xfId="0" applyNumberFormat="1" applyFont="1" applyAlignment="1">
      <alignment horizontal="right"/>
    </xf>
    <xf numFmtId="176" fontId="74" fillId="0" borderId="0" xfId="3" applyNumberFormat="1" applyFont="1" applyAlignment="1">
      <alignment horizontal="center"/>
    </xf>
    <xf numFmtId="0" fontId="73" fillId="0" borderId="0" xfId="0" applyFont="1" applyAlignment="1">
      <alignment horizontal="right" indent="1"/>
    </xf>
    <xf numFmtId="183" fontId="5" fillId="17" borderId="0" xfId="0" applyNumberFormat="1" applyFont="1" applyFill="1" applyAlignment="1">
      <alignment horizontal="right"/>
    </xf>
    <xf numFmtId="174" fontId="4" fillId="6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centerContinuous"/>
    </xf>
    <xf numFmtId="0" fontId="16" fillId="5" borderId="0" xfId="0" applyFont="1" applyFill="1" applyAlignment="1">
      <alignment horizontal="centerContinuous"/>
    </xf>
    <xf numFmtId="0" fontId="16" fillId="5" borderId="0" xfId="0" applyFont="1" applyFill="1" applyAlignment="1">
      <alignment horizontal="left"/>
    </xf>
    <xf numFmtId="0" fontId="11" fillId="5" borderId="0" xfId="0" applyFont="1" applyFill="1" applyAlignment="1">
      <alignment horizontal="left" indent="1"/>
    </xf>
    <xf numFmtId="9" fontId="15" fillId="0" borderId="0" xfId="1" applyFont="1" applyAlignment="1">
      <alignment vertical="center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16" fillId="5" borderId="0" xfId="6" applyFont="1" applyFill="1" applyAlignment="1">
      <alignment horizontal="center"/>
    </xf>
    <xf numFmtId="0" fontId="0" fillId="0" borderId="0" xfId="0" applyAlignment="1">
      <alignment horizontal="center"/>
    </xf>
  </cellXfs>
  <cellStyles count="12">
    <cellStyle name="Hyperlink" xfId="5" builtinId="8"/>
    <cellStyle name="Normal" xfId="0" builtinId="0"/>
    <cellStyle name="Normal 2" xfId="3" xr:uid="{E4254D59-014F-4372-9776-978AF84B7F40}"/>
    <cellStyle name="Normal 2 2" xfId="4" xr:uid="{9E34E15C-A0DF-4C43-A50B-5CE11E1BAD38}"/>
    <cellStyle name="Normal 3 2" xfId="6" xr:uid="{8B377D70-70F9-4523-81C5-9299A76071B6}"/>
    <cellStyle name="Normal 3 2 2" xfId="11" xr:uid="{A87731F8-D67C-4A33-B6E9-96E1A2AF1F1C}"/>
    <cellStyle name="Normal 3 3" xfId="8" xr:uid="{6AADEE89-7B20-4767-812E-6A95EF0AA318}"/>
    <cellStyle name="Normal 3 4" xfId="10" xr:uid="{78E9146D-36E3-416C-A3E6-22D45D807EC2}"/>
    <cellStyle name="Normal 5 2" xfId="9" xr:uid="{8332AF69-D146-4321-BF20-C7C881DE616D}"/>
    <cellStyle name="Note" xfId="2" builtinId="10"/>
    <cellStyle name="Percent" xfId="1" builtinId="5"/>
    <cellStyle name="TextNormal" xfId="7" xr:uid="{862F652B-8BEB-44B0-9CF6-DD3EAAA8FE5A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Valgraph!$K$1</c:f>
          <c:strCache>
            <c:ptCount val="1"/>
            <c:pt idx="0">
              <c:v>ACM Research, Inc.  -  Range of Implied Share Prices: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1"/>
          <c:tx>
            <c:strRef>
              <c:f>Valgraph!$K$34</c:f>
              <c:strCache>
                <c:ptCount val="1"/>
                <c:pt idx="0">
                  <c:v> Min Point 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Valgraph!$B$37:$B$56</c:f>
              <c:strCache>
                <c:ptCount val="20"/>
                <c:pt idx="0">
                  <c:v>Discounted Cash Flow Analysis:</c:v>
                </c:pt>
                <c:pt idx="2">
                  <c:v>1-Month Premiums: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2025-03-31 EV / EBITDA:</c:v>
                </c:pt>
                <c:pt idx="6">
                  <c:v>2025-03-31 EV / Revenue:</c:v>
                </c:pt>
                <c:pt idx="7">
                  <c:v>Precedent Transactions:</c:v>
                </c:pt>
                <c:pt idx="9">
                  <c:v>CY 26 P / E:</c:v>
                </c:pt>
                <c:pt idx="10">
                  <c:v>CY 25 P / E:</c:v>
                </c:pt>
                <c:pt idx="11">
                  <c:v>LTM P / E:</c:v>
                </c:pt>
                <c:pt idx="12">
                  <c:v>CY 26 TEV / EBITDA:</c:v>
                </c:pt>
                <c:pt idx="13">
                  <c:v>CY 25 TEV / EBITDA:</c:v>
                </c:pt>
                <c:pt idx="14">
                  <c:v>LTM TEV / EBITDA:</c:v>
                </c:pt>
                <c:pt idx="15">
                  <c:v>CY 26 TEV / Revenue:</c:v>
                </c:pt>
                <c:pt idx="16">
                  <c:v>CY 25 TEV / Revenue:</c:v>
                </c:pt>
                <c:pt idx="17">
                  <c:v>LTM TEV / Revenue:</c:v>
                </c:pt>
                <c:pt idx="19">
                  <c:v>Current Share Price</c:v>
                </c:pt>
              </c:strCache>
            </c:strRef>
          </c:cat>
          <c:val>
            <c:numRef>
              <c:f>Valgraph!$K$37:$K$54</c:f>
              <c:numCache>
                <c:formatCode>_("$"* #,##0.00_);_("$"* \(#,##0.00\);_("$"* "-"??_);_(@_)</c:formatCode>
                <c:ptCount val="18"/>
                <c:pt idx="0" formatCode="_(* #,##0.00_);_(* \(#,##0.00\);_(* &quot;-&quot;??_);_(@_)">
                  <c:v>49.546166243208191</c:v>
                </c:pt>
                <c:pt idx="2" formatCode="_(* #,##0.00_);_(* \(#,##0.00\);_(* &quot;-&quot;??_);_(@_)">
                  <c:v>23.548704094554665</c:v>
                </c:pt>
                <c:pt idx="3" formatCode="_(* #,##0.00_);_(* \(#,##0.00\);_(* &quot;-&quot;??_);_(@_)">
                  <c:v>21.374283524904214</c:v>
                </c:pt>
                <c:pt idx="4" formatCode="_(* #,##0.00_);_(* \(#,##0.00\);_(* &quot;-&quot;??_);_(@_)">
                  <c:v>21.851500195848022</c:v>
                </c:pt>
                <c:pt idx="5" formatCode="_(* #,##0.00_);_(* \(#,##0.00\);_(* &quot;-&quot;??_);_(@_)">
                  <c:v>18.491413139614362</c:v>
                </c:pt>
                <c:pt idx="6" formatCode="_(* #,##0.00_);_(* \(#,##0.00\);_(* &quot;-&quot;??_);_(@_)">
                  <c:v>17.053328947808282</c:v>
                </c:pt>
                <c:pt idx="7" formatCode="_(* #,##0.00_);_(* \(#,##0.00\);_(* &quot;-&quot;??_);_(@_)">
                  <c:v>0</c:v>
                </c:pt>
                <c:pt idx="8" formatCode="_(* #,##0.00_);_(* \(#,##0.00\);_(* &quot;-&quot;??_);_(@_)">
                  <c:v>0</c:v>
                </c:pt>
                <c:pt idx="9" formatCode="_(* #,##0.00_);_(* \(#,##0.00\);_(* &quot;-&quot;??_);_(@_)">
                  <c:v>3.4456522118954744</c:v>
                </c:pt>
                <c:pt idx="10" formatCode="_(* #,##0.00_);_(* \(#,##0.00\);_(* &quot;-&quot;??_);_(@_)">
                  <c:v>3.202935007990138</c:v>
                </c:pt>
                <c:pt idx="11" formatCode="_(* #,##0.00_);_(* \(#,##0.00\);_(* &quot;-&quot;??_);_(@_)">
                  <c:v>0.94088314599421607</c:v>
                </c:pt>
                <c:pt idx="12" formatCode="_(* #,##0.00_);_(* \(#,##0.00\);_(* &quot;-&quot;??_);_(@_)">
                  <c:v>4.1766334584989799</c:v>
                </c:pt>
                <c:pt idx="13" formatCode="_(* #,##0.00_);_(* \(#,##0.00\);_(* &quot;-&quot;??_);_(@_)">
                  <c:v>3.7695206309126505</c:v>
                </c:pt>
                <c:pt idx="14" formatCode="_(* #,##0.00_);_(* \(#,##0.00\);_(* &quot;-&quot;??_);_(@_)">
                  <c:v>7.7958744986603996</c:v>
                </c:pt>
                <c:pt idx="15" formatCode="_(* #,##0.00_);_(* \(#,##0.00\);_(* &quot;-&quot;??_);_(@_)">
                  <c:v>4.1786582411630997</c:v>
                </c:pt>
                <c:pt idx="16" formatCode="_(* #,##0.00_);_(* \(#,##0.00\);_(* &quot;-&quot;??_);_(@_)">
                  <c:v>3.855092097552526</c:v>
                </c:pt>
                <c:pt idx="17" formatCode="_(* #,##0.00_);_(* \(#,##0.00\);_(* &quot;-&quot;??_);_(@_)">
                  <c:v>4.8004762777991292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11-4386-B1FC-BF2EBBBF2CAC}"/>
            </c:ext>
          </c:extLst>
        </c:ser>
        <c:ser>
          <c:idx val="1"/>
          <c:order val="2"/>
          <c:tx>
            <c:strRef>
              <c:f>Valgraph!$L$34</c:f>
              <c:strCache>
                <c:ptCount val="1"/>
                <c:pt idx="0">
                  <c:v> 25th Point </c:v>
                </c:pt>
              </c:strCache>
            </c:strRef>
          </c:tx>
          <c:spPr>
            <a:solidFill>
              <a:schemeClr val="accent4">
                <a:shade val="7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Valgraph!$B$37:$B$56</c:f>
              <c:strCache>
                <c:ptCount val="20"/>
                <c:pt idx="0">
                  <c:v>Discounted Cash Flow Analysis:</c:v>
                </c:pt>
                <c:pt idx="2">
                  <c:v>1-Month Premiums: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2025-03-31 EV / EBITDA:</c:v>
                </c:pt>
                <c:pt idx="6">
                  <c:v>2025-03-31 EV / Revenue:</c:v>
                </c:pt>
                <c:pt idx="7">
                  <c:v>Precedent Transactions:</c:v>
                </c:pt>
                <c:pt idx="9">
                  <c:v>CY 26 P / E:</c:v>
                </c:pt>
                <c:pt idx="10">
                  <c:v>CY 25 P / E:</c:v>
                </c:pt>
                <c:pt idx="11">
                  <c:v>LTM P / E:</c:v>
                </c:pt>
                <c:pt idx="12">
                  <c:v>CY 26 TEV / EBITDA:</c:v>
                </c:pt>
                <c:pt idx="13">
                  <c:v>CY 25 TEV / EBITDA:</c:v>
                </c:pt>
                <c:pt idx="14">
                  <c:v>LTM TEV / EBITDA:</c:v>
                </c:pt>
                <c:pt idx="15">
                  <c:v>CY 26 TEV / Revenue:</c:v>
                </c:pt>
                <c:pt idx="16">
                  <c:v>CY 25 TEV / Revenue:</c:v>
                </c:pt>
                <c:pt idx="17">
                  <c:v>LTM TEV / Revenue:</c:v>
                </c:pt>
                <c:pt idx="19">
                  <c:v>Current Share Price</c:v>
                </c:pt>
              </c:strCache>
            </c:strRef>
          </c:cat>
          <c:val>
            <c:numRef>
              <c:f>Valgraph!$L$37:$L$54</c:f>
              <c:numCache>
                <c:formatCode>_("$"* #,##0.00_);_("$"* \(#,##0.00\);_("$"* "-"??_);_(@_)</c:formatCode>
                <c:ptCount val="18"/>
                <c:pt idx="0" formatCode="_(* #,##0.00_);_(* \(#,##0.00\);_(* &quot;-&quot;??_);_(@_)">
                  <c:v>5.66355106553155</c:v>
                </c:pt>
                <c:pt idx="2" formatCode="_(* #,##0.00_);_(* \(#,##0.00\);_(* &quot;-&quot;??_);_(@_)">
                  <c:v>2.5404258490621636</c:v>
                </c:pt>
                <c:pt idx="3" formatCode="_(* #,##0.00_);_(* \(#,##0.00\);_(* &quot;-&quot;??_);_(@_)">
                  <c:v>3.190729687445387</c:v>
                </c:pt>
                <c:pt idx="4" formatCode="_(* #,##0.00_);_(* \(#,##0.00\);_(* &quot;-&quot;??_);_(@_)">
                  <c:v>1.3180146915568898</c:v>
                </c:pt>
                <c:pt idx="5" formatCode="_(* #,##0.00_);_(* \(#,##0.00\);_(* &quot;-&quot;??_);_(@_)">
                  <c:v>0.42727036980564392</c:v>
                </c:pt>
                <c:pt idx="6" formatCode="_(* #,##0.00_);_(* \(#,##0.00\);_(* &quot;-&quot;??_);_(@_)">
                  <c:v>8.2755802492797557</c:v>
                </c:pt>
                <c:pt idx="7" formatCode="_(* #,##0.00_);_(* \(#,##0.00\);_(* &quot;-&quot;??_);_(@_)">
                  <c:v>0</c:v>
                </c:pt>
                <c:pt idx="8" formatCode="_(* #,##0.00_);_(* \(#,##0.00\);_(* &quot;-&quot;??_);_(@_)">
                  <c:v>0</c:v>
                </c:pt>
                <c:pt idx="9" formatCode="_(* #,##0.00_);_(* \(#,##0.00\);_(* &quot;-&quot;??_);_(@_)">
                  <c:v>18.878325192843612</c:v>
                </c:pt>
                <c:pt idx="10" formatCode="_(* #,##0.00_);_(* \(#,##0.00\);_(* &quot;-&quot;??_);_(@_)">
                  <c:v>18.137216116281937</c:v>
                </c:pt>
                <c:pt idx="11" formatCode="_(* #,##0.00_);_(* \(#,##0.00\);_(* &quot;-&quot;??_);_(@_)">
                  <c:v>5.7510631529152842</c:v>
                </c:pt>
                <c:pt idx="12" formatCode="_(* #,##0.00_);_(* \(#,##0.00\);_(* &quot;-&quot;??_);_(@_)">
                  <c:v>18.207692061050174</c:v>
                </c:pt>
                <c:pt idx="13" formatCode="_(* #,##0.00_);_(* \(#,##0.00\);_(* &quot;-&quot;??_);_(@_)">
                  <c:v>12.468003452463622</c:v>
                </c:pt>
                <c:pt idx="14" formatCode="_(* #,##0.00_);_(* \(#,##0.00\);_(* &quot;-&quot;??_);_(@_)">
                  <c:v>2.7992255574266949</c:v>
                </c:pt>
                <c:pt idx="15" formatCode="_(* #,##0.00_);_(* \(#,##0.00\);_(* &quot;-&quot;??_);_(@_)">
                  <c:v>3.9743584037344322</c:v>
                </c:pt>
                <c:pt idx="16" formatCode="_(* #,##0.00_);_(* \(#,##0.00\);_(* &quot;-&quot;??_);_(@_)">
                  <c:v>3.1089211717560383</c:v>
                </c:pt>
                <c:pt idx="17" formatCode="_(* #,##0.00_);_(* \(#,##0.00\);_(* &quot;-&quot;??_);_(@_)">
                  <c:v>3.3373788048290791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11-4386-B1FC-BF2EBBBF2CAC}"/>
            </c:ext>
          </c:extLst>
        </c:ser>
        <c:ser>
          <c:idx val="2"/>
          <c:order val="3"/>
          <c:tx>
            <c:strRef>
              <c:f>Valgraph!$M$34</c:f>
              <c:strCache>
                <c:ptCount val="1"/>
                <c:pt idx="0">
                  <c:v> Median Point </c:v>
                </c:pt>
              </c:strCache>
            </c:strRef>
          </c:tx>
          <c:spPr>
            <a:solidFill>
              <a:schemeClr val="accent4">
                <a:shade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Valgraph!$B$37:$B$56</c:f>
              <c:strCache>
                <c:ptCount val="20"/>
                <c:pt idx="0">
                  <c:v>Discounted Cash Flow Analysis:</c:v>
                </c:pt>
                <c:pt idx="2">
                  <c:v>1-Month Premiums: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2025-03-31 EV / EBITDA:</c:v>
                </c:pt>
                <c:pt idx="6">
                  <c:v>2025-03-31 EV / Revenue:</c:v>
                </c:pt>
                <c:pt idx="7">
                  <c:v>Precedent Transactions:</c:v>
                </c:pt>
                <c:pt idx="9">
                  <c:v>CY 26 P / E:</c:v>
                </c:pt>
                <c:pt idx="10">
                  <c:v>CY 25 P / E:</c:v>
                </c:pt>
                <c:pt idx="11">
                  <c:v>LTM P / E:</c:v>
                </c:pt>
                <c:pt idx="12">
                  <c:v>CY 26 TEV / EBITDA:</c:v>
                </c:pt>
                <c:pt idx="13">
                  <c:v>CY 25 TEV / EBITDA:</c:v>
                </c:pt>
                <c:pt idx="14">
                  <c:v>LTM TEV / EBITDA:</c:v>
                </c:pt>
                <c:pt idx="15">
                  <c:v>CY 26 TEV / Revenue:</c:v>
                </c:pt>
                <c:pt idx="16">
                  <c:v>CY 25 TEV / Revenue:</c:v>
                </c:pt>
                <c:pt idx="17">
                  <c:v>LTM TEV / Revenue:</c:v>
                </c:pt>
                <c:pt idx="19">
                  <c:v>Current Share Price</c:v>
                </c:pt>
              </c:strCache>
            </c:strRef>
          </c:cat>
          <c:val>
            <c:numRef>
              <c:f>Valgraph!$M$37:$M$54</c:f>
              <c:numCache>
                <c:formatCode>_("$"* #,##0.00_);_("$"* \(#,##0.00\);_("$"* "-"??_);_(@_)</c:formatCode>
                <c:ptCount val="18"/>
                <c:pt idx="0" formatCode="_(* #,##0.00_);_(* \(#,##0.00\);_(* &quot;-&quot;??_);_(@_)">
                  <c:v>6.9138951921125482</c:v>
                </c:pt>
                <c:pt idx="2" formatCode="_(* #,##0.00_);_(* \(#,##0.00\);_(* &quot;-&quot;??_);_(@_)">
                  <c:v>2.8073728589045928</c:v>
                </c:pt>
                <c:pt idx="3" formatCode="_(* #,##0.00_);_(* \(#,##0.00\);_(* &quot;-&quot;??_);_(@_)">
                  <c:v>2.2437505169746927</c:v>
                </c:pt>
                <c:pt idx="4" formatCode="_(* #,##0.00_);_(* \(#,##0.00\);_(* &quot;-&quot;??_);_(@_)">
                  <c:v>2.5405901407149898</c:v>
                </c:pt>
                <c:pt idx="5" formatCode="_(* #,##0.00_);_(* \(#,##0.00\);_(* &quot;-&quot;??_);_(@_)">
                  <c:v>5.0120047268842818</c:v>
                </c:pt>
                <c:pt idx="6" formatCode="_(* #,##0.00_);_(* \(#,##0.00\);_(* &quot;-&quot;??_);_(@_)">
                  <c:v>4.2232968555807311</c:v>
                </c:pt>
                <c:pt idx="7" formatCode="_(* #,##0.00_);_(* \(#,##0.00\);_(* &quot;-&quot;??_);_(@_)">
                  <c:v>0</c:v>
                </c:pt>
                <c:pt idx="8" formatCode="_(* #,##0.00_);_(* \(#,##0.00\);_(* &quot;-&quot;??_);_(@_)">
                  <c:v>0</c:v>
                </c:pt>
                <c:pt idx="9" formatCode="_(* #,##0.00_);_(* \(#,##0.00\);_(* &quot;-&quot;??_);_(@_)">
                  <c:v>3.5806413918402065</c:v>
                </c:pt>
                <c:pt idx="10" formatCode="_(* #,##0.00_);_(* \(#,##0.00\);_(* &quot;-&quot;??_);_(@_)">
                  <c:v>0.19927157719400412</c:v>
                </c:pt>
                <c:pt idx="11" formatCode="_(* #,##0.00_);_(* \(#,##0.00\);_(* &quot;-&quot;??_);_(@_)">
                  <c:v>3.4843130807655376</c:v>
                </c:pt>
                <c:pt idx="12" formatCode="_(* #,##0.00_);_(* \(#,##0.00\);_(* &quot;-&quot;??_);_(@_)">
                  <c:v>2.7164388820824286</c:v>
                </c:pt>
                <c:pt idx="13" formatCode="_(* #,##0.00_);_(* \(#,##0.00\);_(* &quot;-&quot;??_);_(@_)">
                  <c:v>3.3559971596272327</c:v>
                </c:pt>
                <c:pt idx="14" formatCode="_(* #,##0.00_);_(* \(#,##0.00\);_(* &quot;-&quot;??_);_(@_)">
                  <c:v>3.7462003343951782</c:v>
                </c:pt>
                <c:pt idx="15" formatCode="_(* #,##0.00_);_(* \(#,##0.00\);_(* &quot;-&quot;??_);_(@_)">
                  <c:v>4.8511024827565166</c:v>
                </c:pt>
                <c:pt idx="16" formatCode="_(* #,##0.00_);_(* \(#,##0.00\);_(* &quot;-&quot;??_);_(@_)">
                  <c:v>4.3305938163636881</c:v>
                </c:pt>
                <c:pt idx="17" formatCode="_(* #,##0.00_);_(* \(#,##0.00\);_(* &quot;-&quot;??_);_(@_)">
                  <c:v>3.9818962355788656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11-4386-B1FC-BF2EBBBF2CAC}"/>
            </c:ext>
          </c:extLst>
        </c:ser>
        <c:ser>
          <c:idx val="3"/>
          <c:order val="4"/>
          <c:tx>
            <c:strRef>
              <c:f>Valgraph!$N$34</c:f>
              <c:strCache>
                <c:ptCount val="1"/>
                <c:pt idx="0">
                  <c:v> 75th Point </c:v>
                </c:pt>
              </c:strCache>
            </c:strRef>
          </c:tx>
          <c:spPr>
            <a:solidFill>
              <a:schemeClr val="accent4">
                <a:tint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Valgraph!$B$37:$B$56</c:f>
              <c:strCache>
                <c:ptCount val="20"/>
                <c:pt idx="0">
                  <c:v>Discounted Cash Flow Analysis:</c:v>
                </c:pt>
                <c:pt idx="2">
                  <c:v>1-Month Premiums: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2025-03-31 EV / EBITDA:</c:v>
                </c:pt>
                <c:pt idx="6">
                  <c:v>2025-03-31 EV / Revenue:</c:v>
                </c:pt>
                <c:pt idx="7">
                  <c:v>Precedent Transactions:</c:v>
                </c:pt>
                <c:pt idx="9">
                  <c:v>CY 26 P / E:</c:v>
                </c:pt>
                <c:pt idx="10">
                  <c:v>CY 25 P / E:</c:v>
                </c:pt>
                <c:pt idx="11">
                  <c:v>LTM P / E:</c:v>
                </c:pt>
                <c:pt idx="12">
                  <c:v>CY 26 TEV / EBITDA:</c:v>
                </c:pt>
                <c:pt idx="13">
                  <c:v>CY 25 TEV / EBITDA:</c:v>
                </c:pt>
                <c:pt idx="14">
                  <c:v>LTM TEV / EBITDA:</c:v>
                </c:pt>
                <c:pt idx="15">
                  <c:v>CY 26 TEV / Revenue:</c:v>
                </c:pt>
                <c:pt idx="16">
                  <c:v>CY 25 TEV / Revenue:</c:v>
                </c:pt>
                <c:pt idx="17">
                  <c:v>LTM TEV / Revenue:</c:v>
                </c:pt>
                <c:pt idx="19">
                  <c:v>Current Share Price</c:v>
                </c:pt>
              </c:strCache>
            </c:strRef>
          </c:cat>
          <c:val>
            <c:numRef>
              <c:f>Valgraph!$N$37:$N$54</c:f>
              <c:numCache>
                <c:formatCode>_("$"* #,##0.00_);_("$"* \(#,##0.00\);_("$"* "-"??_);_(@_)</c:formatCode>
                <c:ptCount val="18"/>
                <c:pt idx="0" formatCode="_(* #,##0.00_);_(* \(#,##0.00\);_(* &quot;-&quot;??_);_(@_)">
                  <c:v>8.6250417207082393</c:v>
                </c:pt>
                <c:pt idx="2" formatCode="_(* #,##0.00_);_(* \(#,##0.00\);_(* &quot;-&quot;??_);_(@_)">
                  <c:v>1.1693437738314252</c:v>
                </c:pt>
                <c:pt idx="3" formatCode="_(* #,##0.00_);_(* \(#,##0.00\);_(* &quot;-&quot;??_);_(@_)">
                  <c:v>1.3006081594404293</c:v>
                </c:pt>
                <c:pt idx="4" formatCode="_(* #,##0.00_);_(* \(#,##0.00\);_(* &quot;-&quot;??_);_(@_)">
                  <c:v>0.74401892336446451</c:v>
                </c:pt>
                <c:pt idx="5" formatCode="_(* #,##0.00_);_(* \(#,##0.00\);_(* &quot;-&quot;??_);_(@_)">
                  <c:v>10.751336202980934</c:v>
                </c:pt>
                <c:pt idx="6" formatCode="_(* #,##0.00_);_(* \(#,##0.00\);_(* &quot;-&quot;??_);_(@_)">
                  <c:v>15.14145755819894</c:v>
                </c:pt>
                <c:pt idx="7" formatCode="_(* #,##0.00_);_(* \(#,##0.00\);_(* &quot;-&quot;??_);_(@_)">
                  <c:v>0</c:v>
                </c:pt>
                <c:pt idx="8" formatCode="_(* #,##0.00_);_(* \(#,##0.00\);_(* &quot;-&quot;??_);_(@_)">
                  <c:v>0</c:v>
                </c:pt>
                <c:pt idx="9" formatCode="_(* #,##0.00_);_(* \(#,##0.00\);_(* &quot;-&quot;??_);_(@_)">
                  <c:v>1.2856081129214552</c:v>
                </c:pt>
                <c:pt idx="10" formatCode="_(* #,##0.00_);_(* \(#,##0.00\);_(* &quot;-&quot;??_);_(@_)">
                  <c:v>0.45793454836343628</c:v>
                </c:pt>
                <c:pt idx="11" formatCode="_(* #,##0.00_);_(* \(#,##0.00\);_(* &quot;-&quot;??_);_(@_)">
                  <c:v>14.0807315198693</c:v>
                </c:pt>
                <c:pt idx="12" formatCode="_(* #,##0.00_);_(* \(#,##0.00\);_(* &quot;-&quot;??_);_(@_)">
                  <c:v>3.1854752903893093</c:v>
                </c:pt>
                <c:pt idx="13" formatCode="_(* #,##0.00_);_(* \(#,##0.00\);_(* &quot;-&quot;??_);_(@_)">
                  <c:v>3.4848229940296882</c:v>
                </c:pt>
                <c:pt idx="14" formatCode="_(* #,##0.00_);_(* \(#,##0.00\);_(* &quot;-&quot;??_);_(@_)">
                  <c:v>9.9428500569998963</c:v>
                </c:pt>
                <c:pt idx="15" formatCode="_(* #,##0.00_);_(* \(#,##0.00\);_(* &quot;-&quot;??_);_(@_)">
                  <c:v>5.9994811100833072</c:v>
                </c:pt>
                <c:pt idx="16" formatCode="_(* #,##0.00_);_(* \(#,##0.00\);_(* &quot;-&quot;??_);_(@_)">
                  <c:v>4.9264210047947987</c:v>
                </c:pt>
                <c:pt idx="17" formatCode="_(* #,##0.00_);_(* \(#,##0.00\);_(* &quot;-&quot;??_);_(@_)">
                  <c:v>6.3285674076398148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11-4386-B1FC-BF2EBBBF2CAC}"/>
            </c:ext>
          </c:extLst>
        </c:ser>
        <c:ser>
          <c:idx val="4"/>
          <c:order val="5"/>
          <c:tx>
            <c:strRef>
              <c:f>Valgraph!$O$34</c:f>
              <c:strCache>
                <c:ptCount val="1"/>
                <c:pt idx="0">
                  <c:v> Max Point 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Valgraph!$B$37:$B$56</c:f>
              <c:strCache>
                <c:ptCount val="20"/>
                <c:pt idx="0">
                  <c:v>Discounted Cash Flow Analysis:</c:v>
                </c:pt>
                <c:pt idx="2">
                  <c:v>1-Month Premiums: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2025-03-31 EV / EBITDA:</c:v>
                </c:pt>
                <c:pt idx="6">
                  <c:v>2025-03-31 EV / Revenue:</c:v>
                </c:pt>
                <c:pt idx="7">
                  <c:v>Precedent Transactions:</c:v>
                </c:pt>
                <c:pt idx="9">
                  <c:v>CY 26 P / E:</c:v>
                </c:pt>
                <c:pt idx="10">
                  <c:v>CY 25 P / E:</c:v>
                </c:pt>
                <c:pt idx="11">
                  <c:v>LTM P / E:</c:v>
                </c:pt>
                <c:pt idx="12">
                  <c:v>CY 26 TEV / EBITDA:</c:v>
                </c:pt>
                <c:pt idx="13">
                  <c:v>CY 25 TEV / EBITDA:</c:v>
                </c:pt>
                <c:pt idx="14">
                  <c:v>LTM TEV / EBITDA:</c:v>
                </c:pt>
                <c:pt idx="15">
                  <c:v>CY 26 TEV / Revenue:</c:v>
                </c:pt>
                <c:pt idx="16">
                  <c:v>CY 25 TEV / Revenue:</c:v>
                </c:pt>
                <c:pt idx="17">
                  <c:v>LTM TEV / Revenue:</c:v>
                </c:pt>
                <c:pt idx="19">
                  <c:v>Current Share Price</c:v>
                </c:pt>
              </c:strCache>
            </c:strRef>
          </c:cat>
          <c:val>
            <c:numRef>
              <c:f>Valgraph!$O$37:$O$54</c:f>
              <c:numCache>
                <c:formatCode>General</c:formatCode>
                <c:ptCount val="18"/>
                <c:pt idx="0" formatCode="_(* #,##0.00_);_(* \(#,##0.00\);_(* &quot;-&quot;??_);_(@_)">
                  <c:v>11.055036839756212</c:v>
                </c:pt>
                <c:pt idx="2" formatCode="_(* #,##0.00_);_(* \(#,##0.00\);_(* &quot;-&quot;??_);_(@_)">
                  <c:v>7.2740148071962665</c:v>
                </c:pt>
                <c:pt idx="3" formatCode="_(* #,##0.00_);_(* \(#,##0.00\);_(* &quot;-&quot;??_);_(@_)">
                  <c:v>1.4524792345399717</c:v>
                </c:pt>
                <c:pt idx="4" formatCode="_(* #,##0.00_);_(* \(#,##0.00\);_(* &quot;-&quot;??_);_(@_)">
                  <c:v>2.5589828512833286</c:v>
                </c:pt>
                <c:pt idx="5" formatCode="_(* #,##0.00_);_(* \(#,##0.00\);_(* &quot;-&quot;??_);_(@_)">
                  <c:v>27.835438318383147</c:v>
                </c:pt>
                <c:pt idx="6" formatCode="_(* #,##0.00_);_(* \(#,##0.00\);_(* &quot;-&quot;??_);_(@_)">
                  <c:v>12.823867175890122</c:v>
                </c:pt>
                <c:pt idx="7" formatCode="_(* #,##0.00_);_(* \(#,##0.00\);_(* &quot;-&quot;??_);_(@_)">
                  <c:v>0</c:v>
                </c:pt>
                <c:pt idx="8" formatCode="_(* #,##0.00_);_(* \(#,##0.00\);_(* &quot;-&quot;??_);_(@_)">
                  <c:v>0</c:v>
                </c:pt>
                <c:pt idx="9" formatCode="_(* #,##0.00_);_(* \(#,##0.00\);_(* &quot;-&quot;??_);_(@_)">
                  <c:v>24.770055206385326</c:v>
                </c:pt>
                <c:pt idx="10" formatCode="_(* #,##0.00_);_(* \(#,##0.00\);_(* &quot;-&quot;??_);_(@_)">
                  <c:v>33.953625769646422</c:v>
                </c:pt>
                <c:pt idx="11" formatCode="_(* #,##0.00_);_(* \(#,##0.00\);_(* &quot;-&quot;??_);_(@_)">
                  <c:v>5.5564255805642304</c:v>
                </c:pt>
                <c:pt idx="12" formatCode="_(* #,##0.00_);_(* \(#,##0.00\);_(* &quot;-&quot;??_);_(@_)">
                  <c:v>4.7885554807650976</c:v>
                </c:pt>
                <c:pt idx="13" formatCode="_(* #,##0.00_);_(* \(#,##0.00\);_(* &quot;-&quot;??_);_(@_)">
                  <c:v>7.3164008313645539</c:v>
                </c:pt>
                <c:pt idx="14" formatCode="_(* #,##0.00_);_(* \(#,##0.00\);_(* &quot;-&quot;??_);_(@_)">
                  <c:v>3.5843826594162103</c:v>
                </c:pt>
                <c:pt idx="15" formatCode="_(* #,##0.00_);_(* \(#,##0.00\);_(* &quot;-&quot;??_);_(@_)">
                  <c:v>8.8835416816928152</c:v>
                </c:pt>
                <c:pt idx="16" formatCode="_(* #,##0.00_);_(* \(#,##0.00\);_(* &quot;-&quot;??_);_(@_)">
                  <c:v>7.5619908167138057</c:v>
                </c:pt>
                <c:pt idx="17" formatCode="_(* #,##0.00_);_(* \(#,##0.00\);_(* &quot;-&quot;??_);_(@_)">
                  <c:v>4.7108032500657266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11-4386-B1FC-BF2EBBBF2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482640"/>
        <c:axId val="524475440"/>
      </c:barChart>
      <c:scatterChart>
        <c:scatterStyle val="smoothMarker"/>
        <c:varyColors val="0"/>
        <c:ser>
          <c:idx val="5"/>
          <c:order val="0"/>
          <c:tx>
            <c:strRef>
              <c:f>Valgraph!$B$56</c:f>
              <c:strCache>
                <c:ptCount val="1"/>
                <c:pt idx="0">
                  <c:v>Current Share Price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Valgraph!$E$56:$I$56</c:f>
              <c:numCache>
                <c:formatCode>_(* #,##0.00_);_(* \(#,##0.00\);_(* "-"??_);_(@_)</c:formatCode>
                <c:ptCount val="5"/>
                <c:pt idx="0">
                  <c:v>21.44</c:v>
                </c:pt>
                <c:pt idx="1">
                  <c:v>21.44</c:v>
                </c:pt>
                <c:pt idx="2">
                  <c:v>21.44</c:v>
                </c:pt>
                <c:pt idx="3">
                  <c:v>21.44</c:v>
                </c:pt>
                <c:pt idx="4">
                  <c:v>21.44</c:v>
                </c:pt>
              </c:numCache>
            </c:numRef>
          </c:xVal>
          <c:yVal>
            <c:numRef>
              <c:f>Valgraph!$K$56:$O$56</c:f>
              <c:numCache>
                <c:formatCode>_(* #,##0.00_);_(* \(#,##0.00\);_(* "-"??_);_(@_)</c:formatCode>
                <c:ptCount val="5"/>
                <c:pt idx="0">
                  <c:v>1000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A11-4386-B1FC-BF2EBBBF2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152544"/>
        <c:axId val="911986000"/>
      </c:scatterChart>
      <c:catAx>
        <c:axId val="524482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475440"/>
        <c:crosses val="autoZero"/>
        <c:auto val="1"/>
        <c:lblAlgn val="ctr"/>
        <c:lblOffset val="100"/>
        <c:noMultiLvlLbl val="0"/>
      </c:catAx>
      <c:valAx>
        <c:axId val="524475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482640"/>
        <c:crosses val="autoZero"/>
        <c:crossBetween val="between"/>
      </c:valAx>
      <c:valAx>
        <c:axId val="911986000"/>
        <c:scaling>
          <c:orientation val="minMax"/>
          <c:max val="1000"/>
          <c:min val="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580152544"/>
        <c:crosses val="max"/>
        <c:crossBetween val="midCat"/>
      </c:valAx>
      <c:valAx>
        <c:axId val="580152544"/>
        <c:scaling>
          <c:orientation val="minMax"/>
        </c:scaling>
        <c:delete val="1"/>
        <c:axPos val="b"/>
        <c:numFmt formatCode="_(* #,##0.00_);_(* \(#,##0.00\);_(* &quot;-&quot;??_);_(@_)" sourceLinked="1"/>
        <c:majorTickMark val="out"/>
        <c:minorTickMark val="none"/>
        <c:tickLblPos val="nextTo"/>
        <c:crossAx val="911986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1631949</xdr:colOff>
      <xdr:row>2</xdr:row>
      <xdr:rowOff>165100</xdr:rowOff>
    </xdr:from>
    <xdr:to>
      <xdr:col>2</xdr:col>
      <xdr:colOff>2258116</xdr:colOff>
      <xdr:row>9</xdr:row>
      <xdr:rowOff>196850</xdr:rowOff>
    </xdr:to>
    <xdr:pic>
      <xdr:nvPicPr>
        <xdr:cNvPr id="4" name="Picture 3" descr="ACM Research">
          <a:extLst>
            <a:ext uri="{FF2B5EF4-FFF2-40B4-BE49-F238E27FC236}">
              <a16:creationId xmlns:a16="http://schemas.microsoft.com/office/drawing/2014/main" id="{CE5F20FC-1BC8-7777-E454-A834FFE17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1549" y="584200"/>
          <a:ext cx="2315267" cy="145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72571</xdr:colOff>
      <xdr:row>0</xdr:row>
      <xdr:rowOff>74157</xdr:rowOff>
    </xdr:from>
    <xdr:to>
      <xdr:col>9</xdr:col>
      <xdr:colOff>56695</xdr:colOff>
      <xdr:row>32</xdr:row>
      <xdr:rowOff>79374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F28C3ED-793A-0ED8-D713-067C8C63F1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dk.com/en/index.html" TargetMode="External"/><Relationship Id="rId3" Type="http://schemas.openxmlformats.org/officeDocument/2006/relationships/hyperlink" Target="https://lynasrareearths.com/" TargetMode="External"/><Relationship Id="rId7" Type="http://schemas.openxmlformats.org/officeDocument/2006/relationships/hyperlink" Target="https://www.ametek.com/" TargetMode="External"/><Relationship Id="rId2" Type="http://schemas.openxmlformats.org/officeDocument/2006/relationships/hyperlink" Target="https://mpmaterials.com/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s://www.materion.com/" TargetMode="External"/><Relationship Id="rId5" Type="http://schemas.openxmlformats.org/officeDocument/2006/relationships/hyperlink" Target="https://alkane.com.au/" TargetMode="External"/><Relationship Id="rId10" Type="http://schemas.openxmlformats.org/officeDocument/2006/relationships/comments" Target="../comments3.xml"/><Relationship Id="rId4" Type="http://schemas.openxmlformats.org/officeDocument/2006/relationships/hyperlink" Target="https://www.reht.com/index" TargetMode="External"/><Relationship Id="rId9" Type="http://schemas.openxmlformats.org/officeDocument/2006/relationships/vmlDrawing" Target="../drawings/vmlDrawing3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301EC-65EA-44D5-86C4-276668E2894A}">
  <dimension ref="B2:F33"/>
  <sheetViews>
    <sheetView showGridLines="0" workbookViewId="0">
      <selection activeCell="D33" sqref="A1:XFD1048576"/>
    </sheetView>
  </sheetViews>
  <sheetFormatPr defaultRowHeight="14.5"/>
  <cols>
    <col min="2" max="2" width="24.1796875" customWidth="1"/>
    <col min="3" max="3" width="53" bestFit="1" customWidth="1"/>
    <col min="4" max="4" width="12.54296875" bestFit="1" customWidth="1"/>
  </cols>
  <sheetData>
    <row r="2" spans="2:6" ht="18.5">
      <c r="B2" s="159" t="e">
        <f>CompanyName&amp;" - Operating Model and Valuation - Cover Page and Navigation"</f>
        <v>#NAME?</v>
      </c>
      <c r="C2" s="500"/>
      <c r="D2" s="500"/>
      <c r="E2" s="500"/>
      <c r="F2" s="500"/>
    </row>
    <row r="3" spans="2:6" ht="16">
      <c r="B3" s="500"/>
      <c r="C3" s="500"/>
      <c r="D3" s="500"/>
      <c r="E3" s="500"/>
      <c r="F3" s="500"/>
    </row>
    <row r="4" spans="2:6" ht="16">
      <c r="B4" s="500"/>
      <c r="C4" s="500"/>
      <c r="D4" s="500"/>
      <c r="E4" s="500"/>
      <c r="F4" s="500"/>
    </row>
    <row r="5" spans="2:6" ht="16">
      <c r="B5" s="500"/>
      <c r="D5" s="500"/>
      <c r="E5" s="500"/>
      <c r="F5" s="500"/>
    </row>
    <row r="6" spans="2:6" ht="16">
      <c r="B6" s="500"/>
      <c r="C6" s="500"/>
      <c r="D6" s="500"/>
      <c r="E6" s="500"/>
      <c r="F6" s="500"/>
    </row>
    <row r="7" spans="2:6" ht="16">
      <c r="B7" s="500"/>
      <c r="C7" s="500"/>
      <c r="D7" s="500"/>
      <c r="E7" s="500"/>
      <c r="F7" s="500"/>
    </row>
    <row r="8" spans="2:6" ht="16">
      <c r="B8" s="500"/>
      <c r="D8" s="500"/>
      <c r="E8" s="500"/>
      <c r="F8" s="500"/>
    </row>
    <row r="9" spans="2:6" ht="16">
      <c r="B9" s="500"/>
      <c r="C9" s="275"/>
      <c r="D9" s="500"/>
      <c r="E9" s="500"/>
      <c r="F9" s="500"/>
    </row>
    <row r="10" spans="2:6" ht="16">
      <c r="B10" s="500"/>
      <c r="C10" s="500"/>
      <c r="D10" s="500"/>
      <c r="E10" s="500"/>
      <c r="F10" s="500"/>
    </row>
    <row r="11" spans="2:6" ht="16">
      <c r="B11" s="500"/>
      <c r="C11" s="500"/>
      <c r="D11" s="500"/>
      <c r="E11" s="500"/>
      <c r="F11" s="500"/>
    </row>
    <row r="12" spans="2:6" ht="16">
      <c r="B12" s="500"/>
      <c r="C12" s="500" t="s">
        <v>81</v>
      </c>
      <c r="D12" s="501" t="str">
        <f>Company_Name</f>
        <v>ACM Research, Inc.</v>
      </c>
      <c r="E12" s="500"/>
      <c r="F12" s="500"/>
    </row>
    <row r="13" spans="2:6" ht="16">
      <c r="B13" s="500"/>
      <c r="C13" s="500" t="s">
        <v>427</v>
      </c>
      <c r="D13" s="500" t="s">
        <v>428</v>
      </c>
      <c r="E13" s="500"/>
      <c r="F13" s="500"/>
    </row>
    <row r="14" spans="2:6" ht="16">
      <c r="B14" s="500"/>
      <c r="C14" s="500" t="s">
        <v>429</v>
      </c>
      <c r="D14" s="500" t="s">
        <v>430</v>
      </c>
      <c r="E14" s="500"/>
      <c r="F14" s="500"/>
    </row>
    <row r="15" spans="2:6" ht="16">
      <c r="B15" s="500"/>
      <c r="C15" s="500"/>
      <c r="D15" s="500"/>
      <c r="E15" s="500"/>
      <c r="F15" s="500"/>
    </row>
    <row r="16" spans="2:6" ht="16">
      <c r="B16" s="500"/>
      <c r="C16" s="500" t="s">
        <v>431</v>
      </c>
      <c r="D16" s="500" t="str">
        <f ca="1">MID(CELL("filename"),SEARCH("[",CELL("filename"))+1, SEARCH("]",CELL("filename"))-SEARCH("[",CELL("filename"))-1)</f>
        <v>ACMRMODEL.xlsx</v>
      </c>
      <c r="E16" s="500"/>
      <c r="F16" s="500"/>
    </row>
    <row r="17" spans="2:6" ht="16">
      <c r="B17" s="500"/>
      <c r="C17" s="500" t="s">
        <v>432</v>
      </c>
      <c r="D17" s="502">
        <f>Valuation_date</f>
        <v>45811</v>
      </c>
      <c r="E17" s="500"/>
      <c r="F17" s="500"/>
    </row>
    <row r="18" spans="2:6" ht="16">
      <c r="B18" s="500"/>
      <c r="C18" s="500"/>
      <c r="D18" s="500"/>
      <c r="E18" s="500"/>
      <c r="F18" s="500"/>
    </row>
    <row r="19" spans="2:6" ht="16">
      <c r="B19" s="500"/>
      <c r="C19" s="500" t="s">
        <v>433</v>
      </c>
      <c r="D19" s="503"/>
      <c r="E19" s="500"/>
      <c r="F19" s="500"/>
    </row>
    <row r="20" spans="2:6" ht="16">
      <c r="B20" s="500"/>
      <c r="C20" s="500" t="s">
        <v>434</v>
      </c>
      <c r="D20" s="504"/>
      <c r="E20" s="500"/>
      <c r="F20" s="500"/>
    </row>
    <row r="21" spans="2:6" ht="16">
      <c r="B21" s="500"/>
      <c r="C21" s="500" t="s">
        <v>435</v>
      </c>
      <c r="D21" s="505"/>
      <c r="E21" s="500"/>
      <c r="F21" s="500"/>
    </row>
    <row r="22" spans="2:6" ht="16">
      <c r="B22" s="500"/>
      <c r="C22" s="500"/>
      <c r="D22" s="500"/>
      <c r="E22" s="500"/>
      <c r="F22" s="500"/>
    </row>
    <row r="23" spans="2:6" ht="16">
      <c r="B23" s="506" t="s">
        <v>98</v>
      </c>
      <c r="C23" s="507" t="s">
        <v>436</v>
      </c>
      <c r="D23" s="507" t="s">
        <v>437</v>
      </c>
      <c r="E23" s="507"/>
      <c r="F23" s="507"/>
    </row>
    <row r="24" spans="2:6" ht="16">
      <c r="B24" s="508">
        <f ca="1">_xlfn.SHEET(INDIRECT(D24&amp;"!A1"))</f>
        <v>2</v>
      </c>
      <c r="C24" s="500" t="s">
        <v>438</v>
      </c>
      <c r="D24" s="509" t="s">
        <v>439</v>
      </c>
      <c r="E24" s="500"/>
      <c r="F24" s="500"/>
    </row>
    <row r="25" spans="2:6" ht="16">
      <c r="B25" s="508">
        <f ca="1">_xlfn.SHEET(INDIRECT(D25&amp;"!A1"))</f>
        <v>3</v>
      </c>
      <c r="C25" s="500" t="s">
        <v>440</v>
      </c>
      <c r="D25" s="509" t="s">
        <v>441</v>
      </c>
      <c r="E25" s="500"/>
      <c r="F25" s="500"/>
    </row>
    <row r="26" spans="2:6" ht="16">
      <c r="B26" s="508">
        <f ca="1">_xlfn.SHEET(INDIRECT(D26&amp;"!A1"))</f>
        <v>4</v>
      </c>
      <c r="C26" s="500" t="s">
        <v>442</v>
      </c>
      <c r="D26" s="509" t="s">
        <v>508</v>
      </c>
      <c r="E26" s="500"/>
      <c r="F26" s="500"/>
    </row>
    <row r="27" spans="2:6" ht="16">
      <c r="B27" s="508">
        <f t="shared" ref="B27:B33" ca="1" si="0">_xlfn.SHEET(INDIRECT(D27&amp;"!A1"))</f>
        <v>5</v>
      </c>
      <c r="C27" s="500" t="s">
        <v>443</v>
      </c>
      <c r="D27" s="509" t="s">
        <v>444</v>
      </c>
      <c r="E27" s="500"/>
      <c r="F27" s="500"/>
    </row>
    <row r="28" spans="2:6" ht="16">
      <c r="B28" s="508">
        <f t="shared" ca="1" si="0"/>
        <v>6</v>
      </c>
      <c r="C28" s="500" t="s">
        <v>445</v>
      </c>
      <c r="D28" s="509" t="s">
        <v>446</v>
      </c>
      <c r="E28" s="500"/>
      <c r="F28" s="500"/>
    </row>
    <row r="29" spans="2:6" ht="16">
      <c r="B29" s="508">
        <f t="shared" ca="1" si="0"/>
        <v>8</v>
      </c>
      <c r="C29" s="500" t="s">
        <v>447</v>
      </c>
      <c r="D29" s="509" t="s">
        <v>448</v>
      </c>
      <c r="E29" s="500"/>
      <c r="F29" s="500"/>
    </row>
    <row r="30" spans="2:6" ht="16">
      <c r="B30" s="508">
        <f t="shared" ca="1" si="0"/>
        <v>9</v>
      </c>
      <c r="C30" s="500" t="s">
        <v>449</v>
      </c>
      <c r="D30" s="509" t="s">
        <v>450</v>
      </c>
      <c r="E30" s="500"/>
      <c r="F30" s="500"/>
    </row>
    <row r="31" spans="2:6" ht="16">
      <c r="B31" s="508">
        <f t="shared" ca="1" si="0"/>
        <v>7</v>
      </c>
      <c r="C31" s="500" t="s">
        <v>451</v>
      </c>
      <c r="D31" s="509" t="s">
        <v>452</v>
      </c>
      <c r="E31" s="500"/>
      <c r="F31" s="500"/>
    </row>
    <row r="32" spans="2:6" ht="16">
      <c r="B32" s="508">
        <f t="shared" ca="1" si="0"/>
        <v>10</v>
      </c>
      <c r="C32" s="500" t="s">
        <v>453</v>
      </c>
      <c r="D32" s="509" t="s">
        <v>509</v>
      </c>
      <c r="E32" s="500"/>
      <c r="F32" s="500"/>
    </row>
    <row r="33" spans="2:6" ht="16">
      <c r="B33" s="508">
        <f t="shared" ca="1" si="0"/>
        <v>11</v>
      </c>
      <c r="C33" s="500" t="s">
        <v>454</v>
      </c>
      <c r="D33" s="509" t="s">
        <v>455</v>
      </c>
      <c r="E33" s="500"/>
      <c r="F33" s="500"/>
    </row>
  </sheetData>
  <hyperlinks>
    <hyperlink ref="D24" location="Summary!A1" display="Summary" xr:uid="{81575004-E386-448B-93D2-53273BAA4F37}"/>
    <hyperlink ref="D25" location="WMT_Model!A1" display="WMT_Model" xr:uid="{2C20C9AB-94AE-4A4B-B74B-8AA3D4919586}"/>
    <hyperlink ref="D27" location="DCF!A1" display="DCF" xr:uid="{A139F7A3-86B7-4B45-A284-24BD25F8E15F}"/>
    <hyperlink ref="D28" location="WACC!A1" display="WACC" xr:uid="{184C1041-8483-43FF-9BBF-754021899C36}"/>
    <hyperlink ref="D29" location="ValSum!A1" display="ValSum" xr:uid="{0C3FD9A3-8738-49F7-A472-6D9128BAB726}"/>
    <hyperlink ref="D30" location="ValGraph!A1" display="ValGraph" xr:uid="{1EFB81EF-99E8-4675-A314-1952546390BC}"/>
    <hyperlink ref="D31" location="Public_Comps!A1" display="Public_Comps" xr:uid="{65771B99-A79E-47B2-A93A-AE93B2F82990}"/>
    <hyperlink ref="D32" location="Public_Comps_Data!A1" display="Public_Comps_Data" xr:uid="{DB170D48-2477-4CA0-B96D-D1B031BFE844}"/>
    <hyperlink ref="D33" location="MA_Comps!A1" display="MA_Comps" xr:uid="{2785A0CE-9808-47E0-B972-41F066D75926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A7E5D-C786-496C-ABA0-6E2BF1E64E5B}">
  <dimension ref="B3:AQ104"/>
  <sheetViews>
    <sheetView showGridLines="0" zoomScale="64" workbookViewId="0">
      <pane xSplit="4" ySplit="4" topLeftCell="E102" activePane="bottomRight" state="frozen"/>
      <selection pane="topRight" activeCell="E1" sqref="E1"/>
      <selection pane="bottomLeft" activeCell="A5" sqref="A5"/>
      <selection pane="bottomRight" activeCell="C3" sqref="C3:C102"/>
    </sheetView>
  </sheetViews>
  <sheetFormatPr defaultRowHeight="14.5"/>
  <cols>
    <col min="3" max="3" width="24.81640625" customWidth="1"/>
    <col min="5" max="7" width="11.453125" bestFit="1" customWidth="1"/>
    <col min="8" max="8" width="12.7265625" bestFit="1" customWidth="1"/>
    <col min="9" max="11" width="13.7265625" bestFit="1" customWidth="1"/>
    <col min="12" max="12" width="11.453125" bestFit="1" customWidth="1"/>
    <col min="13" max="13" width="14.1796875" bestFit="1" customWidth="1"/>
    <col min="14" max="14" width="13.7265625" bestFit="1" customWidth="1"/>
    <col min="15" max="16" width="11.453125" bestFit="1" customWidth="1"/>
    <col min="17" max="17" width="13.453125" bestFit="1" customWidth="1"/>
    <col min="18" max="18" width="14.26953125" bestFit="1" customWidth="1"/>
    <col min="19" max="19" width="13.7265625" bestFit="1" customWidth="1"/>
    <col min="20" max="22" width="11.453125" bestFit="1" customWidth="1"/>
    <col min="23" max="23" width="18.453125" bestFit="1" customWidth="1"/>
    <col min="24" max="24" width="13.7265625" bestFit="1" customWidth="1"/>
    <col min="25" max="28" width="11.453125" bestFit="1" customWidth="1"/>
    <col min="30" max="33" width="11.453125" bestFit="1" customWidth="1"/>
    <col min="34" max="34" width="10.453125" bestFit="1" customWidth="1"/>
    <col min="35" max="35" width="12.6328125" customWidth="1"/>
    <col min="36" max="37" width="11" bestFit="1" customWidth="1"/>
    <col min="38" max="38" width="11.81640625" bestFit="1" customWidth="1"/>
    <col min="39" max="42" width="10.453125" customWidth="1"/>
  </cols>
  <sheetData>
    <row r="3" spans="2:43" ht="16">
      <c r="B3" s="191"/>
      <c r="C3" s="192" t="s">
        <v>84</v>
      </c>
      <c r="D3" s="193"/>
      <c r="E3" s="194"/>
      <c r="F3" s="194"/>
      <c r="G3" s="195"/>
      <c r="H3" s="196" t="str">
        <f>Ticker</f>
        <v>ACMR</v>
      </c>
      <c r="I3" s="197"/>
      <c r="J3" s="194"/>
      <c r="K3" s="194"/>
      <c r="L3" s="195"/>
      <c r="M3" s="196" t="s">
        <v>294</v>
      </c>
      <c r="N3" s="197"/>
      <c r="O3" s="194"/>
      <c r="P3" s="194"/>
      <c r="Q3" s="195"/>
      <c r="R3" s="196" t="s">
        <v>296</v>
      </c>
      <c r="S3" s="197"/>
      <c r="T3" s="194"/>
      <c r="U3" s="194"/>
      <c r="V3" s="195"/>
      <c r="W3" s="196" t="s">
        <v>298</v>
      </c>
      <c r="X3" s="197"/>
      <c r="Y3" s="194"/>
      <c r="Z3" s="194"/>
      <c r="AA3" s="195"/>
      <c r="AB3" s="196" t="s">
        <v>300</v>
      </c>
      <c r="AC3" s="197"/>
      <c r="AD3" s="194"/>
      <c r="AE3" s="194"/>
      <c r="AF3" s="195"/>
      <c r="AG3" s="196" t="s">
        <v>302</v>
      </c>
      <c r="AH3" s="198"/>
      <c r="AI3" s="194"/>
      <c r="AJ3" s="194"/>
      <c r="AK3" s="195"/>
      <c r="AL3" s="196" t="s">
        <v>304</v>
      </c>
      <c r="AM3" s="198"/>
      <c r="AN3" s="198"/>
      <c r="AO3" s="198"/>
      <c r="AP3" s="198"/>
      <c r="AQ3" t="s">
        <v>233</v>
      </c>
    </row>
    <row r="4" spans="2:43" ht="16">
      <c r="B4" s="191"/>
      <c r="C4" s="192" t="s">
        <v>81</v>
      </c>
      <c r="D4" s="193"/>
      <c r="E4" s="194"/>
      <c r="F4" s="194"/>
      <c r="G4" s="195"/>
      <c r="H4" s="199" t="str">
        <f>Company_Name</f>
        <v>ACM Research, Inc.</v>
      </c>
      <c r="I4" s="197"/>
      <c r="J4" s="194"/>
      <c r="K4" s="194"/>
      <c r="L4" s="195"/>
      <c r="M4" s="199" t="s">
        <v>295</v>
      </c>
      <c r="N4" s="197"/>
      <c r="O4" s="194"/>
      <c r="P4" s="194"/>
      <c r="Q4" s="195"/>
      <c r="R4" s="199" t="s">
        <v>297</v>
      </c>
      <c r="S4" s="197"/>
      <c r="T4" s="194"/>
      <c r="U4" s="194"/>
      <c r="V4" s="195"/>
      <c r="W4" s="199" t="s">
        <v>299</v>
      </c>
      <c r="X4" s="197"/>
      <c r="Y4" s="194"/>
      <c r="Z4" s="194"/>
      <c r="AA4" s="195"/>
      <c r="AB4" s="199" t="s">
        <v>301</v>
      </c>
      <c r="AC4" s="197"/>
      <c r="AD4" s="194"/>
      <c r="AE4" s="194"/>
      <c r="AF4" s="195"/>
      <c r="AG4" s="199" t="s">
        <v>303</v>
      </c>
      <c r="AH4" s="200"/>
      <c r="AI4" s="194"/>
      <c r="AJ4" s="194"/>
      <c r="AK4" s="195"/>
      <c r="AL4" s="199" t="s">
        <v>305</v>
      </c>
      <c r="AM4" s="200"/>
      <c r="AN4" s="200"/>
      <c r="AO4" s="200"/>
      <c r="AP4" s="200"/>
      <c r="AQ4" t="s">
        <v>234</v>
      </c>
    </row>
    <row r="5" spans="2:43" ht="16">
      <c r="B5" s="191"/>
      <c r="C5" s="193"/>
      <c r="D5" s="193"/>
      <c r="E5" s="201" t="s">
        <v>235</v>
      </c>
      <c r="F5" s="202"/>
      <c r="G5" s="202"/>
      <c r="H5" s="202"/>
      <c r="I5" s="197"/>
      <c r="J5" s="201" t="s">
        <v>235</v>
      </c>
      <c r="K5" s="202"/>
      <c r="L5" s="202"/>
      <c r="M5" s="202"/>
      <c r="N5" s="197"/>
      <c r="O5" s="201" t="s">
        <v>235</v>
      </c>
      <c r="P5" s="202"/>
      <c r="Q5" s="202"/>
      <c r="R5" s="202"/>
      <c r="S5" s="197"/>
      <c r="T5" s="201" t="s">
        <v>235</v>
      </c>
      <c r="U5" s="202"/>
      <c r="V5" s="202"/>
      <c r="W5" s="202"/>
      <c r="X5" s="197"/>
      <c r="Y5" s="201" t="s">
        <v>235</v>
      </c>
      <c r="Z5" s="202"/>
      <c r="AA5" s="202"/>
      <c r="AB5" s="202"/>
      <c r="AC5" s="197"/>
      <c r="AD5" s="776" t="s">
        <v>235</v>
      </c>
      <c r="AE5" s="777"/>
      <c r="AF5" s="777"/>
      <c r="AG5" s="777"/>
      <c r="AH5" s="203"/>
      <c r="AI5" s="776" t="s">
        <v>235</v>
      </c>
      <c r="AJ5" s="777"/>
      <c r="AK5" s="777"/>
      <c r="AL5" s="777"/>
      <c r="AM5" s="203"/>
      <c r="AN5" s="203"/>
      <c r="AO5" s="203"/>
      <c r="AP5" s="203"/>
      <c r="AQ5" t="s">
        <v>236</v>
      </c>
    </row>
    <row r="6" spans="2:43" ht="16">
      <c r="B6" s="191"/>
      <c r="C6" s="193"/>
      <c r="D6" s="193"/>
      <c r="E6" s="204">
        <v>45382</v>
      </c>
      <c r="F6" s="204">
        <v>45747</v>
      </c>
      <c r="G6" s="204">
        <f>Hist_Year</f>
        <v>45657</v>
      </c>
      <c r="H6" s="204">
        <v>45747</v>
      </c>
      <c r="I6" s="197"/>
      <c r="J6" s="204">
        <v>45380</v>
      </c>
      <c r="K6" s="204">
        <v>45746</v>
      </c>
      <c r="L6" s="204">
        <v>45654</v>
      </c>
      <c r="M6" s="204">
        <f>+K6</f>
        <v>45746</v>
      </c>
      <c r="N6" s="197"/>
      <c r="O6" s="204">
        <v>45382</v>
      </c>
      <c r="P6" s="204">
        <v>45747</v>
      </c>
      <c r="Q6" s="204">
        <f>Hist_Year</f>
        <v>45657</v>
      </c>
      <c r="R6" s="204">
        <v>45747</v>
      </c>
      <c r="S6" s="197"/>
      <c r="T6" s="204">
        <v>45381</v>
      </c>
      <c r="U6" s="204">
        <v>45745</v>
      </c>
      <c r="V6" s="204">
        <v>45654</v>
      </c>
      <c r="W6" s="204">
        <v>45745</v>
      </c>
      <c r="X6" s="197"/>
      <c r="Y6" s="204">
        <v>45382</v>
      </c>
      <c r="Z6" s="204">
        <v>45747</v>
      </c>
      <c r="AA6" s="204">
        <f>Hist_Year</f>
        <v>45657</v>
      </c>
      <c r="AB6" s="204">
        <v>45747</v>
      </c>
      <c r="AC6" s="197"/>
      <c r="AD6" s="204">
        <v>45382</v>
      </c>
      <c r="AE6" s="204">
        <v>45747</v>
      </c>
      <c r="AF6" s="204">
        <f>Hist_Year</f>
        <v>45657</v>
      </c>
      <c r="AG6" s="204">
        <v>45747</v>
      </c>
      <c r="AH6" s="205"/>
      <c r="AI6" s="204">
        <v>45382</v>
      </c>
      <c r="AJ6" s="204">
        <v>45747</v>
      </c>
      <c r="AK6" s="204">
        <f>Hist_Year</f>
        <v>45657</v>
      </c>
      <c r="AL6" s="204">
        <v>45747</v>
      </c>
      <c r="AM6" s="205"/>
      <c r="AN6" s="205"/>
      <c r="AO6" s="205"/>
      <c r="AP6" s="205"/>
    </row>
    <row r="7" spans="2:43" ht="16">
      <c r="B7" s="191"/>
      <c r="C7" s="193"/>
      <c r="D7" s="193"/>
      <c r="E7" s="206" t="s">
        <v>237</v>
      </c>
      <c r="F7" s="206" t="s">
        <v>238</v>
      </c>
      <c r="G7" s="206" t="s">
        <v>239</v>
      </c>
      <c r="H7" s="206" t="s">
        <v>240</v>
      </c>
      <c r="I7" s="197"/>
      <c r="J7" s="207" t="s">
        <v>237</v>
      </c>
      <c r="K7" s="207" t="s">
        <v>238</v>
      </c>
      <c r="L7" s="207" t="s">
        <v>239</v>
      </c>
      <c r="M7" s="207" t="s">
        <v>240</v>
      </c>
      <c r="N7" s="197"/>
      <c r="O7" s="207" t="s">
        <v>237</v>
      </c>
      <c r="P7" s="207" t="s">
        <v>238</v>
      </c>
      <c r="Q7" s="207" t="s">
        <v>239</v>
      </c>
      <c r="R7" s="207" t="s">
        <v>240</v>
      </c>
      <c r="S7" s="197"/>
      <c r="T7" s="207" t="s">
        <v>237</v>
      </c>
      <c r="U7" s="207" t="s">
        <v>238</v>
      </c>
      <c r="V7" s="207" t="s">
        <v>239</v>
      </c>
      <c r="W7" s="207" t="s">
        <v>240</v>
      </c>
      <c r="X7" s="197"/>
      <c r="Y7" s="207" t="s">
        <v>237</v>
      </c>
      <c r="Z7" s="207" t="s">
        <v>238</v>
      </c>
      <c r="AA7" s="207" t="s">
        <v>239</v>
      </c>
      <c r="AB7" s="207" t="s">
        <v>240</v>
      </c>
      <c r="AC7" s="197"/>
      <c r="AD7" s="207" t="s">
        <v>237</v>
      </c>
      <c r="AE7" s="207" t="s">
        <v>238</v>
      </c>
      <c r="AF7" s="207" t="s">
        <v>239</v>
      </c>
      <c r="AG7" s="207" t="s">
        <v>240</v>
      </c>
      <c r="AH7" s="207"/>
      <c r="AI7" s="207" t="s">
        <v>237</v>
      </c>
      <c r="AJ7" s="207" t="s">
        <v>238</v>
      </c>
      <c r="AK7" s="207" t="s">
        <v>239</v>
      </c>
      <c r="AL7" s="207" t="s">
        <v>240</v>
      </c>
      <c r="AM7" s="207"/>
      <c r="AN7" s="207"/>
      <c r="AO7" s="207"/>
      <c r="AP7" s="207"/>
    </row>
    <row r="8" spans="2:43" ht="16">
      <c r="B8" s="191"/>
      <c r="C8" s="192" t="s">
        <v>241</v>
      </c>
      <c r="D8" s="193"/>
      <c r="E8" s="208">
        <v>152.19</v>
      </c>
      <c r="F8" s="208">
        <v>172.35</v>
      </c>
      <c r="G8" s="209">
        <v>782.12</v>
      </c>
      <c r="H8" s="210">
        <f>G8+F8-E8</f>
        <v>802.28</v>
      </c>
      <c r="I8" s="197"/>
      <c r="J8" s="208">
        <v>228.85</v>
      </c>
      <c r="K8" s="208">
        <v>266.61</v>
      </c>
      <c r="L8" s="208">
        <v>987.32</v>
      </c>
      <c r="M8" s="210">
        <f>L8+K8-J8</f>
        <v>1025.0800000000002</v>
      </c>
      <c r="N8" s="197"/>
      <c r="O8" s="208">
        <v>252.37</v>
      </c>
      <c r="P8" s="208">
        <v>192.56</v>
      </c>
      <c r="Q8" s="208">
        <v>1017.87</v>
      </c>
      <c r="R8" s="211">
        <f t="shared" ref="R8:R13" si="0">+Q8+P8-O8</f>
        <v>958.06000000000006</v>
      </c>
      <c r="S8" s="197"/>
      <c r="T8" s="208">
        <v>168.73</v>
      </c>
      <c r="U8" s="208">
        <v>171.36</v>
      </c>
      <c r="V8" s="208">
        <v>763.6</v>
      </c>
      <c r="W8" s="211">
        <f t="shared" ref="W8:W13" si="1">+V8+U8-T8</f>
        <v>766.23</v>
      </c>
      <c r="X8" s="197"/>
      <c r="Y8" s="208">
        <v>477.7</v>
      </c>
      <c r="Z8" s="208">
        <v>518.6</v>
      </c>
      <c r="AA8" s="208">
        <v>2097.6</v>
      </c>
      <c r="AB8" s="211">
        <f t="shared" ref="AB8" si="2">+AA8+Z8-Y8</f>
        <v>2138.5</v>
      </c>
      <c r="AC8" s="197"/>
      <c r="AD8" s="208">
        <v>174.48</v>
      </c>
      <c r="AE8" s="208">
        <v>167.29</v>
      </c>
      <c r="AF8" s="208">
        <v>717.3</v>
      </c>
      <c r="AG8" s="211">
        <f t="shared" ref="AG8" si="3">+AF8+AE8-AD8</f>
        <v>710.1099999999999</v>
      </c>
      <c r="AH8" s="211"/>
      <c r="AI8" s="208">
        <v>771</v>
      </c>
      <c r="AJ8" s="208">
        <v>773.2</v>
      </c>
      <c r="AK8" s="208">
        <v>3241.21</v>
      </c>
      <c r="AL8" s="211">
        <f t="shared" ref="AL8" si="4">+AK8+AJ8-AI8</f>
        <v>3243.41</v>
      </c>
      <c r="AM8" s="211"/>
      <c r="AN8" s="211"/>
      <c r="AO8" s="211"/>
      <c r="AP8" s="211"/>
    </row>
    <row r="9" spans="2:43" ht="16">
      <c r="B9" s="191"/>
      <c r="C9" s="212" t="s">
        <v>242</v>
      </c>
      <c r="D9" s="213"/>
      <c r="E9" s="208">
        <v>17.43</v>
      </c>
      <c r="F9" s="208">
        <v>20.38</v>
      </c>
      <c r="G9" s="209">
        <v>103.63</v>
      </c>
      <c r="H9" s="211">
        <f>G9+F9-E9</f>
        <v>106.57999999999998</v>
      </c>
      <c r="I9" s="197"/>
      <c r="J9" s="208">
        <v>46.85</v>
      </c>
      <c r="K9" s="208">
        <v>64.099999999999994</v>
      </c>
      <c r="L9" s="208">
        <v>201.67</v>
      </c>
      <c r="M9" s="211">
        <f>L9+K9-J9</f>
        <v>218.92</v>
      </c>
      <c r="N9" s="197"/>
      <c r="O9" s="208">
        <v>51.6</v>
      </c>
      <c r="P9" s="208">
        <v>28.58</v>
      </c>
      <c r="Q9" s="208">
        <v>200.99</v>
      </c>
      <c r="R9" s="214">
        <f>+Q9+P9-O9</f>
        <v>177.97</v>
      </c>
      <c r="S9" s="197"/>
      <c r="T9" s="208">
        <v>21.78</v>
      </c>
      <c r="U9" s="208">
        <v>6.4</v>
      </c>
      <c r="V9" s="208">
        <v>69.61</v>
      </c>
      <c r="W9" s="214">
        <f>+V9+U9-T9</f>
        <v>54.230000000000004</v>
      </c>
      <c r="X9" s="197"/>
      <c r="Y9" s="208">
        <v>-9.4</v>
      </c>
      <c r="Z9" s="208">
        <v>-5</v>
      </c>
      <c r="AA9" s="208">
        <v>23.7</v>
      </c>
      <c r="AB9" s="214">
        <f>+AA9-Z9+Y9</f>
        <v>19.299999999999997</v>
      </c>
      <c r="AC9" s="197"/>
      <c r="AD9" s="208">
        <v>21.85</v>
      </c>
      <c r="AE9" s="208">
        <v>11.95</v>
      </c>
      <c r="AF9" s="208">
        <v>73.709999999999994</v>
      </c>
      <c r="AG9" s="214">
        <f>+AF9+AE9+AD9</f>
        <v>107.50999999999999</v>
      </c>
      <c r="AH9" s="214"/>
      <c r="AI9" s="208">
        <v>45.3</v>
      </c>
      <c r="AJ9" s="208">
        <v>62.9</v>
      </c>
      <c r="AK9" s="208">
        <v>292.79000000000002</v>
      </c>
      <c r="AL9" s="214">
        <v>7177</v>
      </c>
      <c r="AM9" s="214"/>
      <c r="AN9" s="214"/>
      <c r="AO9" s="214"/>
      <c r="AP9" s="214"/>
    </row>
    <row r="10" spans="2:43" ht="16">
      <c r="B10" s="191"/>
      <c r="C10" s="193"/>
      <c r="D10" s="193"/>
      <c r="E10" s="215"/>
      <c r="F10" s="215"/>
      <c r="G10" s="216"/>
      <c r="H10" s="217"/>
      <c r="I10" s="197"/>
      <c r="J10" s="218"/>
      <c r="K10" s="218"/>
      <c r="L10" s="218"/>
      <c r="M10" s="217"/>
      <c r="N10" s="197"/>
      <c r="O10" s="218"/>
      <c r="P10" s="218"/>
      <c r="Q10" s="218"/>
      <c r="R10" s="218"/>
      <c r="S10" s="197"/>
      <c r="T10" s="218"/>
      <c r="U10" s="218"/>
      <c r="V10" s="218"/>
      <c r="W10" s="218"/>
      <c r="X10" s="197"/>
      <c r="Y10" s="218"/>
      <c r="Z10" s="218"/>
      <c r="AA10" s="218"/>
      <c r="AB10" s="218"/>
      <c r="AC10" s="197"/>
      <c r="AD10" s="218"/>
      <c r="AE10" s="218"/>
      <c r="AF10" s="208"/>
      <c r="AG10" s="218"/>
      <c r="AH10" s="218"/>
      <c r="AI10" s="218"/>
      <c r="AJ10" s="218"/>
      <c r="AK10" s="208"/>
      <c r="AL10" s="218"/>
      <c r="AM10" s="218"/>
      <c r="AN10" s="218"/>
      <c r="AO10" s="218"/>
      <c r="AP10" s="218"/>
    </row>
    <row r="11" spans="2:43" ht="16">
      <c r="B11" s="191"/>
      <c r="C11" s="192" t="s">
        <v>243</v>
      </c>
      <c r="D11" s="193"/>
      <c r="E11" s="208">
        <v>25.23</v>
      </c>
      <c r="F11" s="208">
        <v>25.78</v>
      </c>
      <c r="G11" s="209">
        <v>151</v>
      </c>
      <c r="H11" s="211">
        <f t="shared" ref="H11:H13" si="5">G11+F11-E11</f>
        <v>151.55000000000001</v>
      </c>
      <c r="I11" s="197"/>
      <c r="J11" s="208">
        <v>43.53</v>
      </c>
      <c r="K11" s="208">
        <v>66.77</v>
      </c>
      <c r="L11" s="208">
        <v>187.1</v>
      </c>
      <c r="M11" s="211">
        <f>L11+K11-J11</f>
        <v>210.34</v>
      </c>
      <c r="N11" s="197"/>
      <c r="O11" s="208">
        <v>56.54</v>
      </c>
      <c r="P11" s="208">
        <v>29.16</v>
      </c>
      <c r="Q11" s="208">
        <v>210.79</v>
      </c>
      <c r="R11" s="214">
        <f t="shared" si="0"/>
        <v>183.41</v>
      </c>
      <c r="S11" s="197"/>
      <c r="T11" s="208">
        <v>1.03</v>
      </c>
      <c r="U11" s="208">
        <v>3.27</v>
      </c>
      <c r="V11" s="208">
        <v>44.2</v>
      </c>
      <c r="W11" s="214">
        <f t="shared" si="1"/>
        <v>46.440000000000005</v>
      </c>
      <c r="X11" s="197"/>
      <c r="Y11" s="208">
        <v>17.3</v>
      </c>
      <c r="Z11" s="208">
        <v>12.9</v>
      </c>
      <c r="AA11" s="208">
        <v>92.2</v>
      </c>
      <c r="AB11" s="214">
        <f t="shared" ref="AB11:AB12" si="6">+AA11+Z11-Y11</f>
        <v>87.800000000000011</v>
      </c>
      <c r="AC11" s="197"/>
      <c r="AD11" s="208">
        <v>22.05</v>
      </c>
      <c r="AE11" s="208">
        <v>14.15</v>
      </c>
      <c r="AF11" s="208">
        <v>73.91</v>
      </c>
      <c r="AG11" s="214">
        <f>+AF11+AE11+AD11</f>
        <v>110.11</v>
      </c>
      <c r="AH11" s="214"/>
      <c r="AI11" s="208">
        <v>132.69999999999999</v>
      </c>
      <c r="AJ11" s="208">
        <v>124.7</v>
      </c>
      <c r="AK11" s="208">
        <v>550.26</v>
      </c>
      <c r="AL11" s="214">
        <f t="shared" ref="AL11:AL12" si="7">+AK11+AJ11-AI11</f>
        <v>542.26</v>
      </c>
      <c r="AM11" s="214"/>
      <c r="AN11" s="214"/>
      <c r="AO11" s="214"/>
      <c r="AP11" s="214"/>
    </row>
    <row r="12" spans="2:43" ht="16">
      <c r="B12" s="191"/>
      <c r="C12" s="219" t="s">
        <v>244</v>
      </c>
      <c r="D12" s="213"/>
      <c r="E12" s="208"/>
      <c r="F12" s="208"/>
      <c r="G12" s="209">
        <v>0</v>
      </c>
      <c r="H12" s="211">
        <f t="shared" si="5"/>
        <v>0</v>
      </c>
      <c r="I12" s="197"/>
      <c r="J12" s="208">
        <v>0</v>
      </c>
      <c r="K12" s="208">
        <v>0</v>
      </c>
      <c r="L12" s="208">
        <v>0</v>
      </c>
      <c r="M12" s="211"/>
      <c r="N12" s="197"/>
      <c r="O12" s="208"/>
      <c r="P12" s="208"/>
      <c r="Q12" s="208">
        <v>0</v>
      </c>
      <c r="R12" s="214">
        <f t="shared" si="0"/>
        <v>0</v>
      </c>
      <c r="S12" s="197"/>
      <c r="T12" s="208"/>
      <c r="U12" s="208"/>
      <c r="V12" s="208">
        <v>0</v>
      </c>
      <c r="W12" s="214">
        <f t="shared" si="1"/>
        <v>0</v>
      </c>
      <c r="X12" s="197"/>
      <c r="Y12" s="208"/>
      <c r="Z12" s="208"/>
      <c r="AA12" s="208">
        <v>0</v>
      </c>
      <c r="AB12" s="214">
        <f t="shared" si="6"/>
        <v>0</v>
      </c>
      <c r="AC12" s="197"/>
      <c r="AD12" s="208"/>
      <c r="AE12" s="208"/>
      <c r="AF12" s="208">
        <v>0</v>
      </c>
      <c r="AG12" s="214">
        <f t="shared" ref="AG12:AG13" si="8">+AF12+AE12-AD12</f>
        <v>0</v>
      </c>
      <c r="AH12" s="214"/>
      <c r="AI12" s="208"/>
      <c r="AJ12" s="208"/>
      <c r="AK12" s="208">
        <v>0</v>
      </c>
      <c r="AL12" s="214">
        <f t="shared" si="7"/>
        <v>0</v>
      </c>
      <c r="AM12" s="214"/>
      <c r="AN12" s="214"/>
      <c r="AO12" s="214"/>
      <c r="AP12" s="214"/>
    </row>
    <row r="13" spans="2:43" ht="16">
      <c r="B13" s="191"/>
      <c r="C13" s="219" t="s">
        <v>245</v>
      </c>
      <c r="D13" s="213"/>
      <c r="E13" s="208">
        <v>2.52</v>
      </c>
      <c r="F13" s="208">
        <v>3.02</v>
      </c>
      <c r="G13" s="209">
        <v>9.9700000000000006</v>
      </c>
      <c r="H13" s="220">
        <f t="shared" si="5"/>
        <v>10.47</v>
      </c>
      <c r="I13" s="136"/>
      <c r="J13" s="208">
        <v>16.5</v>
      </c>
      <c r="K13" s="208">
        <v>12.84</v>
      </c>
      <c r="L13" s="208">
        <v>62.31</v>
      </c>
      <c r="M13" s="220">
        <f>L13+K13-J13</f>
        <v>58.650000000000006</v>
      </c>
      <c r="N13" s="197"/>
      <c r="O13" s="208">
        <v>3.78</v>
      </c>
      <c r="P13" s="208">
        <v>4.3099999999999996</v>
      </c>
      <c r="Q13" s="208">
        <v>9.01</v>
      </c>
      <c r="R13" s="221">
        <f t="shared" si="0"/>
        <v>9.5400000000000009</v>
      </c>
      <c r="S13" s="197"/>
      <c r="T13" s="208">
        <v>7.83</v>
      </c>
      <c r="U13" s="208">
        <v>8.83</v>
      </c>
      <c r="V13" s="208">
        <v>32.9</v>
      </c>
      <c r="W13" s="221">
        <f t="shared" si="1"/>
        <v>33.9</v>
      </c>
      <c r="X13" s="197"/>
      <c r="Y13" s="208">
        <v>-1.3</v>
      </c>
      <c r="Z13" s="208">
        <v>0</v>
      </c>
      <c r="AA13" s="208">
        <v>25.4</v>
      </c>
      <c r="AB13" s="221">
        <f>+AA13-Z13+Y13</f>
        <v>24.099999999999998</v>
      </c>
      <c r="AC13" s="197"/>
      <c r="AD13" s="208">
        <v>6.41</v>
      </c>
      <c r="AE13" s="208">
        <v>5.04</v>
      </c>
      <c r="AF13" s="208">
        <v>25.14</v>
      </c>
      <c r="AG13" s="221">
        <f t="shared" si="8"/>
        <v>23.77</v>
      </c>
      <c r="AH13" s="214"/>
      <c r="AI13" s="208">
        <v>-11.6</v>
      </c>
      <c r="AJ13" s="208">
        <v>0</v>
      </c>
      <c r="AK13" s="208">
        <v>5.69</v>
      </c>
      <c r="AL13" s="221">
        <f>+AK13+AJ13+AI13</f>
        <v>-5.9099999999999993</v>
      </c>
      <c r="AM13" s="214"/>
      <c r="AN13" s="214"/>
      <c r="AO13" s="214"/>
      <c r="AP13" s="214"/>
    </row>
    <row r="14" spans="2:43" ht="16">
      <c r="B14" s="191"/>
      <c r="C14" s="222" t="s">
        <v>246</v>
      </c>
      <c r="D14" s="223"/>
      <c r="E14" s="224"/>
      <c r="F14" s="224"/>
      <c r="G14" s="224"/>
      <c r="H14" s="225">
        <f>SUM(H11:H13)</f>
        <v>162.02000000000001</v>
      </c>
      <c r="I14" s="136"/>
      <c r="J14" s="224"/>
      <c r="K14" s="224"/>
      <c r="L14" s="224"/>
      <c r="M14" s="225">
        <f>SUM(M11:M13)</f>
        <v>268.99</v>
      </c>
      <c r="N14" s="197"/>
      <c r="O14" s="224"/>
      <c r="P14" s="224"/>
      <c r="Q14" s="224"/>
      <c r="R14" s="225">
        <f>SUM(R11:R13)</f>
        <v>192.95</v>
      </c>
      <c r="S14" s="197"/>
      <c r="T14" s="224"/>
      <c r="U14" s="224"/>
      <c r="V14" s="224"/>
      <c r="W14" s="225">
        <f>SUM(W11:W13)</f>
        <v>80.34</v>
      </c>
      <c r="X14" s="197"/>
      <c r="Y14" s="224"/>
      <c r="Z14" s="224"/>
      <c r="AA14" s="224"/>
      <c r="AB14" s="225">
        <f>SUM(AB11:AB13)</f>
        <v>111.9</v>
      </c>
      <c r="AC14" s="197"/>
      <c r="AD14" s="224"/>
      <c r="AE14" s="224"/>
      <c r="AF14" s="224"/>
      <c r="AG14" s="225">
        <f>SUM(AG11:AG13)</f>
        <v>133.88</v>
      </c>
      <c r="AH14" s="225"/>
      <c r="AI14" s="224"/>
      <c r="AJ14" s="224"/>
      <c r="AK14" s="224"/>
      <c r="AL14" s="225">
        <f>SUM(AL11:AL13)</f>
        <v>536.35</v>
      </c>
      <c r="AM14" s="225"/>
      <c r="AN14" s="225"/>
      <c r="AO14" s="225"/>
      <c r="AP14" s="225"/>
    </row>
    <row r="15" spans="2:43" ht="16">
      <c r="B15" s="191"/>
      <c r="C15" s="226"/>
      <c r="D15" s="213"/>
      <c r="E15" s="227"/>
      <c r="F15" s="227"/>
      <c r="G15" s="227"/>
      <c r="H15" s="227"/>
      <c r="I15" s="197"/>
      <c r="J15" s="227"/>
      <c r="K15" s="227"/>
      <c r="L15" s="227"/>
      <c r="M15" s="227"/>
      <c r="N15" s="197"/>
      <c r="O15" s="227"/>
      <c r="P15" s="227"/>
      <c r="Q15" s="227"/>
      <c r="R15" s="227"/>
      <c r="S15" s="197"/>
      <c r="T15" s="227"/>
      <c r="U15" s="227"/>
      <c r="V15" s="227"/>
      <c r="W15" s="227"/>
      <c r="X15" s="197"/>
      <c r="Y15" s="227"/>
      <c r="Z15" s="227"/>
      <c r="AA15" s="227"/>
      <c r="AB15" s="227"/>
      <c r="AC15" s="19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</row>
    <row r="16" spans="2:43" ht="16">
      <c r="B16" s="191"/>
      <c r="C16" s="192" t="s">
        <v>92</v>
      </c>
      <c r="D16" s="193"/>
      <c r="E16" s="228"/>
      <c r="F16" s="228"/>
      <c r="G16" s="228"/>
      <c r="H16" s="229">
        <f>Tax_Rate</f>
        <v>0.20887976144737941</v>
      </c>
      <c r="I16" s="197"/>
      <c r="J16" s="228"/>
      <c r="K16" s="228"/>
      <c r="L16" s="228"/>
      <c r="M16" s="229">
        <v>8.5000000000000006E-2</v>
      </c>
      <c r="N16" s="230"/>
      <c r="O16" s="228"/>
      <c r="P16" s="228"/>
      <c r="Q16" s="228"/>
      <c r="R16" s="229">
        <v>0.129</v>
      </c>
      <c r="S16" s="197"/>
      <c r="T16" s="228"/>
      <c r="U16" s="228"/>
      <c r="V16" s="228"/>
      <c r="W16" s="229">
        <v>0.123</v>
      </c>
      <c r="X16" s="197"/>
      <c r="Y16" s="228"/>
      <c r="Z16" s="228"/>
      <c r="AA16" s="228"/>
      <c r="AB16" s="229">
        <v>0.48699999999999999</v>
      </c>
      <c r="AC16" s="197"/>
      <c r="AD16" s="228"/>
      <c r="AE16" s="228"/>
      <c r="AF16" s="228"/>
      <c r="AG16" s="229">
        <v>0.13</v>
      </c>
      <c r="AH16" s="229"/>
      <c r="AI16" s="228"/>
      <c r="AJ16" s="228"/>
      <c r="AK16" s="228"/>
      <c r="AL16" s="229">
        <v>8.5999999999999993E-2</v>
      </c>
      <c r="AM16" s="229"/>
      <c r="AN16" s="229"/>
      <c r="AO16" s="229"/>
      <c r="AP16" s="229"/>
    </row>
    <row r="17" spans="2:42" ht="16">
      <c r="B17" s="191"/>
      <c r="C17" s="193"/>
      <c r="D17" s="193"/>
      <c r="E17" s="193"/>
      <c r="F17" s="193"/>
      <c r="G17" s="231"/>
      <c r="H17" s="228"/>
      <c r="I17" s="197"/>
      <c r="J17" s="193"/>
      <c r="K17" s="193"/>
      <c r="L17" s="231"/>
      <c r="M17" s="228"/>
      <c r="N17" s="197"/>
      <c r="O17" s="193"/>
      <c r="P17" s="193"/>
      <c r="Q17" s="231"/>
      <c r="R17" s="228"/>
      <c r="S17" s="197"/>
      <c r="T17" s="193"/>
      <c r="U17" s="193"/>
      <c r="V17" s="231"/>
      <c r="W17" s="228"/>
      <c r="X17" s="197"/>
      <c r="Y17" s="193"/>
      <c r="Z17" s="193"/>
      <c r="AA17" s="231"/>
      <c r="AB17" s="228"/>
      <c r="AC17" s="197"/>
      <c r="AD17" s="193"/>
      <c r="AE17" s="193"/>
      <c r="AF17" s="231"/>
      <c r="AG17" s="228"/>
      <c r="AH17" s="228"/>
      <c r="AI17" s="193"/>
      <c r="AJ17" s="193"/>
      <c r="AK17" s="231"/>
      <c r="AL17" s="228"/>
      <c r="AM17" s="228"/>
      <c r="AN17" s="228"/>
      <c r="AO17" s="228"/>
      <c r="AP17" s="228"/>
    </row>
    <row r="18" spans="2:42" ht="16">
      <c r="B18" s="191"/>
      <c r="C18" s="213"/>
      <c r="D18" s="213"/>
      <c r="E18" s="232" t="s">
        <v>247</v>
      </c>
      <c r="F18" s="233"/>
      <c r="G18" s="233"/>
      <c r="H18" s="233"/>
      <c r="I18" s="197"/>
      <c r="J18" s="232" t="s">
        <v>247</v>
      </c>
      <c r="K18" s="233"/>
      <c r="L18" s="233"/>
      <c r="M18" s="233"/>
      <c r="N18" s="197"/>
      <c r="O18" s="232" t="s">
        <v>247</v>
      </c>
      <c r="P18" s="233"/>
      <c r="Q18" s="233"/>
      <c r="R18" s="233"/>
      <c r="S18" s="197"/>
      <c r="T18" s="232" t="s">
        <v>247</v>
      </c>
      <c r="U18" s="233"/>
      <c r="V18" s="233"/>
      <c r="W18" s="233"/>
      <c r="X18" s="197"/>
      <c r="Y18" s="232" t="s">
        <v>247</v>
      </c>
      <c r="Z18" s="233"/>
      <c r="AA18" s="233"/>
      <c r="AB18" s="233"/>
      <c r="AC18" s="197"/>
      <c r="AD18" s="232" t="s">
        <v>247</v>
      </c>
      <c r="AE18" s="233"/>
      <c r="AF18" s="233"/>
      <c r="AG18" s="233"/>
      <c r="AH18" s="234"/>
      <c r="AI18" s="232" t="s">
        <v>247</v>
      </c>
      <c r="AJ18" s="233"/>
      <c r="AK18" s="233"/>
      <c r="AL18" s="233"/>
      <c r="AM18" s="234"/>
      <c r="AN18" s="234"/>
      <c r="AO18" s="234"/>
      <c r="AP18" s="234"/>
    </row>
    <row r="19" spans="2:42" ht="16">
      <c r="B19" s="191"/>
      <c r="C19" s="212" t="s">
        <v>248</v>
      </c>
      <c r="D19" s="226"/>
      <c r="E19" s="235"/>
      <c r="F19" s="236"/>
      <c r="G19" s="236"/>
      <c r="H19" s="237">
        <f>-Model!K109/Units</f>
        <v>-411.31</v>
      </c>
      <c r="I19" s="197"/>
      <c r="J19" s="235"/>
      <c r="K19" s="236"/>
      <c r="L19" s="236"/>
      <c r="M19" s="237">
        <v>-850.6</v>
      </c>
      <c r="N19" s="197"/>
      <c r="O19" s="235"/>
      <c r="P19" s="236"/>
      <c r="Q19" s="236"/>
      <c r="R19" s="237">
        <v>-587.1</v>
      </c>
      <c r="S19" s="197"/>
      <c r="T19" s="235"/>
      <c r="U19" s="236"/>
      <c r="V19" s="236"/>
      <c r="W19" s="237">
        <v>-299</v>
      </c>
      <c r="X19" s="197"/>
      <c r="Y19" s="235"/>
      <c r="Z19" s="236"/>
      <c r="AA19" s="236"/>
      <c r="AB19" s="237">
        <v>-317.60000000000002</v>
      </c>
      <c r="AC19" s="197"/>
      <c r="AD19" s="235"/>
      <c r="AE19" s="236"/>
      <c r="AF19" s="236"/>
      <c r="AG19" s="237">
        <v>-353.3</v>
      </c>
      <c r="AH19" s="237"/>
      <c r="AI19" s="235"/>
      <c r="AJ19" s="236"/>
      <c r="AK19" s="236"/>
      <c r="AL19" s="237">
        <v>-345.6</v>
      </c>
      <c r="AM19" s="237"/>
      <c r="AN19" s="237"/>
      <c r="AO19" s="237"/>
      <c r="AP19" s="237"/>
    </row>
    <row r="20" spans="2:42" ht="16">
      <c r="B20" s="191"/>
      <c r="C20" s="212" t="s">
        <v>249</v>
      </c>
      <c r="D20" s="226"/>
      <c r="E20" s="235"/>
      <c r="F20" s="236"/>
      <c r="G20" s="236"/>
      <c r="H20" s="209">
        <f>-Model!K118/Units</f>
        <v>-50.338000000000001</v>
      </c>
      <c r="I20" s="197"/>
      <c r="J20" s="235"/>
      <c r="K20" s="236"/>
      <c r="L20" s="236"/>
      <c r="M20" s="209">
        <v>0</v>
      </c>
      <c r="N20" s="197"/>
      <c r="O20" s="235"/>
      <c r="P20" s="236"/>
      <c r="Q20" s="236"/>
      <c r="R20" s="209">
        <v>0</v>
      </c>
      <c r="S20" s="197"/>
      <c r="T20" s="235"/>
      <c r="U20" s="236"/>
      <c r="V20" s="236"/>
      <c r="W20" s="209">
        <v>0</v>
      </c>
      <c r="X20" s="197"/>
      <c r="Y20" s="235"/>
      <c r="Z20" s="236"/>
      <c r="AA20" s="236"/>
      <c r="AB20" s="209">
        <v>0</v>
      </c>
      <c r="AC20" s="197"/>
      <c r="AD20" s="235"/>
      <c r="AE20" s="236"/>
      <c r="AF20" s="236"/>
      <c r="AG20" s="209">
        <v>0</v>
      </c>
      <c r="AH20" s="209"/>
      <c r="AI20" s="235"/>
      <c r="AJ20" s="236"/>
      <c r="AK20" s="236"/>
      <c r="AL20" s="209">
        <v>0</v>
      </c>
      <c r="AM20" s="209"/>
      <c r="AN20" s="209"/>
      <c r="AO20" s="209"/>
      <c r="AP20" s="209"/>
    </row>
    <row r="21" spans="2:42" ht="16">
      <c r="B21" s="191"/>
      <c r="C21" s="212" t="s">
        <v>250</v>
      </c>
      <c r="D21" s="226"/>
      <c r="E21" s="235"/>
      <c r="F21" s="236"/>
      <c r="G21" s="236"/>
      <c r="H21" s="209">
        <v>0</v>
      </c>
      <c r="I21" s="197"/>
      <c r="J21" s="235"/>
      <c r="K21" s="236"/>
      <c r="L21" s="236"/>
      <c r="M21" s="209">
        <v>0</v>
      </c>
      <c r="N21" s="197"/>
      <c r="O21" s="235"/>
      <c r="P21" s="236"/>
      <c r="Q21" s="236"/>
      <c r="R21" s="209">
        <v>0</v>
      </c>
      <c r="S21" s="197"/>
      <c r="T21" s="235"/>
      <c r="U21" s="236"/>
      <c r="V21" s="236"/>
      <c r="W21" s="209">
        <v>0</v>
      </c>
      <c r="X21" s="197"/>
      <c r="Y21" s="235"/>
      <c r="Z21" s="236"/>
      <c r="AA21" s="236"/>
      <c r="AB21" s="209">
        <v>0</v>
      </c>
      <c r="AC21" s="197"/>
      <c r="AD21" s="235"/>
      <c r="AE21" s="236"/>
      <c r="AF21" s="236"/>
      <c r="AG21" s="209">
        <v>0</v>
      </c>
      <c r="AH21" s="209"/>
      <c r="AI21" s="235"/>
      <c r="AJ21" s="236"/>
      <c r="AK21" s="236"/>
      <c r="AL21" s="209">
        <v>0</v>
      </c>
      <c r="AM21" s="209"/>
      <c r="AN21" s="209"/>
      <c r="AO21" s="209"/>
      <c r="AP21" s="209"/>
    </row>
    <row r="22" spans="2:42" ht="16">
      <c r="B22" s="191"/>
      <c r="C22" s="212" t="s">
        <v>140</v>
      </c>
      <c r="D22" s="226"/>
      <c r="E22" s="235"/>
      <c r="F22" s="236"/>
      <c r="G22" s="236"/>
      <c r="H22" s="209">
        <v>0</v>
      </c>
      <c r="I22" s="197"/>
      <c r="J22" s="235"/>
      <c r="K22" s="236"/>
      <c r="L22" s="236"/>
      <c r="M22" s="209">
        <v>0</v>
      </c>
      <c r="N22" s="197"/>
      <c r="O22" s="235"/>
      <c r="P22" s="236"/>
      <c r="Q22" s="236"/>
      <c r="R22" s="209">
        <v>0</v>
      </c>
      <c r="S22" s="197"/>
      <c r="T22" s="235"/>
      <c r="U22" s="236"/>
      <c r="V22" s="236"/>
      <c r="W22" s="209">
        <v>0</v>
      </c>
      <c r="X22" s="197"/>
      <c r="Y22" s="235"/>
      <c r="Z22" s="236"/>
      <c r="AA22" s="236"/>
      <c r="AB22" s="209">
        <v>0</v>
      </c>
      <c r="AC22" s="197"/>
      <c r="AD22" s="235"/>
      <c r="AE22" s="236"/>
      <c r="AF22" s="236"/>
      <c r="AG22" s="209">
        <v>0</v>
      </c>
      <c r="AH22" s="209"/>
      <c r="AI22" s="235"/>
      <c r="AJ22" s="236"/>
      <c r="AK22" s="236"/>
      <c r="AL22" s="209">
        <v>0</v>
      </c>
      <c r="AM22" s="209"/>
      <c r="AN22" s="209"/>
      <c r="AO22" s="209"/>
      <c r="AP22" s="209"/>
    </row>
    <row r="23" spans="2:42" ht="16">
      <c r="B23" s="191"/>
      <c r="C23" s="212" t="s">
        <v>251</v>
      </c>
      <c r="D23" s="226"/>
      <c r="E23" s="235"/>
      <c r="F23" s="236"/>
      <c r="G23" s="236"/>
      <c r="H23" s="209">
        <f>Model!K131/Units</f>
        <v>105.52500000000001</v>
      </c>
      <c r="I23" s="197"/>
      <c r="J23" s="235"/>
      <c r="K23" s="236"/>
      <c r="L23" s="236"/>
      <c r="M23" s="209">
        <v>14.6</v>
      </c>
      <c r="N23" s="197"/>
      <c r="O23" s="235"/>
      <c r="P23" s="236"/>
      <c r="Q23" s="236"/>
      <c r="R23" s="209">
        <v>-72.400000000000006</v>
      </c>
      <c r="S23" s="197"/>
      <c r="T23" s="235"/>
      <c r="U23" s="236"/>
      <c r="V23" s="236"/>
      <c r="W23" s="209">
        <v>37.5</v>
      </c>
      <c r="X23" s="197"/>
      <c r="Y23" s="235"/>
      <c r="Z23" s="236"/>
      <c r="AA23" s="236"/>
      <c r="AB23" s="209">
        <v>646.4</v>
      </c>
      <c r="AC23" s="197"/>
      <c r="AD23" s="235"/>
      <c r="AE23" s="236"/>
      <c r="AF23" s="236"/>
      <c r="AG23" s="209">
        <v>287.5</v>
      </c>
      <c r="AH23" s="209"/>
      <c r="AI23" s="235"/>
      <c r="AJ23" s="236"/>
      <c r="AK23" s="236"/>
      <c r="AL23" s="209">
        <v>4055.2</v>
      </c>
      <c r="AM23" s="209"/>
      <c r="AN23" s="209"/>
      <c r="AO23" s="209"/>
      <c r="AP23" s="209"/>
    </row>
    <row r="24" spans="2:42" ht="16">
      <c r="B24" s="191"/>
      <c r="C24" s="212" t="s">
        <v>144</v>
      </c>
      <c r="D24" s="226"/>
      <c r="E24" s="235"/>
      <c r="F24" s="236"/>
      <c r="G24" s="236"/>
      <c r="H24" s="209">
        <v>0</v>
      </c>
      <c r="I24" s="197"/>
      <c r="J24" s="235"/>
      <c r="K24" s="236"/>
      <c r="L24" s="236"/>
      <c r="M24" s="209">
        <v>0</v>
      </c>
      <c r="N24" s="197"/>
      <c r="O24" s="235"/>
      <c r="P24" s="236"/>
      <c r="Q24" s="236"/>
      <c r="R24" s="209">
        <v>0</v>
      </c>
      <c r="S24" s="197"/>
      <c r="T24" s="235"/>
      <c r="U24" s="236"/>
      <c r="V24" s="236"/>
      <c r="W24" s="209">
        <v>0</v>
      </c>
      <c r="X24" s="197"/>
      <c r="Y24" s="235"/>
      <c r="Z24" s="236"/>
      <c r="AA24" s="236"/>
      <c r="AB24" s="209">
        <v>0</v>
      </c>
      <c r="AC24" s="197"/>
      <c r="AD24" s="235"/>
      <c r="AE24" s="236"/>
      <c r="AF24" s="236"/>
      <c r="AG24" s="209">
        <v>0</v>
      </c>
      <c r="AH24" s="209"/>
      <c r="AI24" s="235"/>
      <c r="AJ24" s="236"/>
      <c r="AK24" s="236"/>
      <c r="AL24" s="209">
        <v>0</v>
      </c>
      <c r="AM24" s="209"/>
      <c r="AN24" s="209"/>
      <c r="AO24" s="209"/>
      <c r="AP24" s="209"/>
    </row>
    <row r="25" spans="2:42" ht="16">
      <c r="B25" s="191"/>
      <c r="C25" s="212" t="s">
        <v>147</v>
      </c>
      <c r="D25" s="226"/>
      <c r="E25" s="235"/>
      <c r="F25" s="236"/>
      <c r="G25" s="236"/>
      <c r="H25" s="209">
        <f>Model!K146/Units</f>
        <v>191.28100000000001</v>
      </c>
      <c r="I25" s="238"/>
      <c r="J25" s="235"/>
      <c r="K25" s="236"/>
      <c r="L25" s="236"/>
      <c r="M25" s="209">
        <v>0</v>
      </c>
      <c r="N25" s="197"/>
      <c r="O25" s="235"/>
      <c r="P25" s="236"/>
      <c r="Q25" s="236"/>
      <c r="R25" s="209">
        <v>0</v>
      </c>
      <c r="S25" s="197"/>
      <c r="T25" s="235"/>
      <c r="U25" s="236"/>
      <c r="V25" s="236"/>
      <c r="W25" s="209">
        <v>0</v>
      </c>
      <c r="X25" s="197"/>
      <c r="Y25" s="235"/>
      <c r="Z25" s="236"/>
      <c r="AA25" s="236"/>
      <c r="AB25" s="209">
        <v>64.8</v>
      </c>
      <c r="AC25" s="197"/>
      <c r="AD25" s="235"/>
      <c r="AE25" s="236"/>
      <c r="AF25" s="236"/>
      <c r="AG25" s="209">
        <v>0</v>
      </c>
      <c r="AH25" s="209"/>
      <c r="AI25" s="235"/>
      <c r="AJ25" s="236"/>
      <c r="AK25" s="236"/>
      <c r="AL25" s="209">
        <v>0</v>
      </c>
      <c r="AM25" s="209"/>
      <c r="AN25" s="209"/>
      <c r="AO25" s="209"/>
      <c r="AP25" s="209"/>
    </row>
    <row r="26" spans="2:42" ht="16">
      <c r="B26" s="191"/>
      <c r="C26" s="212" t="s">
        <v>252</v>
      </c>
      <c r="D26" s="226"/>
      <c r="E26" s="235"/>
      <c r="F26" s="236"/>
      <c r="G26" s="236"/>
      <c r="H26" s="209">
        <v>0</v>
      </c>
      <c r="I26" s="197"/>
      <c r="J26" s="235"/>
      <c r="K26" s="236"/>
      <c r="L26" s="236"/>
      <c r="M26" s="209">
        <v>0</v>
      </c>
      <c r="N26" s="197"/>
      <c r="O26" s="235"/>
      <c r="P26" s="236"/>
      <c r="Q26" s="236"/>
      <c r="R26" s="209">
        <v>0</v>
      </c>
      <c r="S26" s="197"/>
      <c r="T26" s="235"/>
      <c r="U26" s="236"/>
      <c r="V26" s="236"/>
      <c r="W26" s="209">
        <v>0</v>
      </c>
      <c r="X26" s="197"/>
      <c r="Y26" s="235"/>
      <c r="Z26" s="236"/>
      <c r="AA26" s="236"/>
      <c r="AB26" s="209">
        <v>0</v>
      </c>
      <c r="AC26" s="197"/>
      <c r="AD26" s="235"/>
      <c r="AE26" s="236"/>
      <c r="AF26" s="236"/>
      <c r="AG26" s="209">
        <v>0</v>
      </c>
      <c r="AH26" s="209"/>
      <c r="AI26" s="235"/>
      <c r="AJ26" s="236"/>
      <c r="AK26" s="236"/>
      <c r="AL26" s="209">
        <v>0</v>
      </c>
      <c r="AM26" s="209"/>
      <c r="AN26" s="209"/>
      <c r="AO26" s="209"/>
      <c r="AP26" s="209"/>
    </row>
    <row r="27" spans="2:42" ht="16">
      <c r="B27" s="191"/>
      <c r="C27" s="212" t="s">
        <v>253</v>
      </c>
      <c r="D27" s="226"/>
      <c r="E27" s="235"/>
      <c r="F27" s="236"/>
      <c r="G27" s="236"/>
      <c r="H27" s="209">
        <v>0</v>
      </c>
      <c r="I27" s="197"/>
      <c r="J27" s="235"/>
      <c r="K27" s="236"/>
      <c r="L27" s="236"/>
      <c r="M27" s="209">
        <v>0</v>
      </c>
      <c r="N27" s="197"/>
      <c r="O27" s="235"/>
      <c r="P27" s="236"/>
      <c r="Q27" s="236"/>
      <c r="R27" s="209">
        <v>0</v>
      </c>
      <c r="S27" s="197"/>
      <c r="T27" s="235"/>
      <c r="U27" s="236"/>
      <c r="V27" s="236"/>
      <c r="W27" s="209"/>
      <c r="X27" s="197"/>
      <c r="Y27" s="235"/>
      <c r="Z27" s="236"/>
      <c r="AA27" s="236"/>
      <c r="AB27" s="209">
        <v>0</v>
      </c>
      <c r="AC27" s="197"/>
      <c r="AD27" s="235"/>
      <c r="AE27" s="236"/>
      <c r="AF27" s="236"/>
      <c r="AG27" s="209"/>
      <c r="AH27" s="209"/>
      <c r="AI27" s="235"/>
      <c r="AJ27" s="236"/>
      <c r="AK27" s="236"/>
      <c r="AL27" s="209"/>
      <c r="AM27" s="209"/>
      <c r="AN27" s="209"/>
      <c r="AO27" s="209"/>
      <c r="AP27" s="209"/>
    </row>
    <row r="28" spans="2:42" ht="16">
      <c r="B28" s="191"/>
      <c r="C28" s="193"/>
      <c r="D28" s="193"/>
      <c r="E28" s="193"/>
      <c r="F28" s="193"/>
      <c r="G28" s="193"/>
      <c r="H28" s="193"/>
      <c r="I28" s="197"/>
      <c r="J28" s="193"/>
      <c r="K28" s="193"/>
      <c r="L28" s="193"/>
      <c r="M28" s="193"/>
      <c r="N28" s="197"/>
      <c r="O28" s="193"/>
      <c r="P28" s="193"/>
      <c r="Q28" s="193"/>
      <c r="R28" s="193"/>
      <c r="S28" s="197"/>
      <c r="T28" s="193"/>
      <c r="U28" s="193"/>
      <c r="V28" s="193"/>
      <c r="W28" s="193"/>
      <c r="X28" s="197"/>
      <c r="Y28" s="193"/>
      <c r="Z28" s="193"/>
      <c r="AA28" s="193"/>
      <c r="AB28" s="193"/>
      <c r="AC28" s="197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</row>
    <row r="29" spans="2:42" ht="16">
      <c r="B29" s="191"/>
      <c r="C29" s="193"/>
      <c r="D29" s="193"/>
      <c r="E29" s="232" t="s">
        <v>254</v>
      </c>
      <c r="F29" s="239"/>
      <c r="G29" s="239"/>
      <c r="H29" s="240"/>
      <c r="I29" s="197"/>
      <c r="J29" s="232" t="s">
        <v>254</v>
      </c>
      <c r="K29" s="239"/>
      <c r="L29" s="239"/>
      <c r="M29" s="240"/>
      <c r="N29" s="197"/>
      <c r="O29" s="232" t="s">
        <v>254</v>
      </c>
      <c r="P29" s="239"/>
      <c r="Q29" s="239"/>
      <c r="R29" s="240"/>
      <c r="S29" s="197"/>
      <c r="T29" s="232" t="s">
        <v>254</v>
      </c>
      <c r="U29" s="239"/>
      <c r="V29" s="239"/>
      <c r="W29" s="240"/>
      <c r="X29" s="197"/>
      <c r="Y29" s="232" t="s">
        <v>254</v>
      </c>
      <c r="Z29" s="239"/>
      <c r="AA29" s="239"/>
      <c r="AB29" s="240"/>
      <c r="AC29" s="197"/>
      <c r="AD29" s="232" t="s">
        <v>254</v>
      </c>
      <c r="AE29" s="239"/>
      <c r="AF29" s="239"/>
      <c r="AG29" s="240"/>
      <c r="AH29" s="236"/>
      <c r="AI29" s="232" t="s">
        <v>254</v>
      </c>
      <c r="AJ29" s="239"/>
      <c r="AK29" s="239"/>
      <c r="AL29" s="240"/>
      <c r="AM29" s="236"/>
      <c r="AN29" s="236"/>
      <c r="AO29" s="236"/>
      <c r="AP29" s="236"/>
    </row>
    <row r="30" spans="2:42" ht="16">
      <c r="B30" s="191"/>
      <c r="C30" s="193"/>
      <c r="D30" s="193"/>
      <c r="E30" s="204">
        <f>Forward_Year_1</f>
        <v>46022</v>
      </c>
      <c r="F30" s="204">
        <f>Forward_Year_2</f>
        <v>46387</v>
      </c>
      <c r="G30" s="204">
        <f>Forward_Year_3</f>
        <v>46752</v>
      </c>
      <c r="H30" s="241"/>
      <c r="I30" s="197"/>
      <c r="J30" s="204">
        <f>Forward_Year_1</f>
        <v>46022</v>
      </c>
      <c r="K30" s="204">
        <f>Forward_Year_2</f>
        <v>46387</v>
      </c>
      <c r="L30" s="204">
        <f>Forward_Year_3</f>
        <v>46752</v>
      </c>
      <c r="M30" s="241"/>
      <c r="N30" s="197"/>
      <c r="O30" s="204">
        <f>Forward_Year_1</f>
        <v>46022</v>
      </c>
      <c r="P30" s="204">
        <f>Forward_Year_2</f>
        <v>46387</v>
      </c>
      <c r="Q30" s="204">
        <f>Forward_Year_3</f>
        <v>46752</v>
      </c>
      <c r="R30" s="241"/>
      <c r="S30" s="197"/>
      <c r="T30" s="204">
        <f>Forward_Year_1</f>
        <v>46022</v>
      </c>
      <c r="U30" s="204">
        <f>Forward_Year_2</f>
        <v>46387</v>
      </c>
      <c r="V30" s="204">
        <f>Forward_Year_3</f>
        <v>46752</v>
      </c>
      <c r="W30" s="241"/>
      <c r="X30" s="197"/>
      <c r="Y30" s="204">
        <f>Forward_Year_1</f>
        <v>46022</v>
      </c>
      <c r="Z30" s="204">
        <f>Forward_Year_2</f>
        <v>46387</v>
      </c>
      <c r="AA30" s="204">
        <f>Forward_Year_3</f>
        <v>46752</v>
      </c>
      <c r="AB30" s="241"/>
      <c r="AC30" s="197"/>
      <c r="AD30" s="204">
        <f>Forward_Year_1</f>
        <v>46022</v>
      </c>
      <c r="AE30" s="204">
        <f>Forward_Year_2</f>
        <v>46387</v>
      </c>
      <c r="AF30" s="204">
        <f>Forward_Year_3</f>
        <v>46752</v>
      </c>
      <c r="AG30" s="241"/>
      <c r="AH30" s="236"/>
      <c r="AI30" s="204">
        <f>Forward_Year_1</f>
        <v>46022</v>
      </c>
      <c r="AJ30" s="204">
        <f>Forward_Year_2</f>
        <v>46387</v>
      </c>
      <c r="AK30" s="204">
        <f>Forward_Year_3</f>
        <v>46752</v>
      </c>
      <c r="AL30" s="241"/>
      <c r="AM30" s="236"/>
      <c r="AN30" s="236"/>
      <c r="AO30" s="236"/>
      <c r="AP30" s="236"/>
    </row>
    <row r="31" spans="2:42" ht="16">
      <c r="B31" s="191"/>
      <c r="C31" s="219" t="s">
        <v>255</v>
      </c>
      <c r="D31" s="213"/>
      <c r="E31" s="210">
        <f>Drivers!L59/Units</f>
        <v>970.83399891258102</v>
      </c>
      <c r="F31" s="210">
        <f>Drivers!M59/Units</f>
        <v>1249.20957438961</v>
      </c>
      <c r="G31" s="210">
        <f>Drivers!N59/Units</f>
        <v>1634.7379275340459</v>
      </c>
      <c r="H31" s="236"/>
      <c r="I31" s="197"/>
      <c r="J31" s="210">
        <v>1003</v>
      </c>
      <c r="K31" s="210">
        <v>1087</v>
      </c>
      <c r="L31" s="210">
        <v>1198</v>
      </c>
      <c r="M31" s="236"/>
      <c r="N31" s="197"/>
      <c r="O31" s="210">
        <v>753</v>
      </c>
      <c r="P31" s="210">
        <v>810</v>
      </c>
      <c r="Q31" s="210">
        <f>P31*(P31/O31)</f>
        <v>871.31474103585651</v>
      </c>
      <c r="R31" s="236"/>
      <c r="S31" s="197"/>
      <c r="T31" s="210">
        <v>768</v>
      </c>
      <c r="U31" s="210">
        <v>824</v>
      </c>
      <c r="V31" s="210">
        <v>880</v>
      </c>
      <c r="W31" s="236"/>
      <c r="X31" s="197"/>
      <c r="Y31" s="210">
        <v>2017</v>
      </c>
      <c r="Z31" s="210">
        <v>2054</v>
      </c>
      <c r="AA31" s="210">
        <v>2271</v>
      </c>
      <c r="AB31" s="236"/>
      <c r="AC31" s="197"/>
      <c r="AD31" s="210">
        <v>647</v>
      </c>
      <c r="AE31" s="210">
        <v>713</v>
      </c>
      <c r="AF31" s="210">
        <v>780</v>
      </c>
      <c r="AG31" s="236"/>
      <c r="AH31" s="236"/>
      <c r="AI31" s="210">
        <v>3180</v>
      </c>
      <c r="AJ31" s="210">
        <v>3518</v>
      </c>
      <c r="AK31" s="210">
        <v>3842</v>
      </c>
      <c r="AL31" s="236"/>
      <c r="AM31" s="236"/>
      <c r="AN31" s="236"/>
      <c r="AO31" s="236"/>
      <c r="AP31" s="236"/>
    </row>
    <row r="32" spans="2:42" ht="16">
      <c r="B32" s="191"/>
      <c r="C32" s="219" t="s">
        <v>256</v>
      </c>
      <c r="D32" s="213"/>
      <c r="E32" s="242">
        <f>Model!L100/Units</f>
        <v>267.87787517877894</v>
      </c>
      <c r="F32" s="242">
        <f>Model!M100/Units</f>
        <v>379.96854875773823</v>
      </c>
      <c r="G32" s="242">
        <f>Model!N100/Units</f>
        <v>465.36437585748303</v>
      </c>
      <c r="H32" s="236"/>
      <c r="I32" s="197"/>
      <c r="J32" s="242">
        <v>272</v>
      </c>
      <c r="K32" s="242">
        <v>315</v>
      </c>
      <c r="L32" s="242">
        <v>412</v>
      </c>
      <c r="M32" s="236"/>
      <c r="N32" s="197"/>
      <c r="O32" s="242">
        <v>108</v>
      </c>
      <c r="P32" s="242">
        <v>118</v>
      </c>
      <c r="Q32" s="242">
        <f t="shared" ref="Q32:Q33" si="9">P32*(P32/O32)</f>
        <v>128.92592592592592</v>
      </c>
      <c r="R32" s="236"/>
      <c r="S32" s="197"/>
      <c r="T32" s="242">
        <v>118</v>
      </c>
      <c r="U32" s="242">
        <v>153</v>
      </c>
      <c r="V32" s="242">
        <f t="shared" ref="V32:V33" si="10">U32*(U32/T32)</f>
        <v>198.38135593220341</v>
      </c>
      <c r="W32" s="236"/>
      <c r="X32" s="197"/>
      <c r="Y32" s="242">
        <v>157</v>
      </c>
      <c r="Z32" s="242">
        <v>150</v>
      </c>
      <c r="AA32" s="242">
        <v>219</v>
      </c>
      <c r="AB32" s="236"/>
      <c r="AC32" s="197"/>
      <c r="AD32" s="242">
        <v>97</v>
      </c>
      <c r="AE32" s="242">
        <v>104</v>
      </c>
      <c r="AF32" s="242">
        <v>133</v>
      </c>
      <c r="AG32" s="236"/>
      <c r="AH32" s="236"/>
      <c r="AI32" s="242">
        <v>917</v>
      </c>
      <c r="AJ32" s="242">
        <v>1071</v>
      </c>
      <c r="AK32" s="242">
        <v>1210</v>
      </c>
      <c r="AL32" s="236"/>
      <c r="AM32" s="236"/>
      <c r="AN32" s="236"/>
      <c r="AO32" s="236"/>
      <c r="AP32" s="236"/>
    </row>
    <row r="33" spans="2:42" ht="16">
      <c r="B33" s="191"/>
      <c r="C33" s="219" t="s">
        <v>257</v>
      </c>
      <c r="D33" s="213"/>
      <c r="E33" s="242">
        <f>Model!L87/Units</f>
        <v>201.44889221906575</v>
      </c>
      <c r="F33" s="242">
        <f>Model!M87/Units</f>
        <v>286.12321039038875</v>
      </c>
      <c r="G33" s="242">
        <f>Model!N87/Units</f>
        <v>350.09949008654831</v>
      </c>
      <c r="H33" s="236"/>
      <c r="I33" s="197"/>
      <c r="J33" s="242">
        <v>253</v>
      </c>
      <c r="K33" s="242">
        <v>291</v>
      </c>
      <c r="L33" s="242">
        <v>357</v>
      </c>
      <c r="M33" s="236"/>
      <c r="N33" s="197"/>
      <c r="O33" s="242">
        <v>103</v>
      </c>
      <c r="P33" s="242">
        <v>118</v>
      </c>
      <c r="Q33" s="242">
        <f t="shared" si="9"/>
        <v>135.18446601941747</v>
      </c>
      <c r="R33" s="236"/>
      <c r="S33" s="197"/>
      <c r="T33" s="242">
        <v>51</v>
      </c>
      <c r="U33" s="242">
        <v>78</v>
      </c>
      <c r="V33" s="242">
        <f t="shared" si="10"/>
        <v>119.29411764705881</v>
      </c>
      <c r="W33" s="236"/>
      <c r="X33" s="197"/>
      <c r="Y33" s="242">
        <v>51</v>
      </c>
      <c r="Z33" s="242">
        <v>62</v>
      </c>
      <c r="AA33" s="242">
        <v>78</v>
      </c>
      <c r="AB33" s="236"/>
      <c r="AC33" s="197"/>
      <c r="AD33" s="242">
        <v>65</v>
      </c>
      <c r="AE33" s="242">
        <v>92</v>
      </c>
      <c r="AF33" s="242">
        <f t="shared" ref="AF33" si="11">AE33*(AE33/AD33)</f>
        <v>130.21538461538464</v>
      </c>
      <c r="AG33" s="236"/>
      <c r="AH33" s="236"/>
      <c r="AI33" s="242">
        <v>434</v>
      </c>
      <c r="AJ33" s="242">
        <v>573</v>
      </c>
      <c r="AK33" s="242">
        <v>696</v>
      </c>
      <c r="AL33" s="236"/>
      <c r="AM33" s="236"/>
      <c r="AN33" s="236"/>
      <c r="AO33" s="236"/>
      <c r="AP33" s="236"/>
    </row>
    <row r="34" spans="2:42" ht="16">
      <c r="B34" s="243"/>
      <c r="C34" s="197"/>
      <c r="D34" s="197"/>
      <c r="E34" s="197"/>
      <c r="F34" s="197"/>
      <c r="G34" s="197"/>
      <c r="H34" s="197"/>
      <c r="I34" s="197"/>
      <c r="J34" s="244"/>
      <c r="K34" s="244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</row>
    <row r="35" spans="2:42" ht="16">
      <c r="B35" s="243"/>
      <c r="C35" s="197"/>
      <c r="D35" s="197"/>
      <c r="E35" s="232" t="s">
        <v>258</v>
      </c>
      <c r="F35" s="239"/>
      <c r="G35" s="239"/>
      <c r="H35" s="239"/>
      <c r="I35" s="197"/>
      <c r="J35" s="232" t="s">
        <v>258</v>
      </c>
      <c r="K35" s="239"/>
      <c r="L35" s="239"/>
      <c r="M35" s="239"/>
      <c r="N35" s="197"/>
      <c r="O35" s="232" t="s">
        <v>258</v>
      </c>
      <c r="P35" s="239"/>
      <c r="Q35" s="239"/>
      <c r="R35" s="239"/>
      <c r="S35" s="197"/>
      <c r="T35" s="232" t="s">
        <v>258</v>
      </c>
      <c r="U35" s="239"/>
      <c r="V35" s="239"/>
      <c r="W35" s="239"/>
      <c r="X35" s="197"/>
      <c r="Y35" s="232" t="s">
        <v>258</v>
      </c>
      <c r="Z35" s="239"/>
      <c r="AA35" s="239"/>
      <c r="AB35" s="239"/>
      <c r="AC35" s="197"/>
      <c r="AD35" s="232" t="s">
        <v>258</v>
      </c>
      <c r="AE35" s="239"/>
      <c r="AF35" s="239"/>
      <c r="AG35" s="239"/>
      <c r="AH35" s="245"/>
      <c r="AI35" s="232" t="s">
        <v>258</v>
      </c>
      <c r="AJ35" s="239"/>
      <c r="AK35" s="239"/>
      <c r="AL35" s="239"/>
      <c r="AM35" s="245"/>
      <c r="AN35" s="245"/>
      <c r="AO35" s="245"/>
      <c r="AP35" s="245"/>
    </row>
    <row r="36" spans="2:42" ht="16">
      <c r="B36" s="243"/>
      <c r="C36" s="246" t="s">
        <v>259</v>
      </c>
      <c r="D36" s="246"/>
      <c r="E36" s="247"/>
      <c r="F36" s="203"/>
      <c r="G36" s="203"/>
      <c r="H36" s="248">
        <f>Share_Price</f>
        <v>21.44</v>
      </c>
      <c r="I36" s="197"/>
      <c r="J36" s="247"/>
      <c r="K36" s="203"/>
      <c r="L36" s="203"/>
      <c r="M36" s="248">
        <v>92.74</v>
      </c>
      <c r="N36" s="197"/>
      <c r="O36" s="247"/>
      <c r="P36" s="203"/>
      <c r="Q36" s="203"/>
      <c r="R36" s="248">
        <v>56.46</v>
      </c>
      <c r="S36" s="197"/>
      <c r="T36" s="247"/>
      <c r="U36" s="203"/>
      <c r="V36" s="203"/>
      <c r="W36" s="248">
        <v>30.02</v>
      </c>
      <c r="X36" s="197"/>
      <c r="Y36" s="247"/>
      <c r="Z36" s="203"/>
      <c r="AA36" s="203"/>
      <c r="AB36" s="248">
        <v>19.559999999999999</v>
      </c>
      <c r="AC36" s="197"/>
      <c r="AD36" s="247"/>
      <c r="AE36" s="203"/>
      <c r="AF36" s="203"/>
      <c r="AG36" s="248">
        <v>19.34</v>
      </c>
      <c r="AH36" s="248"/>
      <c r="AI36" s="247"/>
      <c r="AJ36" s="203"/>
      <c r="AK36" s="203"/>
      <c r="AL36" s="248">
        <v>68.38</v>
      </c>
      <c r="AM36" s="248"/>
      <c r="AN36" s="248"/>
      <c r="AO36" s="248"/>
      <c r="AP36" s="248"/>
    </row>
    <row r="37" spans="2:42" ht="16">
      <c r="B37" s="243"/>
      <c r="C37" s="246" t="s">
        <v>260</v>
      </c>
      <c r="D37" s="246"/>
      <c r="E37" s="247"/>
      <c r="F37" s="203"/>
      <c r="G37" s="203"/>
      <c r="H37" s="249">
        <v>63.9</v>
      </c>
      <c r="I37" s="197"/>
      <c r="J37" s="247"/>
      <c r="K37" s="203"/>
      <c r="L37" s="203"/>
      <c r="M37" s="249">
        <v>48.9</v>
      </c>
      <c r="N37" s="197"/>
      <c r="O37" s="247"/>
      <c r="P37" s="203"/>
      <c r="Q37" s="203"/>
      <c r="R37" s="249">
        <v>32.1</v>
      </c>
      <c r="S37" s="197"/>
      <c r="T37" s="247"/>
      <c r="U37" s="203"/>
      <c r="V37" s="203"/>
      <c r="W37" s="250">
        <v>77.099999999999994</v>
      </c>
      <c r="X37" s="197"/>
      <c r="Y37" s="247"/>
      <c r="Z37" s="203"/>
      <c r="AA37" s="203"/>
      <c r="AB37" s="250">
        <v>45.1</v>
      </c>
      <c r="AC37" s="197"/>
      <c r="AD37" s="247"/>
      <c r="AE37" s="203"/>
      <c r="AF37" s="203"/>
      <c r="AG37" s="250">
        <v>58.3</v>
      </c>
      <c r="AH37" s="250"/>
      <c r="AI37" s="247"/>
      <c r="AJ37" s="203"/>
      <c r="AK37" s="203"/>
      <c r="AL37" s="250">
        <v>151.4</v>
      </c>
      <c r="AM37" s="250"/>
      <c r="AN37" s="250"/>
      <c r="AO37" s="250"/>
      <c r="AP37" s="250"/>
    </row>
    <row r="38" spans="2:42" ht="16">
      <c r="B38" s="243"/>
      <c r="C38" s="246" t="s">
        <v>261</v>
      </c>
      <c r="D38" s="246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</row>
    <row r="39" spans="2:42" ht="16">
      <c r="B39" s="243"/>
      <c r="C39" s="197"/>
      <c r="D39" s="197"/>
      <c r="E39" s="197"/>
      <c r="F39" s="251" t="s">
        <v>262</v>
      </c>
      <c r="G39" s="251" t="s">
        <v>263</v>
      </c>
      <c r="H39" s="251" t="s">
        <v>264</v>
      </c>
      <c r="I39" s="197"/>
      <c r="J39" s="197"/>
      <c r="K39" s="251" t="s">
        <v>262</v>
      </c>
      <c r="L39" s="251" t="s">
        <v>263</v>
      </c>
      <c r="M39" s="251" t="s">
        <v>264</v>
      </c>
      <c r="N39" s="197"/>
      <c r="O39" s="197"/>
      <c r="P39" s="252" t="s">
        <v>262</v>
      </c>
      <c r="Q39" s="252" t="s">
        <v>263</v>
      </c>
      <c r="R39" s="252" t="s">
        <v>264</v>
      </c>
      <c r="S39" s="197"/>
      <c r="T39" s="197"/>
      <c r="U39" s="252" t="s">
        <v>262</v>
      </c>
      <c r="V39" s="252" t="s">
        <v>263</v>
      </c>
      <c r="W39" s="252" t="s">
        <v>264</v>
      </c>
      <c r="X39" s="197"/>
      <c r="Y39" s="197"/>
      <c r="Z39" s="252" t="s">
        <v>262</v>
      </c>
      <c r="AA39" s="252" t="s">
        <v>263</v>
      </c>
      <c r="AB39" s="252" t="s">
        <v>264</v>
      </c>
      <c r="AC39" s="197"/>
      <c r="AD39" s="197"/>
      <c r="AE39" s="252" t="s">
        <v>262</v>
      </c>
      <c r="AF39" s="252" t="s">
        <v>263</v>
      </c>
      <c r="AG39" s="252" t="s">
        <v>264</v>
      </c>
      <c r="AH39" s="252"/>
      <c r="AI39" s="197"/>
      <c r="AJ39" s="252" t="s">
        <v>262</v>
      </c>
      <c r="AK39" s="252" t="s">
        <v>263</v>
      </c>
      <c r="AL39" s="252" t="s">
        <v>264</v>
      </c>
      <c r="AM39" s="252"/>
      <c r="AN39" s="252"/>
      <c r="AO39" s="252"/>
      <c r="AP39" s="252"/>
    </row>
    <row r="40" spans="2:42" ht="16">
      <c r="B40" s="243"/>
      <c r="C40" s="197"/>
      <c r="D40" s="197"/>
      <c r="E40" s="197"/>
      <c r="F40" s="253"/>
      <c r="G40" s="254"/>
      <c r="H40" s="255">
        <f t="shared" ref="H40:H48" si="12">IF(G40&lt;H$35,F40-((F40*G40)/H$35),0)</f>
        <v>0</v>
      </c>
      <c r="I40" s="197"/>
      <c r="J40" s="197"/>
      <c r="K40" s="253"/>
      <c r="L40" s="254"/>
      <c r="M40" s="255">
        <f>IF(L40&lt;M$35,K40-((K40*L40)/M$35),0)</f>
        <v>0</v>
      </c>
      <c r="N40" s="197"/>
      <c r="O40" s="197"/>
      <c r="P40" s="253"/>
      <c r="Q40" s="254"/>
      <c r="R40" s="255">
        <f>IF(Q40&lt;R$35,P40-((P40*Q40)/R$35),0)</f>
        <v>0</v>
      </c>
      <c r="S40" s="197"/>
      <c r="T40" s="197"/>
      <c r="U40" s="253"/>
      <c r="V40" s="254"/>
      <c r="W40" s="255">
        <f>IF(V40&lt;W$35,U40-((U40*V40)/W$35),0)</f>
        <v>0</v>
      </c>
      <c r="X40" s="197"/>
      <c r="Y40" s="197"/>
      <c r="Z40" s="253"/>
      <c r="AA40" s="254"/>
      <c r="AB40" s="255">
        <f>IF(AA40&lt;AB$35,Z40-((Z40*AA40)/AB$35),0)</f>
        <v>0</v>
      </c>
      <c r="AC40" s="197"/>
      <c r="AD40" s="197"/>
      <c r="AE40" s="253"/>
      <c r="AF40" s="254"/>
      <c r="AG40" s="255">
        <f>IF(AF40&lt;AG$35,AE40-((AE40*AF40)/AG$35),0)</f>
        <v>0</v>
      </c>
      <c r="AH40" s="255"/>
      <c r="AI40" s="197"/>
      <c r="AJ40" s="253"/>
      <c r="AK40" s="254"/>
      <c r="AL40" s="255">
        <f>IF(AK40&lt;AL$35,AJ40-((AJ40*AK40)/AL$35),0)</f>
        <v>0</v>
      </c>
      <c r="AM40" s="255"/>
      <c r="AN40" s="255"/>
      <c r="AO40" s="255"/>
      <c r="AP40" s="255"/>
    </row>
    <row r="41" spans="2:42" ht="16">
      <c r="B41" s="243"/>
      <c r="C41" s="197"/>
      <c r="D41" s="197"/>
      <c r="E41" s="197"/>
      <c r="F41" s="253"/>
      <c r="G41" s="254"/>
      <c r="H41" s="255">
        <f t="shared" si="12"/>
        <v>0</v>
      </c>
      <c r="I41" s="197"/>
      <c r="J41" s="197"/>
      <c r="K41" s="253"/>
      <c r="L41" s="254"/>
      <c r="M41" s="255">
        <f t="shared" ref="M41:M45" si="13">IF(L41&lt;M$35,K41-((K41*L41)/M$35),0)</f>
        <v>0</v>
      </c>
      <c r="N41" s="197"/>
      <c r="O41" s="197"/>
      <c r="P41" s="253"/>
      <c r="Q41" s="254"/>
      <c r="R41" s="255">
        <f t="shared" ref="R41:R45" si="14">IF(Q41&lt;R$35,P41-((P41*Q41)/R$35),0)</f>
        <v>0</v>
      </c>
      <c r="S41" s="197"/>
      <c r="T41" s="197"/>
      <c r="U41" s="253"/>
      <c r="V41" s="254"/>
      <c r="W41" s="255">
        <f t="shared" ref="W41:W45" si="15">IF(V41&lt;W$35,U41-((U41*V41)/W$35),0)</f>
        <v>0</v>
      </c>
      <c r="X41" s="197"/>
      <c r="Y41" s="197"/>
      <c r="Z41" s="253"/>
      <c r="AA41" s="254"/>
      <c r="AB41" s="255">
        <f t="shared" ref="AB41:AB45" si="16">IF(AA41&lt;AB$35,Z41-((Z41*AA41)/AB$35),0)</f>
        <v>0</v>
      </c>
      <c r="AC41" s="197"/>
      <c r="AD41" s="197"/>
      <c r="AE41" s="253"/>
      <c r="AF41" s="254"/>
      <c r="AG41" s="255">
        <f t="shared" ref="AG41:AG45" si="17">IF(AF41&lt;AG$35,AE41-((AE41*AF41)/AG$35),0)</f>
        <v>0</v>
      </c>
      <c r="AH41" s="255"/>
      <c r="AI41" s="197"/>
      <c r="AJ41" s="253"/>
      <c r="AK41" s="254"/>
      <c r="AL41" s="255">
        <f t="shared" ref="AL41:AL45" si="18">IF(AK41&lt;AL$35,AJ41-((AJ41*AK41)/AL$35),0)</f>
        <v>0</v>
      </c>
      <c r="AM41" s="255"/>
      <c r="AN41" s="255"/>
      <c r="AO41" s="255"/>
      <c r="AP41" s="255"/>
    </row>
    <row r="42" spans="2:42" ht="16">
      <c r="B42" s="243"/>
      <c r="C42" s="197"/>
      <c r="D42" s="197"/>
      <c r="E42" s="197"/>
      <c r="F42" s="253"/>
      <c r="G42" s="254"/>
      <c r="H42" s="255">
        <f t="shared" si="12"/>
        <v>0</v>
      </c>
      <c r="I42" s="197"/>
      <c r="J42" s="197"/>
      <c r="K42" s="253"/>
      <c r="L42" s="254"/>
      <c r="M42" s="255">
        <f t="shared" si="13"/>
        <v>0</v>
      </c>
      <c r="N42" s="197"/>
      <c r="O42" s="197"/>
      <c r="P42" s="253"/>
      <c r="Q42" s="254"/>
      <c r="R42" s="255">
        <f t="shared" si="14"/>
        <v>0</v>
      </c>
      <c r="S42" s="197"/>
      <c r="T42" s="197"/>
      <c r="U42" s="253"/>
      <c r="V42" s="254"/>
      <c r="W42" s="255">
        <f t="shared" si="15"/>
        <v>0</v>
      </c>
      <c r="X42" s="197"/>
      <c r="Y42" s="197"/>
      <c r="Z42" s="253"/>
      <c r="AA42" s="254"/>
      <c r="AB42" s="255">
        <f t="shared" si="16"/>
        <v>0</v>
      </c>
      <c r="AC42" s="197"/>
      <c r="AD42" s="197"/>
      <c r="AE42" s="253"/>
      <c r="AF42" s="254"/>
      <c r="AG42" s="255">
        <f t="shared" si="17"/>
        <v>0</v>
      </c>
      <c r="AH42" s="255"/>
      <c r="AI42" s="197"/>
      <c r="AJ42" s="253"/>
      <c r="AK42" s="254"/>
      <c r="AL42" s="255">
        <f t="shared" si="18"/>
        <v>0</v>
      </c>
      <c r="AM42" s="255"/>
      <c r="AN42" s="255"/>
      <c r="AO42" s="255"/>
      <c r="AP42" s="255"/>
    </row>
    <row r="43" spans="2:42" ht="16">
      <c r="B43" s="243"/>
      <c r="C43" s="197"/>
      <c r="D43" s="197"/>
      <c r="E43" s="197"/>
      <c r="F43" s="253"/>
      <c r="G43" s="254"/>
      <c r="H43" s="255">
        <f t="shared" si="12"/>
        <v>0</v>
      </c>
      <c r="I43" s="197"/>
      <c r="J43" s="197"/>
      <c r="K43" s="253"/>
      <c r="L43" s="254"/>
      <c r="M43" s="255">
        <f t="shared" si="13"/>
        <v>0</v>
      </c>
      <c r="N43" s="197"/>
      <c r="O43" s="197"/>
      <c r="P43" s="253"/>
      <c r="Q43" s="254"/>
      <c r="R43" s="255">
        <f t="shared" si="14"/>
        <v>0</v>
      </c>
      <c r="S43" s="197"/>
      <c r="T43" s="197"/>
      <c r="U43" s="253"/>
      <c r="V43" s="254"/>
      <c r="W43" s="255">
        <f t="shared" si="15"/>
        <v>0</v>
      </c>
      <c r="X43" s="197"/>
      <c r="Y43" s="197"/>
      <c r="Z43" s="253"/>
      <c r="AA43" s="254"/>
      <c r="AB43" s="255">
        <f t="shared" si="16"/>
        <v>0</v>
      </c>
      <c r="AC43" s="197"/>
      <c r="AD43" s="197"/>
      <c r="AE43" s="253"/>
      <c r="AF43" s="254"/>
      <c r="AG43" s="255">
        <f t="shared" si="17"/>
        <v>0</v>
      </c>
      <c r="AH43" s="255"/>
      <c r="AI43" s="197"/>
      <c r="AJ43" s="253"/>
      <c r="AK43" s="254"/>
      <c r="AL43" s="255">
        <f t="shared" si="18"/>
        <v>0</v>
      </c>
      <c r="AM43" s="255"/>
      <c r="AN43" s="255"/>
      <c r="AO43" s="255"/>
      <c r="AP43" s="255"/>
    </row>
    <row r="44" spans="2:42" ht="16">
      <c r="B44" s="243"/>
      <c r="C44" s="197"/>
      <c r="D44" s="197"/>
      <c r="E44" s="197"/>
      <c r="F44" s="253"/>
      <c r="G44" s="254"/>
      <c r="H44" s="255">
        <f t="shared" si="12"/>
        <v>0</v>
      </c>
      <c r="I44" s="197"/>
      <c r="J44" s="197"/>
      <c r="K44" s="253"/>
      <c r="L44" s="254"/>
      <c r="M44" s="255">
        <f t="shared" si="13"/>
        <v>0</v>
      </c>
      <c r="N44" s="197"/>
      <c r="O44" s="197"/>
      <c r="P44" s="253"/>
      <c r="Q44" s="254"/>
      <c r="R44" s="255">
        <f t="shared" si="14"/>
        <v>0</v>
      </c>
      <c r="S44" s="197"/>
      <c r="T44" s="197"/>
      <c r="U44" s="253"/>
      <c r="V44" s="254"/>
      <c r="W44" s="255">
        <f t="shared" si="15"/>
        <v>0</v>
      </c>
      <c r="X44" s="197"/>
      <c r="Y44" s="197"/>
      <c r="Z44" s="253"/>
      <c r="AA44" s="254"/>
      <c r="AB44" s="255">
        <f t="shared" si="16"/>
        <v>0</v>
      </c>
      <c r="AC44" s="197"/>
      <c r="AD44" s="197"/>
      <c r="AE44" s="253"/>
      <c r="AF44" s="254"/>
      <c r="AG44" s="255">
        <f t="shared" si="17"/>
        <v>0</v>
      </c>
      <c r="AH44" s="255"/>
      <c r="AI44" s="197"/>
      <c r="AJ44" s="253"/>
      <c r="AK44" s="254"/>
      <c r="AL44" s="255">
        <f t="shared" si="18"/>
        <v>0</v>
      </c>
      <c r="AM44" s="255"/>
      <c r="AN44" s="255"/>
      <c r="AO44" s="255"/>
      <c r="AP44" s="255"/>
    </row>
    <row r="45" spans="2:42" ht="16">
      <c r="B45" s="243"/>
      <c r="C45" s="197"/>
      <c r="D45" s="197"/>
      <c r="E45" s="197"/>
      <c r="F45" s="253"/>
      <c r="G45" s="254"/>
      <c r="H45" s="255">
        <f t="shared" si="12"/>
        <v>0</v>
      </c>
      <c r="I45" s="197"/>
      <c r="J45" s="197"/>
      <c r="K45" s="253"/>
      <c r="L45" s="254"/>
      <c r="M45" s="255">
        <f t="shared" si="13"/>
        <v>0</v>
      </c>
      <c r="N45" s="197"/>
      <c r="O45" s="197"/>
      <c r="P45" s="253"/>
      <c r="Q45" s="254"/>
      <c r="R45" s="255">
        <f t="shared" si="14"/>
        <v>0</v>
      </c>
      <c r="S45" s="197"/>
      <c r="T45" s="197"/>
      <c r="U45" s="253"/>
      <c r="V45" s="254"/>
      <c r="W45" s="255">
        <f t="shared" si="15"/>
        <v>0</v>
      </c>
      <c r="X45" s="197"/>
      <c r="Y45" s="197"/>
      <c r="Z45" s="253"/>
      <c r="AA45" s="254"/>
      <c r="AB45" s="255">
        <f t="shared" si="16"/>
        <v>0</v>
      </c>
      <c r="AC45" s="197"/>
      <c r="AD45" s="197"/>
      <c r="AE45" s="253"/>
      <c r="AF45" s="254"/>
      <c r="AG45" s="255">
        <f t="shared" si="17"/>
        <v>0</v>
      </c>
      <c r="AH45" s="255"/>
      <c r="AI45" s="197"/>
      <c r="AJ45" s="253"/>
      <c r="AK45" s="254"/>
      <c r="AL45" s="255">
        <f t="shared" si="18"/>
        <v>0</v>
      </c>
      <c r="AM45" s="255"/>
      <c r="AN45" s="255"/>
      <c r="AO45" s="255"/>
      <c r="AP45" s="255"/>
    </row>
    <row r="46" spans="2:42" ht="16">
      <c r="B46" s="243"/>
      <c r="C46" s="197"/>
      <c r="D46" s="197"/>
      <c r="E46" s="197"/>
      <c r="F46" s="253"/>
      <c r="G46" s="254"/>
      <c r="H46" s="255">
        <f t="shared" si="12"/>
        <v>0</v>
      </c>
      <c r="I46" s="197"/>
      <c r="J46" s="197"/>
      <c r="K46" s="253"/>
      <c r="L46" s="254"/>
      <c r="M46" s="255">
        <f>IF(L46&lt;M$35,K46-((K46*L46)/M$35),0)</f>
        <v>0</v>
      </c>
      <c r="N46" s="197"/>
      <c r="O46" s="197"/>
      <c r="P46" s="253"/>
      <c r="Q46" s="254"/>
      <c r="R46" s="255">
        <f>IF(Q46&lt;R$35,P46-((P46*Q46)/R$35),0)</f>
        <v>0</v>
      </c>
      <c r="S46" s="197"/>
      <c r="T46" s="197"/>
      <c r="U46" s="253"/>
      <c r="V46" s="254"/>
      <c r="W46" s="255">
        <f>IF(V46&lt;W$35,U46-((U46*V46)/W$35),0)</f>
        <v>0</v>
      </c>
      <c r="X46" s="197"/>
      <c r="Y46" s="197"/>
      <c r="Z46" s="253"/>
      <c r="AA46" s="254"/>
      <c r="AB46" s="255">
        <f>IF(AA46&lt;AB$35,Z46-((Z46*AA46)/AB$35),0)</f>
        <v>0</v>
      </c>
      <c r="AC46" s="197"/>
      <c r="AD46" s="197"/>
      <c r="AE46" s="253"/>
      <c r="AF46" s="254"/>
      <c r="AG46" s="255">
        <f>IF(AF46&lt;AG$35,AE46-((AE46*AF46)/AG$35),0)</f>
        <v>0</v>
      </c>
      <c r="AH46" s="255"/>
      <c r="AI46" s="197"/>
      <c r="AJ46" s="253"/>
      <c r="AK46" s="254"/>
      <c r="AL46" s="255">
        <f>IF(AK46&lt;AL$35,AJ46-((AJ46*AK46)/AL$35),0)</f>
        <v>0</v>
      </c>
      <c r="AM46" s="255"/>
      <c r="AN46" s="255"/>
      <c r="AO46" s="255"/>
      <c r="AP46" s="255"/>
    </row>
    <row r="47" spans="2:42" ht="16">
      <c r="B47" s="243"/>
      <c r="C47" s="197"/>
      <c r="D47" s="197"/>
      <c r="E47" s="197"/>
      <c r="F47" s="253"/>
      <c r="G47" s="254"/>
      <c r="H47" s="255">
        <f t="shared" si="12"/>
        <v>0</v>
      </c>
      <c r="I47" s="197"/>
      <c r="J47" s="197"/>
      <c r="K47" s="253"/>
      <c r="L47" s="254"/>
      <c r="M47" s="255">
        <f t="shared" ref="M47:M48" si="19">IF(L47&lt;M$35,K47-((K47*L47)/M$35),0)</f>
        <v>0</v>
      </c>
      <c r="N47" s="197"/>
      <c r="O47" s="197"/>
      <c r="P47" s="253"/>
      <c r="Q47" s="254"/>
      <c r="R47" s="255">
        <f t="shared" ref="R47:R48" si="20">IF(Q47&lt;R$35,P47-((P47*Q47)/R$35),0)</f>
        <v>0</v>
      </c>
      <c r="S47" s="197"/>
      <c r="T47" s="197"/>
      <c r="U47" s="253"/>
      <c r="V47" s="254"/>
      <c r="W47" s="255">
        <f t="shared" ref="W47:W48" si="21">IF(V47&lt;W$35,U47-((U47*V47)/W$35),0)</f>
        <v>0</v>
      </c>
      <c r="X47" s="197"/>
      <c r="Y47" s="197"/>
      <c r="Z47" s="253"/>
      <c r="AA47" s="254"/>
      <c r="AB47" s="255">
        <f t="shared" ref="AB47:AB48" si="22">IF(AA47&lt;AB$35,Z47-((Z47*AA47)/AB$35),0)</f>
        <v>0</v>
      </c>
      <c r="AC47" s="197"/>
      <c r="AD47" s="197"/>
      <c r="AE47" s="253"/>
      <c r="AF47" s="254"/>
      <c r="AG47" s="255">
        <f t="shared" ref="AG47:AG48" si="23">IF(AF47&lt;AG$35,AE47-((AE47*AF47)/AG$35),0)</f>
        <v>0</v>
      </c>
      <c r="AH47" s="255"/>
      <c r="AI47" s="197"/>
      <c r="AJ47" s="253"/>
      <c r="AK47" s="254"/>
      <c r="AL47" s="255">
        <f t="shared" ref="AL47:AL48" si="24">IF(AK47&lt;AL$35,AJ47-((AJ47*AK47)/AL$35),0)</f>
        <v>0</v>
      </c>
      <c r="AM47" s="255"/>
      <c r="AN47" s="255"/>
      <c r="AO47" s="255"/>
      <c r="AP47" s="255"/>
    </row>
    <row r="48" spans="2:42" ht="16">
      <c r="B48" s="243"/>
      <c r="C48" s="197"/>
      <c r="D48" s="197"/>
      <c r="E48" s="197"/>
      <c r="F48" s="253"/>
      <c r="G48" s="254"/>
      <c r="H48" s="255">
        <f t="shared" si="12"/>
        <v>0</v>
      </c>
      <c r="I48" s="255"/>
      <c r="J48" s="197"/>
      <c r="K48" s="253"/>
      <c r="L48" s="254"/>
      <c r="M48" s="255">
        <f t="shared" si="19"/>
        <v>0</v>
      </c>
      <c r="N48" s="197"/>
      <c r="O48" s="197"/>
      <c r="P48" s="253"/>
      <c r="Q48" s="254"/>
      <c r="R48" s="255">
        <f t="shared" si="20"/>
        <v>0</v>
      </c>
      <c r="S48" s="197"/>
      <c r="T48" s="197"/>
      <c r="U48" s="253"/>
      <c r="V48" s="254"/>
      <c r="W48" s="255">
        <f t="shared" si="21"/>
        <v>0</v>
      </c>
      <c r="X48" s="197"/>
      <c r="Y48" s="197"/>
      <c r="Z48" s="253"/>
      <c r="AA48" s="254"/>
      <c r="AB48" s="255">
        <f t="shared" si="22"/>
        <v>0</v>
      </c>
      <c r="AC48" s="197"/>
      <c r="AD48" s="197"/>
      <c r="AE48" s="253"/>
      <c r="AF48" s="254"/>
      <c r="AG48" s="255">
        <f t="shared" si="23"/>
        <v>0</v>
      </c>
      <c r="AH48" s="255"/>
      <c r="AI48" s="197"/>
      <c r="AJ48" s="253"/>
      <c r="AK48" s="254"/>
      <c r="AL48" s="255">
        <f t="shared" si="24"/>
        <v>0</v>
      </c>
      <c r="AM48" s="255"/>
      <c r="AN48" s="255"/>
      <c r="AO48" s="255"/>
      <c r="AP48" s="255"/>
    </row>
    <row r="49" spans="2:42" ht="16">
      <c r="B49" s="243"/>
      <c r="C49" s="197"/>
      <c r="D49" s="197"/>
      <c r="E49" s="197"/>
      <c r="F49" s="253"/>
      <c r="G49" s="254"/>
      <c r="H49" s="256"/>
      <c r="I49" s="197"/>
      <c r="J49" s="197"/>
      <c r="K49" s="253"/>
      <c r="L49" s="254"/>
      <c r="M49" s="256"/>
      <c r="N49" s="197"/>
      <c r="O49" s="197"/>
      <c r="P49" s="253"/>
      <c r="Q49" s="254"/>
      <c r="R49" s="256"/>
      <c r="S49" s="197"/>
      <c r="T49" s="197"/>
      <c r="U49" s="253"/>
      <c r="V49" s="254"/>
      <c r="W49" s="256"/>
      <c r="X49" s="197"/>
      <c r="Y49" s="197"/>
      <c r="Z49" s="253"/>
      <c r="AA49" s="254"/>
      <c r="AB49" s="256"/>
      <c r="AC49" s="197"/>
      <c r="AD49" s="197"/>
      <c r="AE49" s="253"/>
      <c r="AF49" s="254"/>
      <c r="AG49" s="256"/>
      <c r="AH49" s="256"/>
      <c r="AI49" s="197"/>
      <c r="AJ49" s="253"/>
      <c r="AK49" s="254"/>
      <c r="AL49" s="256"/>
      <c r="AM49" s="256"/>
      <c r="AN49" s="256"/>
      <c r="AO49" s="256"/>
      <c r="AP49" s="256"/>
    </row>
    <row r="50" spans="2:42" ht="16">
      <c r="B50" s="243"/>
      <c r="C50" s="246" t="s">
        <v>265</v>
      </c>
      <c r="D50" s="197"/>
      <c r="E50" s="257" t="s">
        <v>266</v>
      </c>
      <c r="F50" s="257" t="s">
        <v>267</v>
      </c>
      <c r="G50" s="257" t="s">
        <v>268</v>
      </c>
      <c r="H50" s="257" t="s">
        <v>264</v>
      </c>
      <c r="I50" s="197"/>
      <c r="J50" s="257" t="s">
        <v>266</v>
      </c>
      <c r="K50" s="257" t="s">
        <v>267</v>
      </c>
      <c r="L50" s="257" t="s">
        <v>268</v>
      </c>
      <c r="M50" s="257" t="s">
        <v>264</v>
      </c>
      <c r="N50" s="197"/>
      <c r="O50" s="257" t="s">
        <v>266</v>
      </c>
      <c r="P50" s="257" t="s">
        <v>267</v>
      </c>
      <c r="Q50" s="257" t="s">
        <v>268</v>
      </c>
      <c r="R50" s="257" t="s">
        <v>264</v>
      </c>
      <c r="S50" s="197"/>
      <c r="T50" s="257" t="s">
        <v>266</v>
      </c>
      <c r="U50" s="257" t="s">
        <v>267</v>
      </c>
      <c r="V50" s="257" t="s">
        <v>268</v>
      </c>
      <c r="W50" s="257" t="s">
        <v>264</v>
      </c>
      <c r="X50" s="197"/>
      <c r="Y50" s="257" t="s">
        <v>266</v>
      </c>
      <c r="Z50" s="257" t="s">
        <v>267</v>
      </c>
      <c r="AA50" s="257" t="s">
        <v>268</v>
      </c>
      <c r="AB50" s="257" t="s">
        <v>264</v>
      </c>
      <c r="AC50" s="197"/>
      <c r="AD50" s="257" t="s">
        <v>266</v>
      </c>
      <c r="AE50" s="257" t="s">
        <v>267</v>
      </c>
      <c r="AF50" s="257" t="s">
        <v>268</v>
      </c>
      <c r="AG50" s="257" t="s">
        <v>264</v>
      </c>
      <c r="AH50" s="258"/>
      <c r="AI50" s="257" t="s">
        <v>266</v>
      </c>
      <c r="AJ50" s="257" t="s">
        <v>267</v>
      </c>
      <c r="AK50" s="257" t="s">
        <v>268</v>
      </c>
      <c r="AL50" s="257" t="s">
        <v>264</v>
      </c>
      <c r="AM50" s="258"/>
      <c r="AN50" s="258"/>
      <c r="AO50" s="258"/>
      <c r="AP50" s="258"/>
    </row>
    <row r="51" spans="2:42" ht="16">
      <c r="B51" s="243"/>
      <c r="C51" s="197"/>
      <c r="D51" s="197"/>
      <c r="E51" s="259"/>
      <c r="F51" s="260"/>
      <c r="G51" s="248"/>
      <c r="H51" s="255">
        <f>IFERROR(IF(G51&gt;H$35,0,(+F51/G51)*E51/F51), 0)</f>
        <v>0</v>
      </c>
      <c r="I51" s="197"/>
      <c r="J51" s="259"/>
      <c r="K51" s="260"/>
      <c r="L51" s="248"/>
      <c r="M51" s="255">
        <f>IFERROR(IF(L51&gt;M$35,0,(+K51/L51)*J51/K51),0)</f>
        <v>0</v>
      </c>
      <c r="N51" s="197"/>
      <c r="O51" s="259"/>
      <c r="P51" s="260"/>
      <c r="Q51" s="248"/>
      <c r="R51" s="255">
        <f>IFERROR(IF(Q51&gt;R$35,0,(+P51/Q51)*O51/P51),0)</f>
        <v>0</v>
      </c>
      <c r="S51" s="261"/>
      <c r="T51" s="259"/>
      <c r="U51" s="260"/>
      <c r="V51" s="248"/>
      <c r="W51" s="255">
        <f>IFERROR(IF(V51&gt;W$35,0,(+U51/V51)*T51/U51),0)</f>
        <v>0</v>
      </c>
      <c r="X51" s="261"/>
      <c r="Y51" s="259"/>
      <c r="Z51" s="260"/>
      <c r="AA51" s="248"/>
      <c r="AB51" s="255">
        <f>IFERROR(IF(AA51&gt;AB$35,0,+Y51/AA51-(AB$35*(Y51/AA51)-Y51)*0.5/AB$35),0)</f>
        <v>0</v>
      </c>
      <c r="AC51" s="261"/>
      <c r="AD51" s="259"/>
      <c r="AE51" s="260"/>
      <c r="AF51" s="248"/>
      <c r="AG51" s="255">
        <f>IFERROR(IF(AF51&gt;AG$35,0,+AD51/AF51-(AG$35*(AD51/AF51)-AD51)*0.5/AG$35),0)</f>
        <v>0</v>
      </c>
      <c r="AH51" s="255"/>
      <c r="AI51" s="259"/>
      <c r="AJ51" s="260"/>
      <c r="AK51" s="248"/>
      <c r="AL51" s="255">
        <f>IFERROR(IF(AK51&gt;AL$35,0,+AI51/AK51-(AL$35*(AI51/AK51)-AI51)*0.5/AL$35),0)</f>
        <v>0</v>
      </c>
      <c r="AM51" s="255"/>
      <c r="AN51" s="255"/>
      <c r="AO51" s="255"/>
      <c r="AP51" s="255"/>
    </row>
    <row r="52" spans="2:42" ht="16">
      <c r="B52" s="243"/>
      <c r="C52" s="197"/>
      <c r="D52" s="197"/>
      <c r="E52" s="259"/>
      <c r="F52" s="260"/>
      <c r="G52" s="248"/>
      <c r="H52" s="255">
        <f>IFERROR(IF(G52&gt;H$35,0,(+F52/G52)*E52/F52),0)</f>
        <v>0</v>
      </c>
      <c r="I52" s="197"/>
      <c r="J52" s="259"/>
      <c r="K52" s="260"/>
      <c r="L52" s="248"/>
      <c r="M52" s="255">
        <f>IFERROR(IF(L52&gt;M$35,0,(+K52/L52)*J52/K52),0)</f>
        <v>0</v>
      </c>
      <c r="N52" s="197"/>
      <c r="O52" s="259"/>
      <c r="P52" s="260"/>
      <c r="Q52" s="248"/>
      <c r="R52" s="255">
        <f>IFERROR(IF(Q52&gt;R$35,0,(+P52/Q52)*O52/P52),0)</f>
        <v>0</v>
      </c>
      <c r="S52" s="197"/>
      <c r="T52" s="259"/>
      <c r="U52" s="260"/>
      <c r="V52" s="248"/>
      <c r="W52" s="255">
        <f>IFERROR(IF(V52&gt;W$35,0,(+U52/V52)*T52/U52),0)</f>
        <v>0</v>
      </c>
      <c r="X52" s="197"/>
      <c r="Y52" s="259"/>
      <c r="Z52" s="260"/>
      <c r="AA52" s="248"/>
      <c r="AB52" s="255">
        <f>IFERROR(IF(AA52&gt;AB$35,0,(+Z52/AA52)*Y52/Z52),0)</f>
        <v>0</v>
      </c>
      <c r="AC52" s="197"/>
      <c r="AD52" s="259"/>
      <c r="AE52" s="260"/>
      <c r="AF52" s="248"/>
      <c r="AG52" s="255">
        <f>IFERROR(IF(AF52&gt;AG$35,0,(+AE52/AF52)*AD52/AE52),0)</f>
        <v>0</v>
      </c>
      <c r="AH52" s="255"/>
      <c r="AI52" s="259"/>
      <c r="AJ52" s="260"/>
      <c r="AK52" s="248"/>
      <c r="AL52" s="255">
        <f>IFERROR(IF(AK52&gt;AL$35,0,(+AJ52/AK52)*AI52/AJ52),0)</f>
        <v>0</v>
      </c>
      <c r="AM52" s="255"/>
      <c r="AN52" s="255"/>
      <c r="AO52" s="255"/>
      <c r="AP52" s="255"/>
    </row>
    <row r="53" spans="2:42" ht="16">
      <c r="B53" s="243"/>
      <c r="C53" s="197"/>
      <c r="D53" s="197"/>
      <c r="E53" s="197"/>
      <c r="F53" s="253"/>
      <c r="G53" s="254"/>
      <c r="H53" s="256"/>
      <c r="I53" s="197"/>
      <c r="J53" s="197"/>
      <c r="K53" s="253"/>
      <c r="L53" s="254"/>
      <c r="M53" s="256"/>
      <c r="N53" s="197"/>
      <c r="O53" s="197"/>
      <c r="P53" s="253"/>
      <c r="Q53" s="254"/>
      <c r="R53" s="256"/>
      <c r="S53" s="197"/>
      <c r="T53" s="197"/>
      <c r="U53" s="253"/>
      <c r="V53" s="254"/>
      <c r="W53" s="256"/>
      <c r="X53" s="197"/>
      <c r="Y53" s="197"/>
      <c r="Z53" s="253"/>
      <c r="AA53" s="254"/>
      <c r="AB53" s="256"/>
      <c r="AC53" s="197"/>
      <c r="AD53" s="197"/>
      <c r="AE53" s="253"/>
      <c r="AF53" s="254"/>
      <c r="AG53" s="256"/>
      <c r="AH53" s="256"/>
      <c r="AI53" s="197"/>
      <c r="AJ53" s="253"/>
      <c r="AK53" s="254"/>
      <c r="AL53" s="256"/>
      <c r="AM53" s="256"/>
      <c r="AN53" s="256"/>
      <c r="AO53" s="256"/>
      <c r="AP53" s="256"/>
    </row>
    <row r="54" spans="2:42" ht="16">
      <c r="B54" s="243"/>
      <c r="C54" s="197"/>
      <c r="D54" s="197"/>
      <c r="E54" s="197"/>
      <c r="F54" s="253"/>
      <c r="G54" s="252" t="s">
        <v>269</v>
      </c>
      <c r="H54" s="252" t="s">
        <v>264</v>
      </c>
      <c r="I54" s="197"/>
      <c r="J54" s="197"/>
      <c r="K54" s="253"/>
      <c r="L54" s="252" t="s">
        <v>269</v>
      </c>
      <c r="M54" s="252" t="s">
        <v>264</v>
      </c>
      <c r="N54" s="197"/>
      <c r="O54" s="197"/>
      <c r="P54" s="253"/>
      <c r="Q54" s="252" t="s">
        <v>269</v>
      </c>
      <c r="R54" s="252" t="s">
        <v>264</v>
      </c>
      <c r="S54" s="197"/>
      <c r="T54" s="197"/>
      <c r="U54" s="253"/>
      <c r="V54" s="252" t="s">
        <v>269</v>
      </c>
      <c r="W54" s="252" t="s">
        <v>264</v>
      </c>
      <c r="X54" s="197"/>
      <c r="Y54" s="197"/>
      <c r="Z54" s="253"/>
      <c r="AA54" s="252" t="s">
        <v>269</v>
      </c>
      <c r="AB54" s="252" t="s">
        <v>264</v>
      </c>
      <c r="AC54" s="197"/>
      <c r="AD54" s="197"/>
      <c r="AE54" s="253"/>
      <c r="AF54" s="252" t="s">
        <v>269</v>
      </c>
      <c r="AG54" s="252" t="s">
        <v>264</v>
      </c>
      <c r="AH54" s="252"/>
      <c r="AI54" s="197"/>
      <c r="AJ54" s="253"/>
      <c r="AK54" s="252" t="s">
        <v>269</v>
      </c>
      <c r="AL54" s="252" t="s">
        <v>264</v>
      </c>
      <c r="AM54" s="252"/>
      <c r="AN54" s="252"/>
      <c r="AO54" s="252"/>
      <c r="AP54" s="252"/>
    </row>
    <row r="55" spans="2:42" ht="16">
      <c r="B55" s="243"/>
      <c r="C55" s="246" t="s">
        <v>270</v>
      </c>
      <c r="D55" s="197"/>
      <c r="E55" s="197"/>
      <c r="F55" s="253"/>
      <c r="G55" s="253">
        <v>0</v>
      </c>
      <c r="H55" s="255">
        <f>+G55</f>
        <v>0</v>
      </c>
      <c r="I55" s="255"/>
      <c r="J55" s="197"/>
      <c r="K55" s="253"/>
      <c r="L55" s="253">
        <v>0</v>
      </c>
      <c r="M55" s="255">
        <f>+L55</f>
        <v>0</v>
      </c>
      <c r="N55" s="197"/>
      <c r="O55" s="197"/>
      <c r="P55" s="253"/>
      <c r="Q55" s="253">
        <v>0</v>
      </c>
      <c r="R55" s="255">
        <f>+Q55</f>
        <v>0</v>
      </c>
      <c r="S55" s="197"/>
      <c r="T55" s="197"/>
      <c r="U55" s="253"/>
      <c r="V55" s="253">
        <v>0</v>
      </c>
      <c r="W55" s="255">
        <f>+V55</f>
        <v>0</v>
      </c>
      <c r="X55" s="197"/>
      <c r="Y55" s="197"/>
      <c r="Z55" s="253"/>
      <c r="AA55" s="253">
        <v>0</v>
      </c>
      <c r="AB55" s="255">
        <f>+AA55</f>
        <v>0</v>
      </c>
      <c r="AC55" s="197"/>
      <c r="AD55" s="197"/>
      <c r="AE55" s="253"/>
      <c r="AF55" s="253">
        <v>0</v>
      </c>
      <c r="AG55" s="255">
        <f>+AF55</f>
        <v>0</v>
      </c>
      <c r="AH55" s="255"/>
      <c r="AI55" s="197"/>
      <c r="AJ55" s="253"/>
      <c r="AK55" s="253">
        <v>0</v>
      </c>
      <c r="AL55" s="255">
        <f>+AK55</f>
        <v>0</v>
      </c>
      <c r="AM55" s="255"/>
      <c r="AN55" s="255"/>
      <c r="AO55" s="255"/>
      <c r="AP55" s="255"/>
    </row>
    <row r="56" spans="2:42" ht="16">
      <c r="B56" s="243"/>
      <c r="C56" s="246"/>
      <c r="D56" s="197"/>
      <c r="E56" s="197"/>
      <c r="F56" s="253"/>
      <c r="G56" s="253"/>
      <c r="H56" s="253"/>
      <c r="I56" s="197"/>
      <c r="J56" s="197"/>
      <c r="K56" s="253"/>
      <c r="L56" s="253"/>
      <c r="M56" s="253"/>
      <c r="N56" s="197"/>
      <c r="O56" s="197"/>
      <c r="P56" s="253"/>
      <c r="Q56" s="253"/>
      <c r="R56" s="253"/>
      <c r="S56" s="197"/>
      <c r="T56" s="197"/>
      <c r="U56" s="253"/>
      <c r="V56" s="253"/>
      <c r="W56" s="253"/>
      <c r="X56" s="197"/>
      <c r="Y56" s="197"/>
      <c r="Z56" s="253"/>
      <c r="AA56" s="253"/>
      <c r="AB56" s="253"/>
      <c r="AC56" s="197"/>
      <c r="AD56" s="197"/>
      <c r="AE56" s="253"/>
      <c r="AF56" s="253"/>
      <c r="AG56" s="253"/>
      <c r="AH56" s="253"/>
      <c r="AI56" s="197"/>
      <c r="AJ56" s="253"/>
      <c r="AK56" s="253"/>
      <c r="AL56" s="253"/>
      <c r="AM56" s="253"/>
      <c r="AN56" s="253"/>
      <c r="AO56" s="253"/>
      <c r="AP56" s="253"/>
    </row>
    <row r="57" spans="2:42" ht="16">
      <c r="B57" s="243"/>
      <c r="C57" s="246" t="s">
        <v>271</v>
      </c>
      <c r="D57" s="246"/>
      <c r="E57" s="197"/>
      <c r="F57" s="197"/>
      <c r="G57" s="197"/>
      <c r="H57" s="262">
        <f>+H55+SUM(H40:H48)+SUM(H51:H52)+H37</f>
        <v>63.9</v>
      </c>
      <c r="I57" s="197"/>
      <c r="J57" s="197"/>
      <c r="K57" s="197"/>
      <c r="L57" s="197"/>
      <c r="M57" s="262">
        <f>+M55+SUM(M40:M48)+SUM(M51:M52)+M37</f>
        <v>48.9</v>
      </c>
      <c r="N57" s="197"/>
      <c r="O57" s="197"/>
      <c r="P57" s="197"/>
      <c r="Q57" s="197"/>
      <c r="R57" s="262">
        <f>+R55+SUM(R40:R48)+SUM(R51:R52)+R37</f>
        <v>32.1</v>
      </c>
      <c r="S57" s="197"/>
      <c r="T57" s="197"/>
      <c r="U57" s="197"/>
      <c r="V57" s="197"/>
      <c r="W57" s="262">
        <f>+W55+SUM(W40:W48)+SUM(W51:W52)+W37</f>
        <v>77.099999999999994</v>
      </c>
      <c r="X57" s="197"/>
      <c r="Y57" s="197"/>
      <c r="Z57" s="197"/>
      <c r="AA57" s="197"/>
      <c r="AB57" s="262">
        <f>+AB55+SUM(AB40:AB48)+SUM(AB51:AB52)+AB37</f>
        <v>45.1</v>
      </c>
      <c r="AC57" s="197"/>
      <c r="AD57" s="197"/>
      <c r="AE57" s="197"/>
      <c r="AF57" s="197"/>
      <c r="AG57" s="262">
        <f>+AG55+SUM(AG40:AG48)+SUM(AG51:AG52)+AG37</f>
        <v>58.3</v>
      </c>
      <c r="AH57" s="262"/>
      <c r="AI57" s="197"/>
      <c r="AJ57" s="197"/>
      <c r="AK57" s="197"/>
      <c r="AL57" s="262">
        <f>+AL55+SUM(AL40:AL48)+SUM(AL51:AL52)+AL37</f>
        <v>151.4</v>
      </c>
      <c r="AM57" s="262"/>
      <c r="AN57" s="262"/>
      <c r="AO57" s="262"/>
      <c r="AP57" s="262"/>
    </row>
    <row r="58" spans="2:42" ht="16">
      <c r="B58" s="243"/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256"/>
      <c r="S58" s="197"/>
      <c r="T58" s="197"/>
      <c r="U58" s="197"/>
      <c r="V58" s="197"/>
      <c r="W58" s="197"/>
      <c r="X58" s="197"/>
      <c r="Y58" s="197"/>
      <c r="Z58" s="197"/>
      <c r="AA58" s="197"/>
      <c r="AB58" s="197"/>
      <c r="AC58" s="197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</row>
    <row r="59" spans="2:42" ht="16">
      <c r="B59" s="243"/>
      <c r="C59" s="197"/>
      <c r="D59" s="197"/>
      <c r="E59" s="232" t="s">
        <v>272</v>
      </c>
      <c r="F59" s="239"/>
      <c r="G59" s="239"/>
      <c r="H59" s="239"/>
      <c r="I59" s="197"/>
      <c r="J59" s="232" t="s">
        <v>272</v>
      </c>
      <c r="K59" s="239"/>
      <c r="L59" s="239"/>
      <c r="M59" s="239"/>
      <c r="N59" s="197"/>
      <c r="O59" s="232" t="s">
        <v>272</v>
      </c>
      <c r="P59" s="239"/>
      <c r="Q59" s="239"/>
      <c r="R59" s="239"/>
      <c r="S59" s="197"/>
      <c r="T59" s="232" t="s">
        <v>272</v>
      </c>
      <c r="U59" s="239"/>
      <c r="V59" s="239"/>
      <c r="W59" s="239"/>
      <c r="X59" s="197"/>
      <c r="Y59" s="232" t="s">
        <v>272</v>
      </c>
      <c r="Z59" s="239"/>
      <c r="AA59" s="239"/>
      <c r="AB59" s="239"/>
      <c r="AC59" s="197"/>
      <c r="AD59" s="232" t="s">
        <v>272</v>
      </c>
      <c r="AE59" s="239"/>
      <c r="AF59" s="239"/>
      <c r="AG59" s="239"/>
      <c r="AH59" s="245"/>
      <c r="AI59" s="232" t="s">
        <v>272</v>
      </c>
      <c r="AJ59" s="239"/>
      <c r="AK59" s="239"/>
      <c r="AL59" s="239"/>
      <c r="AM59" s="245"/>
      <c r="AN59" s="245"/>
      <c r="AO59" s="245"/>
      <c r="AP59" s="245"/>
    </row>
    <row r="60" spans="2:42" ht="16">
      <c r="B60" s="243"/>
      <c r="C60" s="197"/>
      <c r="D60" s="197"/>
      <c r="E60" s="247"/>
      <c r="F60" s="203"/>
      <c r="G60" s="203"/>
      <c r="H60" s="263"/>
      <c r="I60" s="197"/>
      <c r="J60" s="247"/>
      <c r="K60" s="203"/>
      <c r="L60" s="203"/>
      <c r="M60" s="203"/>
      <c r="N60" s="197"/>
      <c r="O60" s="247"/>
      <c r="P60" s="203"/>
      <c r="Q60" s="203"/>
      <c r="R60" s="203"/>
      <c r="S60" s="197"/>
      <c r="T60" s="247"/>
      <c r="U60" s="203"/>
      <c r="V60" s="203"/>
      <c r="W60" s="203"/>
      <c r="X60" s="197"/>
      <c r="Y60" s="247"/>
      <c r="Z60" s="203"/>
      <c r="AA60" s="203"/>
      <c r="AB60" s="203"/>
      <c r="AC60" s="197"/>
      <c r="AD60" s="247"/>
      <c r="AE60" s="203"/>
      <c r="AF60" s="203"/>
      <c r="AG60" s="203"/>
      <c r="AH60" s="203"/>
      <c r="AI60" s="247"/>
      <c r="AJ60" s="203"/>
      <c r="AK60" s="203"/>
      <c r="AL60" s="203"/>
      <c r="AM60" s="203"/>
      <c r="AN60" s="203"/>
      <c r="AO60" s="203"/>
      <c r="AP60" s="203"/>
    </row>
    <row r="61" spans="2:42" ht="16">
      <c r="B61" s="243"/>
      <c r="C61" s="197" t="s">
        <v>273</v>
      </c>
      <c r="D61" s="197"/>
      <c r="E61" s="247"/>
      <c r="F61" s="203"/>
      <c r="G61" s="203"/>
      <c r="H61" s="264">
        <f>+H57*H36</f>
        <v>1370.0160000000001</v>
      </c>
      <c r="I61" s="197"/>
      <c r="J61" s="247"/>
      <c r="K61" s="203"/>
      <c r="L61" s="203"/>
      <c r="M61" s="264">
        <f>+M57*M36</f>
        <v>4534.9859999999999</v>
      </c>
      <c r="N61" s="197"/>
      <c r="O61" s="247"/>
      <c r="P61" s="203"/>
      <c r="Q61" s="203"/>
      <c r="R61" s="264">
        <f>+R57*R36</f>
        <v>1812.3660000000002</v>
      </c>
      <c r="S61" s="197"/>
      <c r="T61" s="247"/>
      <c r="U61" s="203"/>
      <c r="V61" s="203"/>
      <c r="W61" s="264">
        <f>+W57*W36</f>
        <v>2314.5419999999999</v>
      </c>
      <c r="X61" s="197"/>
      <c r="Y61" s="247"/>
      <c r="Z61" s="203"/>
      <c r="AA61" s="203"/>
      <c r="AB61" s="264">
        <f>+AB57*AB36</f>
        <v>882.15599999999995</v>
      </c>
      <c r="AC61" s="197"/>
      <c r="AD61" s="247"/>
      <c r="AE61" s="203"/>
      <c r="AF61" s="203"/>
      <c r="AG61" s="264">
        <f>+AG57*AG36</f>
        <v>1127.5219999999999</v>
      </c>
      <c r="AH61" s="264"/>
      <c r="AI61" s="247"/>
      <c r="AJ61" s="203"/>
      <c r="AK61" s="203"/>
      <c r="AL61" s="264">
        <f>+AL57*AL36</f>
        <v>10352.732</v>
      </c>
      <c r="AM61" s="264"/>
      <c r="AN61" s="264"/>
      <c r="AO61" s="264"/>
      <c r="AP61" s="264"/>
    </row>
    <row r="62" spans="2:42" ht="16">
      <c r="B62" s="243"/>
      <c r="C62" s="197" t="s">
        <v>274</v>
      </c>
      <c r="D62" s="197"/>
      <c r="E62" s="197"/>
      <c r="F62" s="197"/>
      <c r="G62" s="197"/>
      <c r="H62" s="265">
        <f>+H61+SUM(H19:H27)</f>
        <v>1205.174</v>
      </c>
      <c r="I62" s="197"/>
      <c r="J62" s="197"/>
      <c r="K62" s="197"/>
      <c r="L62" s="197"/>
      <c r="M62" s="265">
        <f>+M61+SUM(M19:M27)</f>
        <v>3698.9859999999999</v>
      </c>
      <c r="N62" s="197"/>
      <c r="O62" s="197"/>
      <c r="P62" s="197"/>
      <c r="Q62" s="197"/>
      <c r="R62" s="265">
        <f>+R61+SUM(R19:R27)</f>
        <v>1152.8660000000002</v>
      </c>
      <c r="S62" s="197"/>
      <c r="T62" s="197"/>
      <c r="U62" s="197"/>
      <c r="V62" s="197"/>
      <c r="W62" s="265">
        <f>+W61+SUM(W19:W27)</f>
        <v>2053.0419999999999</v>
      </c>
      <c r="X62" s="197"/>
      <c r="Y62" s="197"/>
      <c r="Z62" s="197"/>
      <c r="AA62" s="197"/>
      <c r="AB62" s="265">
        <f>+AB61+SUM(AB19:AB27)</f>
        <v>1275.7559999999999</v>
      </c>
      <c r="AC62" s="197"/>
      <c r="AD62" s="197"/>
      <c r="AE62" s="197"/>
      <c r="AF62" s="197"/>
      <c r="AG62" s="265">
        <f>+AG61+SUM(AG19:AG27)</f>
        <v>1061.722</v>
      </c>
      <c r="AH62" s="265"/>
      <c r="AI62" s="197"/>
      <c r="AJ62" s="197"/>
      <c r="AK62" s="197"/>
      <c r="AL62" s="265">
        <f>+AL61+SUM(AL19:AL27)</f>
        <v>14062.332</v>
      </c>
      <c r="AM62" s="265"/>
      <c r="AN62" s="265"/>
      <c r="AO62" s="265"/>
      <c r="AP62" s="265"/>
    </row>
    <row r="63" spans="2:42" ht="16">
      <c r="B63" s="243"/>
      <c r="C63" s="197" t="s">
        <v>275</v>
      </c>
      <c r="D63" s="197"/>
      <c r="E63" s="197"/>
      <c r="F63" s="197"/>
      <c r="G63" s="197"/>
      <c r="H63" s="266">
        <v>1.48</v>
      </c>
      <c r="I63" s="197"/>
      <c r="J63" s="197"/>
      <c r="K63" s="197"/>
      <c r="L63" s="197"/>
      <c r="M63" s="266">
        <v>1.45</v>
      </c>
      <c r="N63" s="197"/>
      <c r="O63" s="197"/>
      <c r="P63" s="197"/>
      <c r="Q63" s="197"/>
      <c r="R63" s="266">
        <v>1.52</v>
      </c>
      <c r="S63" s="197"/>
      <c r="T63" s="197"/>
      <c r="U63" s="197"/>
      <c r="V63" s="197"/>
      <c r="W63" s="266">
        <v>1.1200000000000001</v>
      </c>
      <c r="X63" s="197"/>
      <c r="Y63" s="197"/>
      <c r="Z63" s="197"/>
      <c r="AA63" s="197"/>
      <c r="AB63" s="266">
        <v>2.0499999999999998</v>
      </c>
      <c r="AC63" s="197"/>
      <c r="AD63" s="197"/>
      <c r="AE63" s="197"/>
      <c r="AF63" s="197"/>
      <c r="AG63" s="266">
        <v>1.1000000000000001</v>
      </c>
      <c r="AH63" s="266"/>
      <c r="AI63" s="197"/>
      <c r="AJ63" s="197"/>
      <c r="AK63" s="197"/>
      <c r="AL63" s="266">
        <v>1.24</v>
      </c>
      <c r="AM63" s="266"/>
      <c r="AN63" s="266"/>
      <c r="AO63" s="266"/>
      <c r="AP63" s="266"/>
    </row>
    <row r="64" spans="2:42" ht="16">
      <c r="B64" s="243"/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  <c r="AA64" s="197"/>
      <c r="AB64" s="197"/>
      <c r="AC64" s="197"/>
      <c r="AD64" s="197"/>
      <c r="AE64" s="197"/>
      <c r="AF64" s="197"/>
      <c r="AG64" s="197"/>
      <c r="AH64" s="197"/>
      <c r="AI64" s="197"/>
      <c r="AJ64" s="197"/>
      <c r="AK64" s="197"/>
      <c r="AL64" s="197"/>
      <c r="AM64" s="197"/>
      <c r="AN64" s="197"/>
      <c r="AO64" s="197"/>
      <c r="AP64" s="197"/>
    </row>
    <row r="65" spans="2:42" ht="16">
      <c r="B65" s="243"/>
      <c r="C65" s="197"/>
      <c r="D65" s="197"/>
      <c r="E65" s="232" t="s">
        <v>276</v>
      </c>
      <c r="F65" s="239"/>
      <c r="G65" s="239"/>
      <c r="H65" s="239"/>
      <c r="I65" s="197"/>
      <c r="J65" s="232" t="s">
        <v>276</v>
      </c>
      <c r="K65" s="239"/>
      <c r="L65" s="239"/>
      <c r="M65" s="239"/>
      <c r="N65" s="197"/>
      <c r="O65" s="232" t="s">
        <v>276</v>
      </c>
      <c r="P65" s="239"/>
      <c r="Q65" s="239"/>
      <c r="R65" s="239"/>
      <c r="S65" s="197"/>
      <c r="T65" s="232" t="s">
        <v>276</v>
      </c>
      <c r="U65" s="239"/>
      <c r="V65" s="239"/>
      <c r="W65" s="239"/>
      <c r="X65" s="197"/>
      <c r="Y65" s="232" t="s">
        <v>276</v>
      </c>
      <c r="Z65" s="239"/>
      <c r="AA65" s="239"/>
      <c r="AB65" s="239"/>
      <c r="AC65" s="197"/>
      <c r="AD65" s="232" t="s">
        <v>276</v>
      </c>
      <c r="AE65" s="239"/>
      <c r="AF65" s="239"/>
      <c r="AG65" s="239"/>
      <c r="AH65" s="245"/>
      <c r="AI65" s="232" t="s">
        <v>276</v>
      </c>
      <c r="AJ65" s="239"/>
      <c r="AK65" s="239"/>
      <c r="AL65" s="239"/>
      <c r="AM65" s="245"/>
      <c r="AN65" s="245"/>
      <c r="AO65" s="245"/>
      <c r="AP65" s="245"/>
    </row>
    <row r="66" spans="2:42" ht="16">
      <c r="B66" s="243"/>
      <c r="C66" s="197"/>
      <c r="D66" s="197"/>
      <c r="E66" s="267" t="str">
        <f>H7</f>
        <v>LTM</v>
      </c>
      <c r="F66" s="204">
        <f>E30</f>
        <v>46022</v>
      </c>
      <c r="G66" s="204">
        <f>F30</f>
        <v>46387</v>
      </c>
      <c r="H66" s="204">
        <f>G30</f>
        <v>46752</v>
      </c>
      <c r="I66" s="197"/>
      <c r="J66" s="267" t="str">
        <f>M7</f>
        <v>LTM</v>
      </c>
      <c r="K66" s="267">
        <f>J30</f>
        <v>46022</v>
      </c>
      <c r="L66" s="267">
        <f>K30</f>
        <v>46387</v>
      </c>
      <c r="M66" s="267">
        <f>L30</f>
        <v>46752</v>
      </c>
      <c r="N66" s="197"/>
      <c r="O66" s="267" t="str">
        <f>R7</f>
        <v>LTM</v>
      </c>
      <c r="P66" s="267">
        <f>O30</f>
        <v>46022</v>
      </c>
      <c r="Q66" s="267">
        <f>P30</f>
        <v>46387</v>
      </c>
      <c r="R66" s="267">
        <f>Q30</f>
        <v>46752</v>
      </c>
      <c r="S66" s="197"/>
      <c r="T66" s="267" t="str">
        <f>W7</f>
        <v>LTM</v>
      </c>
      <c r="U66" s="267">
        <f>T30</f>
        <v>46022</v>
      </c>
      <c r="V66" s="267">
        <f>U30</f>
        <v>46387</v>
      </c>
      <c r="W66" s="267">
        <f>V30</f>
        <v>46752</v>
      </c>
      <c r="X66" s="197"/>
      <c r="Y66" s="267" t="str">
        <f>AB7</f>
        <v>LTM</v>
      </c>
      <c r="Z66" s="267">
        <f>Y30</f>
        <v>46022</v>
      </c>
      <c r="AA66" s="267">
        <f>Z30</f>
        <v>46387</v>
      </c>
      <c r="AB66" s="267">
        <f>AA30</f>
        <v>46752</v>
      </c>
      <c r="AC66" s="197"/>
      <c r="AD66" s="267" t="str">
        <f>AG7</f>
        <v>LTM</v>
      </c>
      <c r="AE66" s="267">
        <f>AD30</f>
        <v>46022</v>
      </c>
      <c r="AF66" s="267">
        <f>AE30</f>
        <v>46387</v>
      </c>
      <c r="AG66" s="267">
        <f>AF30</f>
        <v>46752</v>
      </c>
      <c r="AH66" s="268"/>
      <c r="AI66" s="267" t="str">
        <f>AL7</f>
        <v>LTM</v>
      </c>
      <c r="AJ66" s="267">
        <f>AI30</f>
        <v>46022</v>
      </c>
      <c r="AK66" s="267">
        <f>AJ30</f>
        <v>46387</v>
      </c>
      <c r="AL66" s="267">
        <f>AK30</f>
        <v>46752</v>
      </c>
      <c r="AM66" s="268"/>
      <c r="AN66" s="268"/>
      <c r="AO66" s="268"/>
      <c r="AP66" s="268"/>
    </row>
    <row r="67" spans="2:42" ht="16">
      <c r="B67" s="243"/>
      <c r="C67" s="197" t="s">
        <v>277</v>
      </c>
      <c r="D67" s="197"/>
      <c r="E67" s="269">
        <f>IFERROR(IF(OR(+H$62/H8&lt;0,+H$62/H8&gt;=100),"NM",+H$62/H8), "N/A")</f>
        <v>1.502186269132971</v>
      </c>
      <c r="F67" s="269">
        <f>IFERROR(IF(OR(+H62/E31&lt;0,+H62/E31&gt;=100),"NM",+H62/E31), "N/A")</f>
        <v>1.2413800931466143</v>
      </c>
      <c r="G67" s="269">
        <f t="shared" ref="G67:H68" si="25">IFERROR(IF(OR(+$H$62/F31&lt;0,+$H$62/F31&gt;=100),"NM",+$H$62/F31), "N/A")</f>
        <v>0.96474925001185108</v>
      </c>
      <c r="H67" s="269">
        <f t="shared" si="25"/>
        <v>0.73722764958293319</v>
      </c>
      <c r="I67" s="197"/>
      <c r="J67" s="269">
        <f>IFERROR(IF(OR(+M$62/M8&lt;0,+M$62/M8&gt;=100),"NM",+M$62/M8),"N/A")</f>
        <v>3.6084851913996951</v>
      </c>
      <c r="K67" s="269">
        <f>IFERROR(IF(OR(+$M$62/J31&lt;0,+$M$62/J31&gt;=100),"NM",+$M$62/J31), "N/A")</f>
        <v>3.6879222333000996</v>
      </c>
      <c r="L67" s="269">
        <f t="shared" ref="L67:M67" si="26">IFERROR(IF(OR(+$M$62/K31&lt;0,+$M$62/K31&gt;=100),"NM",+$M$62/K31), "N/A")</f>
        <v>3.4029310027598894</v>
      </c>
      <c r="M67" s="269">
        <f t="shared" si="26"/>
        <v>3.0876343906510852</v>
      </c>
      <c r="N67" s="197"/>
      <c r="O67" s="269">
        <f>IFERROR(IF(OR(+R$62/R8&lt;0,+R$62/R8&gt;=100),"NM",+R$62/R8),"N/A")</f>
        <v>1.2033338204287833</v>
      </c>
      <c r="P67" s="269">
        <f>IFERROR(IF(OR(+$R$62/O31&lt;0,+$R$62/O31&gt;=100),"NM",+$R$62/O31), "N/A")</f>
        <v>1.531030544488712</v>
      </c>
      <c r="Q67" s="269">
        <f>IFERROR(IF(OR(+R62/P31&lt;0,+R62/P31&gt;=100),"NM",+R62/P31), "N/A")</f>
        <v>1.4232913580246915</v>
      </c>
      <c r="R67" s="269">
        <f>IFERROR(IF(OR(+R62/Q31&lt;0,+R62/Q31&gt;=100),"NM",+R62/Q31), "N/A")</f>
        <v>1.3231338180155467</v>
      </c>
      <c r="S67" s="197"/>
      <c r="T67" s="269">
        <f>IFERROR(IF(OR(+W$62/W8&lt;0,+W$62/W8&gt;=100),"NM",+W$62/W8),"N/A")</f>
        <v>2.6794069665766154</v>
      </c>
      <c r="U67" s="269">
        <f>IFERROR(IF(OR(+$W$62/T31&lt;0,+$W$62/T31&gt;=100),"NM",+$W$62/T31), "N/A")</f>
        <v>2.6732317708333331</v>
      </c>
      <c r="V67" s="269">
        <f t="shared" ref="V67:W68" si="27">IFERROR(IF(OR(+$W$62/U31&lt;0,+$W$62/U31&gt;=100),"NM",+$W$62/U31), "N/A")</f>
        <v>2.4915558252427181</v>
      </c>
      <c r="W67" s="269">
        <f t="shared" si="27"/>
        <v>2.3330022727272728</v>
      </c>
      <c r="X67" s="197"/>
      <c r="Y67" s="269">
        <f>IFERROR(IF(OR(+AB$62/AB8&lt;0,+AB$62/AB8&gt;=100),"NM",+AB$62/AB8),"N/A")</f>
        <v>0.59656581716156176</v>
      </c>
      <c r="Z67" s="269">
        <f>IFERROR(IF(OR(+$AB$62/Y31&lt;0,+$AB$62/Y31&gt;=100),"NM",+$AB$62/Y31), "N/A")</f>
        <v>0.63250173525037179</v>
      </c>
      <c r="AA67" s="269">
        <f t="shared" ref="AA67:AB67" si="28">IFERROR(IF(OR(+$AB$62/Z31&lt;0,+$AB$62/Z31&gt;=100),"NM",+$AB$62/Z31), "N/A")</f>
        <v>0.62110808179162602</v>
      </c>
      <c r="AB67" s="269">
        <f t="shared" si="28"/>
        <v>0.56175957727873183</v>
      </c>
      <c r="AC67" s="197"/>
      <c r="AD67" s="269">
        <f>IFERROR(IF(OR(+AG$62/AG8&lt;0,+AG$62/AG8&gt;=100),"NM",+AG$62/AG8),"N/A")</f>
        <v>1.4951514554083172</v>
      </c>
      <c r="AE67" s="269">
        <f t="shared" ref="AE67:AF67" si="29">IFERROR(IF(OR(+$AG$62/AD31&lt;0,+$AG$62/AD31&gt;=100),"NM",+$AG$62/AD31), "N/A")</f>
        <v>1.6409922720247294</v>
      </c>
      <c r="AF67" s="269">
        <f t="shared" si="29"/>
        <v>1.4890911640953717</v>
      </c>
      <c r="AG67" s="269">
        <f>IFERROR(IF(OR(+$AG$62/AF31&lt;0,+$AG$62/AF31&gt;=100),"NM",+$AG$62/AF31), "N/A")</f>
        <v>1.3611820512820512</v>
      </c>
      <c r="AH67" s="269"/>
      <c r="AI67" s="269">
        <f>IFERROR(IF(OR(+AL$62/AL8&lt;0,+AL$62/AL8&gt;=100),"NM",+AL$62/AL8),"N/A")</f>
        <v>4.3356627746723362</v>
      </c>
      <c r="AJ67" s="269">
        <f t="shared" ref="AJ67:AK67" si="30">IFERROR(IF(OR(+$AG$62/AI31&lt;0,+$AG$62/AI31&gt;=100),"NM",+$AG$62/AI31), "N/A")</f>
        <v>0.33387484276729557</v>
      </c>
      <c r="AK67" s="269">
        <f t="shared" si="30"/>
        <v>0.3017970437748721</v>
      </c>
      <c r="AL67" s="269">
        <f>IFERROR(IF(OR(+$AG$62/AK31&lt;0,+$AG$62/AK31&gt;=100),"NM",+$AG$62/AK31), "N/A")</f>
        <v>0.27634617386777721</v>
      </c>
      <c r="AM67" s="269"/>
      <c r="AN67" s="269"/>
      <c r="AO67" s="269"/>
      <c r="AP67" s="269"/>
    </row>
    <row r="68" spans="2:42" ht="16">
      <c r="B68" s="243"/>
      <c r="C68" s="197" t="s">
        <v>278</v>
      </c>
      <c r="D68" s="197"/>
      <c r="E68" s="269">
        <f>IFERROR(IF(OR(+H$62/H14&lt;0,+H$62/H14&gt;=100),"NM",+H$62/H14), "N/A")</f>
        <v>7.4384273546475734</v>
      </c>
      <c r="F68" s="269">
        <f>IFERROR(IF(OR(+$H$62/E32&lt;0,+$H$62/E32&gt;=100),"NM",+$H$62/E32), "N/A")</f>
        <v>4.4989680435372996</v>
      </c>
      <c r="G68" s="269">
        <f t="shared" si="25"/>
        <v>3.1717730426377981</v>
      </c>
      <c r="H68" s="269">
        <f t="shared" si="25"/>
        <v>2.5897427102780259</v>
      </c>
      <c r="I68" s="197"/>
      <c r="J68" s="269">
        <f>IFERROR(IF(OR(+M$62/M14&lt;0,+M$62/M14&gt;=100),"NM",+M$62/M14),"N/A")</f>
        <v>13.751388527454552</v>
      </c>
      <c r="K68" s="269">
        <f>IFERROR(IF(OR(+$M$62/J32&lt;0,+$M$62/J32&gt;=100),"NM",+$M$62/J32),"N/A")</f>
        <v>13.599213235294117</v>
      </c>
      <c r="L68" s="269">
        <f t="shared" ref="L68:M68" si="31">IFERROR(IF(OR(+$M$62/K32&lt;0,+$M$62/K32&gt;=100),"NM",+$M$62/K32),"N/A")</f>
        <v>11.742812698412697</v>
      </c>
      <c r="M68" s="269">
        <f t="shared" si="31"/>
        <v>8.9781213592232998</v>
      </c>
      <c r="N68" s="197"/>
      <c r="O68" s="269">
        <f>IFERROR(IF(OR(+$R$62/R14&lt;0,+$R$62/R14&gt;=100),"NM",+$R$62/R14),"N/A")</f>
        <v>5.974946877429387</v>
      </c>
      <c r="P68" s="269">
        <f>IFERROR(IF(OR(+$R$62/O32&lt;0,+$R$62/O32&gt;=100),"NM",+$R$62/O32),"N/A")</f>
        <v>10.674685185185186</v>
      </c>
      <c r="Q68" s="269">
        <f t="shared" ref="Q68:R68" si="32">IFERROR(IF(OR(+$R$62/P32&lt;0,+$R$62/P32&gt;=100),"NM",+$R$62/P32),"N/A")</f>
        <v>9.7700508474576289</v>
      </c>
      <c r="R68" s="269">
        <f t="shared" si="32"/>
        <v>8.9420804366561359</v>
      </c>
      <c r="S68" s="197"/>
      <c r="T68" s="269">
        <f>IFERROR(IF(OR(+W$62/W14&lt;0,+W$62/W14&gt;=100),"NM",+W$62/W14),"N/A")</f>
        <v>25.554418720438136</v>
      </c>
      <c r="U68" s="269">
        <f>IFERROR(IF(OR(+$W$62/T32&lt;0,+$W$62/T32&gt;=100),"NM",+$W$62/T32), "N/A")</f>
        <v>17.398661016949152</v>
      </c>
      <c r="V68" s="269">
        <f t="shared" si="27"/>
        <v>13.418575163398692</v>
      </c>
      <c r="W68" s="269">
        <f t="shared" si="27"/>
        <v>10.348966465889188</v>
      </c>
      <c r="X68" s="197"/>
      <c r="Y68" s="269">
        <f>IFERROR(IF(OR(+AB$62/AB14&lt;0,+AB$62/AB14&gt;=100),"NM",+AB$62/AB14),"N/A")</f>
        <v>11.400857908847183</v>
      </c>
      <c r="Z68" s="269">
        <f>IFERROR(IF(OR(+$AB$62/Y32&lt;0,+$AB$62/Y32&gt;=100),"NM",+$AB$62/Y32),"N/A")</f>
        <v>8.1258343949044569</v>
      </c>
      <c r="AA68" s="269">
        <f t="shared" ref="AA68:AB68" si="33">IFERROR(IF(OR(+$AB$62/Z32&lt;0,+$AB$62/Z32&gt;=100),"NM",+$AB$62/Z32),"N/A")</f>
        <v>8.5050399999999993</v>
      </c>
      <c r="AB68" s="269">
        <f t="shared" si="33"/>
        <v>5.8253698630136981</v>
      </c>
      <c r="AC68" s="197"/>
      <c r="AD68" s="269">
        <f>IFERROR(IF(OR(+AG$62/AG14&lt;0,+AG$62/AG14&gt;=100),"NM",+AG$62/AG14),"N/A")</f>
        <v>7.9304003585300267</v>
      </c>
      <c r="AE68" s="269">
        <f>IFERROR(IF(OR(+$AG$62/AD32&lt;0,+$AG$62/AD32&gt;=100),"NM",+$AG$62/AD32),"N/A")</f>
        <v>10.945587628865979</v>
      </c>
      <c r="AF68" s="269">
        <f t="shared" ref="AF68:AG68" si="34">IFERROR(IF(OR(+$AG$62/AE32&lt;0,+$AG$62/AE32&gt;=100),"NM",+$AG$62/AE32),"N/A")</f>
        <v>10.208865384615384</v>
      </c>
      <c r="AG68" s="269">
        <f t="shared" si="34"/>
        <v>7.9828721804511273</v>
      </c>
      <c r="AH68" s="269"/>
      <c r="AI68" s="269">
        <f>IFERROR(IF(OR(+AL$62/AL14&lt;0,+AL$62/AL14&gt;=100),"NM",+AL$62/AL14),"N/A")</f>
        <v>26.218573692551505</v>
      </c>
      <c r="AJ68" s="269">
        <f>IFERROR(IF(OR(+$AG$62/AI32&lt;0,+$AG$62/AI32&gt;=100),"NM",+$AG$62/AI32),"N/A")</f>
        <v>1.1578211559432934</v>
      </c>
      <c r="AK68" s="269">
        <f t="shared" ref="AK68:AL68" si="35">IFERROR(IF(OR(+$AG$62/AJ32&lt;0,+$AG$62/AJ32&gt;=100),"NM",+$AG$62/AJ32),"N/A")</f>
        <v>0.99133706816059752</v>
      </c>
      <c r="AL68" s="269">
        <f t="shared" si="35"/>
        <v>0.87745619834710742</v>
      </c>
      <c r="AM68" s="269"/>
      <c r="AN68" s="269"/>
      <c r="AO68" s="269"/>
      <c r="AP68" s="269"/>
    </row>
    <row r="69" spans="2:42" ht="16">
      <c r="B69" s="243"/>
      <c r="C69" s="197" t="s">
        <v>279</v>
      </c>
      <c r="D69" s="197"/>
      <c r="E69" s="269">
        <f>IFERROR(IF(OR(+H$61/H9&lt;0,+H$61/H9&gt;=100),"NM",+H$61/H9), "N/A")</f>
        <v>12.854344154625636</v>
      </c>
      <c r="F69" s="269">
        <f>IFERROR(IF(OR($H$61/E$33&lt;0,+$H$61/E$33&gt;=100),"NM",+$H$61/E$33), "N/A")</f>
        <v>6.8008117836169344</v>
      </c>
      <c r="G69" s="269">
        <f>IFERROR(IF(OR(H61/F$33&lt;0,+H61/F$33&gt;=100),"NM",+H61/F$33), "N/A")</f>
        <v>4.7882029498087189</v>
      </c>
      <c r="H69" s="269">
        <f>IFERROR(IF(OR(H61/G$33&lt;0,+H61/G$33&gt;=100),"NM",+H61/G$33), "N/A")</f>
        <v>3.9132190671323674</v>
      </c>
      <c r="I69" s="197"/>
      <c r="J69" s="269">
        <f>IFERROR(IF(OR(+M$61/M9&lt;0,+M$61/M9&gt;=100),"NM",+M$61/M9), "N/A")</f>
        <v>20.715265850539009</v>
      </c>
      <c r="K69" s="269">
        <f>IFERROR(IF(OR($M$61/J$33&lt;0,+$M$61/J$33&gt;=100),"NM",+$M$61/J$33), "N/A")</f>
        <v>17.92484584980237</v>
      </c>
      <c r="L69" s="269">
        <f>IFERROR(IF(OR(M61/K$33&lt;0,+M61/K$33&gt;=100),"NM",+M61/K$33), "N/A")</f>
        <v>15.584144329896906</v>
      </c>
      <c r="M69" s="269">
        <f t="shared" ref="M69" si="36">IFERROR(IF(OR(M61/L$33&lt;0,+M61/L$33&gt;=100),"NM",+M61/L$33), "N/A")</f>
        <v>12.703042016806723</v>
      </c>
      <c r="N69" s="197"/>
      <c r="O69" s="269">
        <f>IFERROR(IF(OR(+R$61/R9&lt;0,+R$61/R9&gt;=100),"NM",+R$61/R9), "N/A")</f>
        <v>10.183547788953195</v>
      </c>
      <c r="P69" s="269">
        <f>IFERROR(IF(OR($R$61/O$33&lt;0,+$R$61/O$33&gt;=100),"NM",+$R$61/O$33), "N/A")</f>
        <v>17.595786407766994</v>
      </c>
      <c r="Q69" s="269">
        <f>IFERROR(IF(OR(R61/P$33&lt;0,+R61/P$33&gt;=100),"NM",+R61/P$33), "N/A")</f>
        <v>15.359033898305087</v>
      </c>
      <c r="R69" s="269">
        <f t="shared" ref="R69" si="37">IFERROR(IF(OR(R61/Q$33&lt;0,+R61/Q$33&gt;=100),"NM",+R61/Q$33), "N/A")</f>
        <v>13.406614334961221</v>
      </c>
      <c r="S69" s="197"/>
      <c r="T69" s="269">
        <f>IFERROR(IF(OR(+W$61/W9&lt;0,+W$61/W9&gt;=100),"NM",+W$61/W9),"N/A")</f>
        <v>42.680103263876077</v>
      </c>
      <c r="U69" s="269">
        <f>IFERROR(IF(OR(+W$61/T33&lt;0,+W$61/T33&gt;=100),"NM",+W$61/T33),"N/A")</f>
        <v>45.383176470588232</v>
      </c>
      <c r="V69" s="269">
        <f>IFERROR(IF(OR(+W$61/U33&lt;0,+W$61/U33&gt;=100),"NM",+W$61/U33),"N/A")</f>
        <v>29.673615384615385</v>
      </c>
      <c r="W69" s="269">
        <f>IFERROR(IF(OR(+W$61/V33&lt;0,+W$61/V33&gt;=100),"NM",+W$61/V33),"N/A")</f>
        <v>19.401979289940829</v>
      </c>
      <c r="X69" s="197"/>
      <c r="Y69" s="269">
        <f>IFERROR(IF(OR(+AB$61/AB9&lt;0,+AB$61/AB9&gt;=100),"NM",+AB$61/AB9),"N/A")</f>
        <v>45.707564766839383</v>
      </c>
      <c r="Z69" s="269">
        <f>IFERROR(IF(OR(+$AB$61/Y33&lt;0,+$AB$61/Y33&gt;=100),"NM",+$AB$61/Y33),"N/A")</f>
        <v>17.297176470588234</v>
      </c>
      <c r="AA69" s="269">
        <f t="shared" ref="AA69:AB69" si="38">IFERROR(IF(OR(+$AB$61/Z33&lt;0,+$AB$61/Z33&gt;=100),"NM",+$AB$61/Z33),"N/A")</f>
        <v>14.228322580645161</v>
      </c>
      <c r="AB69" s="269">
        <f t="shared" si="38"/>
        <v>11.309692307692307</v>
      </c>
      <c r="AC69" s="197"/>
      <c r="AD69" s="269">
        <f>IFERROR(IF(OR(+AG$61/AG9&lt;0,+AG$61/AG9&gt;=100),"NM",+AG$61/AG9),"N/A")</f>
        <v>10.487601153381082</v>
      </c>
      <c r="AE69" s="269">
        <f>IFERROR(IF(OR(+$AG$61/AD33&lt;0,+$AG$61/AD33&gt;=100),"NM",+$AG$61/AD33),"N/A")</f>
        <v>17.346492307692305</v>
      </c>
      <c r="AF69" s="269">
        <f t="shared" ref="AF69:AG69" si="39">IFERROR(IF(OR(+$AG$61/AE33&lt;0,+$AG$61/AE33&gt;=100),"NM",+$AG$61/AE33),"N/A")</f>
        <v>12.255673913043477</v>
      </c>
      <c r="AG69" s="269">
        <f t="shared" si="39"/>
        <v>8.6589000472589781</v>
      </c>
      <c r="AH69" s="269"/>
      <c r="AI69" s="269">
        <f>IFERROR(IF(OR(+AL$61/AL9&lt;0,+AL$61/AL9&gt;=100),"NM",+AL$61/AL9),"N/A")</f>
        <v>1.4424873902744879</v>
      </c>
      <c r="AJ69" s="269">
        <f>IFERROR(IF(OR(+$AG$61/AI33&lt;0,+$AG$61/AI33&gt;=100),"NM",+$AG$61/AI33),"N/A")</f>
        <v>2.5979769585253454</v>
      </c>
      <c r="AK69" s="269">
        <f t="shared" ref="AK69:AL69" si="40">IFERROR(IF(OR(+$AG$61/AJ33&lt;0,+$AG$61/AJ33&gt;=100),"NM",+$AG$61/AJ33),"N/A")</f>
        <v>1.9677521815008725</v>
      </c>
      <c r="AL69" s="269">
        <f t="shared" si="40"/>
        <v>1.6200028735632184</v>
      </c>
      <c r="AM69" s="269"/>
      <c r="AN69" s="269"/>
      <c r="AO69" s="269"/>
      <c r="AP69" s="269"/>
    </row>
    <row r="70" spans="2:42" ht="16">
      <c r="B70" s="243"/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  <c r="AA70" s="197"/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197"/>
    </row>
    <row r="71" spans="2:42" ht="16">
      <c r="B71" s="243"/>
      <c r="C71" s="197"/>
      <c r="D71" s="197"/>
      <c r="E71" s="232" t="s">
        <v>280</v>
      </c>
      <c r="F71" s="239"/>
      <c r="G71" s="239"/>
      <c r="H71" s="239"/>
      <c r="I71" s="197"/>
      <c r="J71" s="232" t="s">
        <v>280</v>
      </c>
      <c r="K71" s="239"/>
      <c r="L71" s="239"/>
      <c r="M71" s="239"/>
      <c r="N71" s="197"/>
      <c r="O71" s="232" t="s">
        <v>280</v>
      </c>
      <c r="P71" s="239"/>
      <c r="Q71" s="239"/>
      <c r="R71" s="239"/>
      <c r="S71" s="197"/>
      <c r="T71" s="232" t="s">
        <v>280</v>
      </c>
      <c r="U71" s="239"/>
      <c r="V71" s="239"/>
      <c r="W71" s="239"/>
      <c r="X71" s="197"/>
      <c r="Y71" s="232" t="s">
        <v>280</v>
      </c>
      <c r="Z71" s="239"/>
      <c r="AA71" s="239"/>
      <c r="AB71" s="239"/>
      <c r="AC71" s="197"/>
      <c r="AD71" s="232" t="s">
        <v>280</v>
      </c>
      <c r="AE71" s="239"/>
      <c r="AF71" s="239"/>
      <c r="AG71" s="239"/>
      <c r="AH71" s="245"/>
      <c r="AI71" s="232" t="s">
        <v>280</v>
      </c>
      <c r="AJ71" s="239"/>
      <c r="AK71" s="239"/>
      <c r="AL71" s="239"/>
      <c r="AM71" s="245"/>
      <c r="AN71" s="245"/>
      <c r="AO71" s="245"/>
      <c r="AP71" s="245"/>
    </row>
    <row r="72" spans="2:42" ht="16">
      <c r="B72" s="243"/>
      <c r="C72" s="197"/>
      <c r="D72" s="197"/>
      <c r="E72" s="270"/>
      <c r="F72" s="270"/>
      <c r="G72" s="270"/>
      <c r="H72" s="270"/>
      <c r="I72" s="197"/>
      <c r="J72" s="270"/>
      <c r="K72" s="270"/>
      <c r="L72" s="270"/>
      <c r="M72" s="270"/>
      <c r="N72" s="197"/>
      <c r="O72" s="270"/>
      <c r="P72" s="270"/>
      <c r="Q72" s="270"/>
      <c r="R72" s="270"/>
      <c r="S72" s="197"/>
      <c r="T72" s="270"/>
      <c r="U72" s="270"/>
      <c r="V72" s="270"/>
      <c r="W72" s="270"/>
      <c r="X72" s="197"/>
      <c r="Y72" s="270"/>
      <c r="Z72" s="270"/>
      <c r="AA72" s="270"/>
      <c r="AB72" s="270"/>
      <c r="AC72" s="197"/>
      <c r="AD72" s="270"/>
      <c r="AE72" s="270"/>
      <c r="AF72" s="270"/>
      <c r="AG72" s="270"/>
      <c r="AH72" s="197"/>
      <c r="AI72" s="270"/>
      <c r="AJ72" s="270"/>
      <c r="AK72" s="270"/>
      <c r="AL72" s="270"/>
      <c r="AM72" s="197"/>
      <c r="AN72" s="197"/>
      <c r="AO72" s="197"/>
      <c r="AP72" s="197"/>
    </row>
    <row r="73" spans="2:42" ht="16">
      <c r="B73" s="243"/>
      <c r="C73" s="197" t="str">
        <f>TEXT(Forward_Year_1,"yyyy-mm-dd")&amp;" "&amp;C31</f>
        <v>2025-12-31 Revenue:</v>
      </c>
      <c r="D73" s="197"/>
      <c r="E73" s="270"/>
      <c r="F73" s="270"/>
      <c r="G73" s="270"/>
      <c r="H73" s="271">
        <f>+E31</f>
        <v>970.83399891258102</v>
      </c>
      <c r="I73" s="197"/>
      <c r="J73" s="270"/>
      <c r="K73" s="270"/>
      <c r="L73" s="270"/>
      <c r="M73" s="271">
        <f>+J31</f>
        <v>1003</v>
      </c>
      <c r="N73" s="197"/>
      <c r="O73" s="270"/>
      <c r="P73" s="270"/>
      <c r="Q73" s="270"/>
      <c r="R73" s="271">
        <f>+O31</f>
        <v>753</v>
      </c>
      <c r="S73" s="197"/>
      <c r="T73" s="270"/>
      <c r="U73" s="270"/>
      <c r="V73" s="270"/>
      <c r="W73" s="271">
        <f>+T31</f>
        <v>768</v>
      </c>
      <c r="X73" s="197"/>
      <c r="Y73" s="270"/>
      <c r="Z73" s="270"/>
      <c r="AA73" s="270"/>
      <c r="AB73" s="271">
        <f>+Y31</f>
        <v>2017</v>
      </c>
      <c r="AC73" s="197"/>
      <c r="AD73" s="270"/>
      <c r="AE73" s="270"/>
      <c r="AF73" s="270"/>
      <c r="AG73" s="271">
        <f>+AD31</f>
        <v>647</v>
      </c>
      <c r="AH73" s="271"/>
      <c r="AI73" s="270"/>
      <c r="AJ73" s="270"/>
      <c r="AK73" s="270"/>
      <c r="AL73" s="271">
        <f>+AI31</f>
        <v>3180</v>
      </c>
      <c r="AM73" s="271"/>
      <c r="AN73" s="271"/>
      <c r="AO73" s="271"/>
      <c r="AP73" s="271"/>
    </row>
    <row r="74" spans="2:42" ht="16">
      <c r="B74" s="243"/>
      <c r="C74" s="197" t="str">
        <f>TEXT(Forward_Year_1,"yyyy-mm-dd")&amp;" "&amp;C32</f>
        <v>2025-12-31 EBITDA:</v>
      </c>
      <c r="D74" s="197"/>
      <c r="E74" s="270"/>
      <c r="F74" s="270"/>
      <c r="G74" s="270"/>
      <c r="H74" s="272">
        <f>+E32</f>
        <v>267.87787517877894</v>
      </c>
      <c r="I74" s="197"/>
      <c r="J74" s="270"/>
      <c r="K74" s="270"/>
      <c r="L74" s="270"/>
      <c r="M74" s="272">
        <f>+J32</f>
        <v>272</v>
      </c>
      <c r="N74" s="197"/>
      <c r="O74" s="270"/>
      <c r="P74" s="270"/>
      <c r="Q74" s="270"/>
      <c r="R74" s="272">
        <f>+O32</f>
        <v>108</v>
      </c>
      <c r="S74" s="197"/>
      <c r="T74" s="270"/>
      <c r="U74" s="270"/>
      <c r="V74" s="270"/>
      <c r="W74" s="272">
        <f>+T32</f>
        <v>118</v>
      </c>
      <c r="X74" s="197"/>
      <c r="Y74" s="270"/>
      <c r="Z74" s="270"/>
      <c r="AA74" s="270"/>
      <c r="AB74" s="272">
        <f>+Y32</f>
        <v>157</v>
      </c>
      <c r="AC74" s="197"/>
      <c r="AD74" s="270"/>
      <c r="AE74" s="270"/>
      <c r="AF74" s="270"/>
      <c r="AG74" s="272">
        <f>+AD32</f>
        <v>97</v>
      </c>
      <c r="AH74" s="272"/>
      <c r="AI74" s="270"/>
      <c r="AJ74" s="270"/>
      <c r="AK74" s="270"/>
      <c r="AL74" s="272">
        <f>+AI32</f>
        <v>917</v>
      </c>
      <c r="AM74" s="272"/>
      <c r="AN74" s="272"/>
      <c r="AO74" s="272"/>
      <c r="AP74" s="272"/>
    </row>
    <row r="75" spans="2:42" ht="16">
      <c r="B75" s="243"/>
      <c r="C75" s="197" t="str">
        <f>TEXT(Forward_Year_1,"yyyy-mm-dd")&amp;" "&amp;C33</f>
        <v>2025-12-31 Reported Net Income:</v>
      </c>
      <c r="D75" s="197"/>
      <c r="E75" s="270"/>
      <c r="F75" s="270"/>
      <c r="G75" s="270"/>
      <c r="H75" s="272">
        <f>+E33</f>
        <v>201.44889221906575</v>
      </c>
      <c r="I75" s="197"/>
      <c r="J75" s="270"/>
      <c r="K75" s="270"/>
      <c r="L75" s="270"/>
      <c r="M75" s="272">
        <f>+J33</f>
        <v>253</v>
      </c>
      <c r="N75" s="197"/>
      <c r="O75" s="270"/>
      <c r="P75" s="270"/>
      <c r="Q75" s="270"/>
      <c r="R75" s="272">
        <f>+O33</f>
        <v>103</v>
      </c>
      <c r="S75" s="197"/>
      <c r="T75" s="270"/>
      <c r="U75" s="270"/>
      <c r="V75" s="270"/>
      <c r="W75" s="272">
        <f>+T33</f>
        <v>51</v>
      </c>
      <c r="X75" s="197"/>
      <c r="Y75" s="270"/>
      <c r="Z75" s="270"/>
      <c r="AA75" s="270"/>
      <c r="AB75" s="272">
        <f>+Y33</f>
        <v>51</v>
      </c>
      <c r="AC75" s="197"/>
      <c r="AD75" s="270"/>
      <c r="AE75" s="270"/>
      <c r="AF75" s="270"/>
      <c r="AG75" s="272">
        <f>+AD33</f>
        <v>65</v>
      </c>
      <c r="AH75" s="272"/>
      <c r="AI75" s="270"/>
      <c r="AJ75" s="270"/>
      <c r="AK75" s="270"/>
      <c r="AL75" s="272">
        <f>+AI33</f>
        <v>434</v>
      </c>
      <c r="AM75" s="272"/>
      <c r="AN75" s="272"/>
      <c r="AO75" s="272"/>
      <c r="AP75" s="272"/>
    </row>
    <row r="76" spans="2:42" ht="16">
      <c r="B76" s="243"/>
      <c r="C76" s="197"/>
      <c r="D76" s="197"/>
      <c r="E76" s="270"/>
      <c r="F76" s="270"/>
      <c r="G76" s="270"/>
      <c r="H76" s="270"/>
      <c r="I76" s="197"/>
      <c r="J76" s="270"/>
      <c r="K76" s="270"/>
      <c r="L76" s="270"/>
      <c r="M76" s="270"/>
      <c r="N76" s="197"/>
      <c r="O76" s="270"/>
      <c r="P76" s="270"/>
      <c r="Q76" s="270"/>
      <c r="R76" s="270"/>
      <c r="S76" s="197"/>
      <c r="T76" s="270"/>
      <c r="U76" s="270"/>
      <c r="V76" s="270"/>
      <c r="W76" s="270"/>
      <c r="X76" s="197"/>
      <c r="Y76" s="270"/>
      <c r="Z76" s="270"/>
      <c r="AA76" s="270"/>
      <c r="AB76" s="270"/>
      <c r="AC76" s="197"/>
      <c r="AD76" s="270"/>
      <c r="AE76" s="270"/>
      <c r="AF76" s="270"/>
      <c r="AG76" s="270"/>
      <c r="AH76" s="197"/>
      <c r="AI76" s="270"/>
      <c r="AJ76" s="270"/>
      <c r="AK76" s="270"/>
      <c r="AL76" s="270"/>
      <c r="AM76" s="197"/>
      <c r="AN76" s="197"/>
      <c r="AO76" s="197"/>
      <c r="AP76" s="197"/>
    </row>
    <row r="77" spans="2:42" ht="16">
      <c r="B77" s="243"/>
      <c r="C77" s="197" t="str">
        <f>TEXT(Forward_Year_2,"yyyy-mm-dd")&amp;" "&amp;C31</f>
        <v>2026-12-31 Revenue:</v>
      </c>
      <c r="D77" s="197"/>
      <c r="E77" s="270"/>
      <c r="F77" s="270"/>
      <c r="G77" s="270"/>
      <c r="H77" s="273">
        <f>+F31</f>
        <v>1249.20957438961</v>
      </c>
      <c r="I77" s="197"/>
      <c r="J77" s="270"/>
      <c r="K77" s="270"/>
      <c r="L77" s="270"/>
      <c r="M77" s="273">
        <f>+K31</f>
        <v>1087</v>
      </c>
      <c r="N77" s="197"/>
      <c r="O77" s="270"/>
      <c r="P77" s="270"/>
      <c r="Q77" s="270"/>
      <c r="R77" s="273">
        <f>+P31</f>
        <v>810</v>
      </c>
      <c r="S77" s="197"/>
      <c r="T77" s="270"/>
      <c r="U77" s="270"/>
      <c r="V77" s="270"/>
      <c r="W77" s="273">
        <f>+U31</f>
        <v>824</v>
      </c>
      <c r="X77" s="197"/>
      <c r="Y77" s="270"/>
      <c r="Z77" s="270"/>
      <c r="AA77" s="270"/>
      <c r="AB77" s="273">
        <f>+Z31</f>
        <v>2054</v>
      </c>
      <c r="AC77" s="197"/>
      <c r="AD77" s="270"/>
      <c r="AE77" s="270"/>
      <c r="AF77" s="270"/>
      <c r="AG77" s="273">
        <f>+AE31</f>
        <v>713</v>
      </c>
      <c r="AH77" s="273"/>
      <c r="AI77" s="270"/>
      <c r="AJ77" s="270"/>
      <c r="AK77" s="270"/>
      <c r="AL77" s="273">
        <f>+AJ31</f>
        <v>3518</v>
      </c>
      <c r="AM77" s="273"/>
      <c r="AN77" s="273"/>
      <c r="AO77" s="273"/>
      <c r="AP77" s="273"/>
    </row>
    <row r="78" spans="2:42" ht="16">
      <c r="B78" s="243"/>
      <c r="C78" s="197" t="str">
        <f>TEXT(Forward_Year_2,"yyyy-mm-dd")&amp;" "&amp;C32</f>
        <v>2026-12-31 EBITDA:</v>
      </c>
      <c r="D78" s="197"/>
      <c r="E78" s="270"/>
      <c r="F78" s="270"/>
      <c r="G78" s="270"/>
      <c r="H78" s="272">
        <f>+F32</f>
        <v>379.96854875773823</v>
      </c>
      <c r="I78" s="197"/>
      <c r="J78" s="270"/>
      <c r="K78" s="270"/>
      <c r="L78" s="270"/>
      <c r="M78" s="272">
        <f>+K32</f>
        <v>315</v>
      </c>
      <c r="N78" s="197"/>
      <c r="O78" s="270"/>
      <c r="P78" s="270"/>
      <c r="Q78" s="270"/>
      <c r="R78" s="272">
        <f>+P32</f>
        <v>118</v>
      </c>
      <c r="S78" s="197"/>
      <c r="T78" s="270"/>
      <c r="U78" s="270"/>
      <c r="V78" s="270"/>
      <c r="W78" s="272">
        <f>+U32</f>
        <v>153</v>
      </c>
      <c r="X78" s="197"/>
      <c r="Y78" s="270"/>
      <c r="Z78" s="270"/>
      <c r="AA78" s="270"/>
      <c r="AB78" s="272">
        <f>+Z32</f>
        <v>150</v>
      </c>
      <c r="AC78" s="197"/>
      <c r="AD78" s="270"/>
      <c r="AE78" s="270"/>
      <c r="AF78" s="270"/>
      <c r="AG78" s="272">
        <f>+AE32</f>
        <v>104</v>
      </c>
      <c r="AH78" s="272"/>
      <c r="AI78" s="270"/>
      <c r="AJ78" s="270"/>
      <c r="AK78" s="270"/>
      <c r="AL78" s="272">
        <f>+AJ32</f>
        <v>1071</v>
      </c>
      <c r="AM78" s="272"/>
      <c r="AN78" s="272"/>
      <c r="AO78" s="272"/>
      <c r="AP78" s="272"/>
    </row>
    <row r="79" spans="2:42" ht="16">
      <c r="B79" s="243"/>
      <c r="C79" s="197" t="str">
        <f>TEXT(Forward_Year_2,"yyyy-mm-dd")&amp;" "&amp;C33</f>
        <v>2026-12-31 Reported Net Income:</v>
      </c>
      <c r="D79" s="197"/>
      <c r="E79" s="270"/>
      <c r="F79" s="270"/>
      <c r="G79" s="270"/>
      <c r="H79" s="272">
        <f>+F33</f>
        <v>286.12321039038875</v>
      </c>
      <c r="I79" s="197"/>
      <c r="J79" s="270"/>
      <c r="K79" s="270"/>
      <c r="L79" s="270"/>
      <c r="M79" s="272">
        <f>+K33</f>
        <v>291</v>
      </c>
      <c r="N79" s="197"/>
      <c r="O79" s="270"/>
      <c r="P79" s="270"/>
      <c r="Q79" s="270"/>
      <c r="R79" s="272">
        <f>+P33</f>
        <v>118</v>
      </c>
      <c r="S79" s="197"/>
      <c r="T79" s="270"/>
      <c r="U79" s="270"/>
      <c r="V79" s="270"/>
      <c r="W79" s="272">
        <f>+U33</f>
        <v>78</v>
      </c>
      <c r="X79" s="197"/>
      <c r="Y79" s="270"/>
      <c r="Z79" s="270"/>
      <c r="AA79" s="270"/>
      <c r="AB79" s="272">
        <f>+Z33</f>
        <v>62</v>
      </c>
      <c r="AC79" s="197"/>
      <c r="AD79" s="270"/>
      <c r="AE79" s="270"/>
      <c r="AF79" s="270"/>
      <c r="AG79" s="272">
        <f>+AE33</f>
        <v>92</v>
      </c>
      <c r="AH79" s="272"/>
      <c r="AI79" s="270"/>
      <c r="AJ79" s="270"/>
      <c r="AK79" s="270"/>
      <c r="AL79" s="272">
        <f>+AJ33</f>
        <v>573</v>
      </c>
      <c r="AM79" s="272"/>
      <c r="AN79" s="272"/>
      <c r="AO79" s="272"/>
      <c r="AP79" s="272"/>
    </row>
    <row r="80" spans="2:42" ht="16">
      <c r="B80" s="243"/>
      <c r="C80" s="197"/>
      <c r="D80" s="197"/>
      <c r="E80" s="270"/>
      <c r="F80" s="270"/>
      <c r="G80" s="270"/>
      <c r="H80" s="270"/>
      <c r="I80" s="197"/>
      <c r="J80" s="270"/>
      <c r="K80" s="270"/>
      <c r="L80" s="270"/>
      <c r="M80" s="270"/>
      <c r="N80" s="197"/>
      <c r="O80" s="270"/>
      <c r="P80" s="270"/>
      <c r="Q80" s="270"/>
      <c r="R80" s="270"/>
      <c r="S80" s="197"/>
      <c r="T80" s="270"/>
      <c r="U80" s="270"/>
      <c r="V80" s="270"/>
      <c r="W80" s="270"/>
      <c r="X80" s="197"/>
      <c r="Y80" s="270"/>
      <c r="Z80" s="270"/>
      <c r="AA80" s="270"/>
      <c r="AB80" s="270"/>
      <c r="AC80" s="197"/>
      <c r="AD80" s="270"/>
      <c r="AE80" s="270"/>
      <c r="AF80" s="270"/>
      <c r="AG80" s="270"/>
      <c r="AH80" s="197"/>
      <c r="AI80" s="270"/>
      <c r="AJ80" s="270"/>
      <c r="AK80" s="270"/>
      <c r="AL80" s="270"/>
      <c r="AM80" s="197"/>
      <c r="AN80" s="197"/>
      <c r="AO80" s="197"/>
      <c r="AP80" s="197"/>
    </row>
    <row r="81" spans="2:42" ht="16">
      <c r="B81" s="243"/>
      <c r="C81" s="197" t="str">
        <f>TEXT(Forward_Year_3,"yyyy-mm-dd")&amp;" "&amp;C31</f>
        <v>2027-12-31 Revenue:</v>
      </c>
      <c r="D81" s="197"/>
      <c r="E81" s="270"/>
      <c r="F81" s="270"/>
      <c r="G81" s="270"/>
      <c r="H81" s="272">
        <f>+G31</f>
        <v>1634.7379275340459</v>
      </c>
      <c r="I81" s="197"/>
      <c r="J81" s="270"/>
      <c r="K81" s="270"/>
      <c r="L81" s="270"/>
      <c r="M81" s="272">
        <f>+L31</f>
        <v>1198</v>
      </c>
      <c r="N81" s="197"/>
      <c r="O81" s="270"/>
      <c r="P81" s="270"/>
      <c r="Q81" s="270"/>
      <c r="R81" s="272">
        <f>+Q31</f>
        <v>871.31474103585651</v>
      </c>
      <c r="S81" s="197"/>
      <c r="T81" s="270"/>
      <c r="U81" s="270"/>
      <c r="V81" s="270"/>
      <c r="W81" s="272">
        <f>+V31</f>
        <v>880</v>
      </c>
      <c r="X81" s="197"/>
      <c r="Y81" s="270"/>
      <c r="Z81" s="270"/>
      <c r="AA81" s="270"/>
      <c r="AB81" s="272">
        <f>+AA31</f>
        <v>2271</v>
      </c>
      <c r="AC81" s="197"/>
      <c r="AD81" s="270"/>
      <c r="AE81" s="270"/>
      <c r="AF81" s="270"/>
      <c r="AG81" s="272">
        <f>+AF31</f>
        <v>780</v>
      </c>
      <c r="AH81" s="272"/>
      <c r="AI81" s="270"/>
      <c r="AJ81" s="270"/>
      <c r="AK81" s="270"/>
      <c r="AL81" s="272">
        <f>+AK31</f>
        <v>3842</v>
      </c>
      <c r="AM81" s="272"/>
      <c r="AN81" s="272"/>
      <c r="AO81" s="272"/>
      <c r="AP81" s="272"/>
    </row>
    <row r="82" spans="2:42" ht="16">
      <c r="B82" s="243"/>
      <c r="C82" s="197" t="str">
        <f>TEXT(Forward_Year_3,"yyyy-mm-dd")&amp;" "&amp;C32</f>
        <v>2027-12-31 EBITDA:</v>
      </c>
      <c r="D82" s="197"/>
      <c r="E82" s="270"/>
      <c r="F82" s="270"/>
      <c r="G82" s="270"/>
      <c r="H82" s="272">
        <f>+G32</f>
        <v>465.36437585748303</v>
      </c>
      <c r="I82" s="197"/>
      <c r="J82" s="270"/>
      <c r="K82" s="270"/>
      <c r="L82" s="270"/>
      <c r="M82" s="272">
        <f>+L32</f>
        <v>412</v>
      </c>
      <c r="N82" s="197"/>
      <c r="O82" s="270"/>
      <c r="P82" s="270"/>
      <c r="Q82" s="270"/>
      <c r="R82" s="272">
        <f>+Q32</f>
        <v>128.92592592592592</v>
      </c>
      <c r="S82" s="197"/>
      <c r="T82" s="270"/>
      <c r="U82" s="270"/>
      <c r="V82" s="270"/>
      <c r="W82" s="272">
        <f>+V32</f>
        <v>198.38135593220341</v>
      </c>
      <c r="X82" s="197"/>
      <c r="Y82" s="270"/>
      <c r="Z82" s="270"/>
      <c r="AA82" s="270"/>
      <c r="AB82" s="272">
        <f>+AA32</f>
        <v>219</v>
      </c>
      <c r="AC82" s="197"/>
      <c r="AD82" s="270"/>
      <c r="AE82" s="270"/>
      <c r="AF82" s="270"/>
      <c r="AG82" s="272">
        <f>+AF32</f>
        <v>133</v>
      </c>
      <c r="AH82" s="272"/>
      <c r="AI82" s="270"/>
      <c r="AJ82" s="270"/>
      <c r="AK82" s="270"/>
      <c r="AL82" s="272">
        <f>+AK32</f>
        <v>1210</v>
      </c>
      <c r="AM82" s="272"/>
      <c r="AN82" s="272"/>
      <c r="AO82" s="272"/>
      <c r="AP82" s="272"/>
    </row>
    <row r="83" spans="2:42" ht="16">
      <c r="B83" s="243"/>
      <c r="C83" s="197" t="str">
        <f>TEXT(Forward_Year_3,"yyyy-mm-dd")&amp;" "&amp;C33</f>
        <v>2027-12-31 Reported Net Income:</v>
      </c>
      <c r="D83" s="197"/>
      <c r="E83" s="270"/>
      <c r="F83" s="270"/>
      <c r="G83" s="270"/>
      <c r="H83" s="272">
        <f>+G33</f>
        <v>350.09949008654831</v>
      </c>
      <c r="I83" s="197"/>
      <c r="J83" s="270"/>
      <c r="K83" s="270"/>
      <c r="L83" s="270"/>
      <c r="M83" s="272">
        <f>+L33</f>
        <v>357</v>
      </c>
      <c r="N83" s="197"/>
      <c r="O83" s="270"/>
      <c r="P83" s="270"/>
      <c r="Q83" s="270"/>
      <c r="R83" s="272">
        <f>+Q33</f>
        <v>135.18446601941747</v>
      </c>
      <c r="S83" s="197"/>
      <c r="T83" s="270"/>
      <c r="U83" s="270"/>
      <c r="V83" s="270"/>
      <c r="W83" s="272">
        <f>+V33</f>
        <v>119.29411764705881</v>
      </c>
      <c r="X83" s="197"/>
      <c r="Y83" s="270"/>
      <c r="Z83" s="270"/>
      <c r="AA83" s="270"/>
      <c r="AB83" s="272">
        <f>+AA33</f>
        <v>78</v>
      </c>
      <c r="AC83" s="197"/>
      <c r="AD83" s="270"/>
      <c r="AE83" s="270"/>
      <c r="AF83" s="270"/>
      <c r="AG83" s="272">
        <f>+AF33</f>
        <v>130.21538461538464</v>
      </c>
      <c r="AH83" s="272"/>
      <c r="AI83" s="270"/>
      <c r="AJ83" s="270"/>
      <c r="AK83" s="270"/>
      <c r="AL83" s="272">
        <f>+AK33</f>
        <v>696</v>
      </c>
      <c r="AM83" s="272"/>
      <c r="AN83" s="272"/>
      <c r="AO83" s="272"/>
      <c r="AP83" s="272"/>
    </row>
    <row r="84" spans="2:42" ht="16">
      <c r="B84" s="243"/>
      <c r="C84" s="197"/>
      <c r="D84" s="197"/>
      <c r="E84" s="270"/>
      <c r="F84" s="270"/>
      <c r="G84" s="270"/>
      <c r="H84" s="270"/>
      <c r="I84" s="197"/>
      <c r="J84" s="270"/>
      <c r="K84" s="270"/>
      <c r="L84" s="270"/>
      <c r="M84" s="270"/>
      <c r="N84" s="197"/>
      <c r="O84" s="270"/>
      <c r="P84" s="270"/>
      <c r="Q84" s="270"/>
      <c r="R84" s="270"/>
      <c r="S84" s="197"/>
      <c r="T84" s="270"/>
      <c r="U84" s="270"/>
      <c r="V84" s="270"/>
      <c r="W84" s="270"/>
      <c r="X84" s="197"/>
      <c r="Y84" s="270"/>
      <c r="Z84" s="270"/>
      <c r="AA84" s="270"/>
      <c r="AB84" s="270"/>
      <c r="AC84" s="197"/>
      <c r="AD84" s="270"/>
      <c r="AE84" s="270"/>
      <c r="AF84" s="270"/>
      <c r="AG84" s="270"/>
      <c r="AH84" s="197"/>
      <c r="AI84" s="270"/>
      <c r="AJ84" s="270"/>
      <c r="AK84" s="270"/>
      <c r="AL84" s="270"/>
      <c r="AM84" s="197"/>
      <c r="AN84" s="197"/>
      <c r="AO84" s="197"/>
      <c r="AP84" s="197"/>
    </row>
    <row r="85" spans="2:42" ht="16">
      <c r="B85" s="243"/>
      <c r="C85" s="197" t="s">
        <v>281</v>
      </c>
      <c r="D85" s="197"/>
      <c r="E85" s="270"/>
      <c r="F85" s="270"/>
      <c r="G85" s="270"/>
      <c r="H85" s="274">
        <f>IFERROR(+H77/H73-1,"N/A")</f>
        <v>0.28673859361006504</v>
      </c>
      <c r="I85" s="197"/>
      <c r="J85" s="270"/>
      <c r="K85" s="270"/>
      <c r="L85" s="270"/>
      <c r="M85" s="274">
        <f>IFERROR(+M77/M73-1,"N/A")</f>
        <v>8.3748753738783543E-2</v>
      </c>
      <c r="N85" s="197"/>
      <c r="O85" s="270"/>
      <c r="P85" s="270"/>
      <c r="Q85" s="270"/>
      <c r="R85" s="274">
        <f>IFERROR(+R77/R73-1,"N/A")</f>
        <v>7.5697211155378419E-2</v>
      </c>
      <c r="S85" s="197"/>
      <c r="T85" s="270"/>
      <c r="U85" s="270"/>
      <c r="V85" s="270"/>
      <c r="W85" s="274">
        <f>IFERROR(+W77/W73-1,"N/A")</f>
        <v>7.2916666666666741E-2</v>
      </c>
      <c r="X85" s="197"/>
      <c r="Y85" s="270"/>
      <c r="Z85" s="270"/>
      <c r="AA85" s="270"/>
      <c r="AB85" s="274">
        <f>IFERROR(+AB77/AB73-1,"N/A")</f>
        <v>1.8344075359444822E-2</v>
      </c>
      <c r="AC85" s="197"/>
      <c r="AD85" s="270"/>
      <c r="AE85" s="270"/>
      <c r="AF85" s="270"/>
      <c r="AG85" s="274">
        <f>IFERROR(+AG77/AG73-1,"N/A")</f>
        <v>0.10200927357032463</v>
      </c>
      <c r="AH85" s="274"/>
      <c r="AI85" s="270"/>
      <c r="AJ85" s="270"/>
      <c r="AK85" s="270"/>
      <c r="AL85" s="274">
        <f>IFERROR(+AL77/AL73-1,"N/A")</f>
        <v>0.10628930817610072</v>
      </c>
      <c r="AM85" s="274"/>
      <c r="AN85" s="274"/>
      <c r="AO85" s="274"/>
      <c r="AP85" s="274"/>
    </row>
    <row r="86" spans="2:42" ht="16">
      <c r="B86" s="243"/>
      <c r="C86" s="197" t="s">
        <v>282</v>
      </c>
      <c r="D86" s="197"/>
      <c r="E86" s="270"/>
      <c r="F86" s="270"/>
      <c r="G86" s="270"/>
      <c r="H86" s="274">
        <f>IFERROR(+H78/H74-1,"N/A")</f>
        <v>0.41843946053458558</v>
      </c>
      <c r="I86" s="197"/>
      <c r="J86" s="270"/>
      <c r="K86" s="270"/>
      <c r="L86" s="270"/>
      <c r="M86" s="274">
        <f>IFERROR(+M78/M74-1,"N/A")</f>
        <v>0.15808823529411775</v>
      </c>
      <c r="N86" s="197"/>
      <c r="O86" s="270"/>
      <c r="P86" s="270"/>
      <c r="Q86" s="270"/>
      <c r="R86" s="274">
        <f>IFERROR(+R78/R74-1,"N/A")</f>
        <v>9.259259259259256E-2</v>
      </c>
      <c r="S86" s="197"/>
      <c r="T86" s="270"/>
      <c r="U86" s="270"/>
      <c r="V86" s="270"/>
      <c r="W86" s="274">
        <f>IFERROR(+W78/W74-1,"N/A")</f>
        <v>0.29661016949152552</v>
      </c>
      <c r="X86" s="197"/>
      <c r="Y86" s="270"/>
      <c r="Z86" s="270"/>
      <c r="AA86" s="270"/>
      <c r="AB86" s="274">
        <f>IFERROR(+AB78/AB74-1,"N/A")</f>
        <v>-4.4585987261146487E-2</v>
      </c>
      <c r="AC86" s="197"/>
      <c r="AD86" s="270"/>
      <c r="AE86" s="270"/>
      <c r="AF86" s="270"/>
      <c r="AG86" s="274">
        <f>IFERROR(+AG78/AG74-1,"N/A")</f>
        <v>7.2164948453608213E-2</v>
      </c>
      <c r="AH86" s="274"/>
      <c r="AI86" s="270"/>
      <c r="AJ86" s="270"/>
      <c r="AK86" s="270"/>
      <c r="AL86" s="274">
        <f>IFERROR(+AL78/AL74-1,"N/A")</f>
        <v>0.16793893129770998</v>
      </c>
      <c r="AM86" s="274"/>
      <c r="AN86" s="274"/>
      <c r="AO86" s="274"/>
      <c r="AP86" s="274"/>
    </row>
    <row r="87" spans="2:42" ht="16">
      <c r="B87" s="243"/>
      <c r="C87" s="197"/>
      <c r="D87" s="197"/>
      <c r="E87" s="270"/>
      <c r="F87" s="270"/>
      <c r="G87" s="270"/>
      <c r="H87" s="270"/>
      <c r="I87" s="197"/>
      <c r="J87" s="270"/>
      <c r="K87" s="270"/>
      <c r="L87" s="270"/>
      <c r="M87" s="270"/>
      <c r="N87" s="197"/>
      <c r="O87" s="270"/>
      <c r="P87" s="270"/>
      <c r="Q87" s="270"/>
      <c r="R87" s="270"/>
      <c r="S87" s="197"/>
      <c r="T87" s="270"/>
      <c r="U87" s="270"/>
      <c r="V87" s="270"/>
      <c r="W87" s="270"/>
      <c r="X87" s="197"/>
      <c r="Y87" s="270"/>
      <c r="Z87" s="270"/>
      <c r="AA87" s="270"/>
      <c r="AB87" s="270"/>
      <c r="AC87" s="197"/>
      <c r="AD87" s="270"/>
      <c r="AE87" s="270"/>
      <c r="AF87" s="270"/>
      <c r="AG87" s="270"/>
      <c r="AH87" s="197"/>
      <c r="AI87" s="270"/>
      <c r="AJ87" s="270"/>
      <c r="AK87" s="270"/>
      <c r="AL87" s="270"/>
      <c r="AM87" s="197"/>
      <c r="AN87" s="197"/>
      <c r="AO87" s="197"/>
      <c r="AP87" s="197"/>
    </row>
    <row r="88" spans="2:42" ht="16">
      <c r="B88" s="243"/>
      <c r="C88" s="197" t="s">
        <v>283</v>
      </c>
      <c r="D88" s="197"/>
      <c r="E88" s="270"/>
      <c r="F88" s="270"/>
      <c r="G88" s="270"/>
      <c r="H88" s="274">
        <f>IFERROR(+H14/H8,"N/A")</f>
        <v>0.20194944408435961</v>
      </c>
      <c r="I88" s="197"/>
      <c r="J88" s="270"/>
      <c r="K88" s="270"/>
      <c r="L88" s="270"/>
      <c r="M88" s="274">
        <f>IFERROR(+M14/M8,"N/A")</f>
        <v>0.2624087876068209</v>
      </c>
      <c r="N88" s="197"/>
      <c r="O88" s="270"/>
      <c r="P88" s="270"/>
      <c r="Q88" s="270"/>
      <c r="R88" s="274">
        <f>IFERROR(+R14/R8,"N/A")</f>
        <v>0.20139657223973445</v>
      </c>
      <c r="S88" s="197"/>
      <c r="T88" s="270"/>
      <c r="U88" s="270"/>
      <c r="V88" s="270"/>
      <c r="W88" s="274">
        <f>IFERROR(+W14/W8,"N/A")</f>
        <v>0.10485102384401551</v>
      </c>
      <c r="X88" s="197"/>
      <c r="Y88" s="270"/>
      <c r="Z88" s="270"/>
      <c r="AA88" s="270"/>
      <c r="AB88" s="274">
        <f>IFERROR(+AB14/AB8,"N/A")</f>
        <v>5.2326397007248074E-2</v>
      </c>
      <c r="AC88" s="197"/>
      <c r="AD88" s="270"/>
      <c r="AE88" s="270"/>
      <c r="AF88" s="270"/>
      <c r="AG88" s="274">
        <f>IFERROR(+AG14/AG8,"N/A")</f>
        <v>0.1885341707622763</v>
      </c>
      <c r="AH88" s="274"/>
      <c r="AI88" s="270"/>
      <c r="AJ88" s="270"/>
      <c r="AK88" s="270"/>
      <c r="AL88" s="274">
        <f>IFERROR(+AL14/AL8,"N/A")</f>
        <v>0.16536608076068091</v>
      </c>
      <c r="AM88" s="274"/>
      <c r="AN88" s="274"/>
      <c r="AO88" s="274"/>
      <c r="AP88" s="274"/>
    </row>
    <row r="89" spans="2:42" ht="16">
      <c r="B89" s="243"/>
      <c r="C89" s="197" t="str">
        <f>TEXT(Forward_Year_1,"yyyy-mm-dd")&amp;" EBITDA Margin:"</f>
        <v>2025-12-31 EBITDA Margin:</v>
      </c>
      <c r="D89" s="197"/>
      <c r="E89" s="270"/>
      <c r="F89" s="270"/>
      <c r="G89" s="270"/>
      <c r="H89" s="274">
        <f>IFERROR(+H74/H73,"N/A")</f>
        <v>0.27592551917096597</v>
      </c>
      <c r="I89" s="197"/>
      <c r="J89" s="270"/>
      <c r="K89" s="270"/>
      <c r="L89" s="270"/>
      <c r="M89" s="274">
        <f>IFERROR(+M74/M73,"N/A")</f>
        <v>0.2711864406779661</v>
      </c>
      <c r="N89" s="197"/>
      <c r="O89" s="270"/>
      <c r="P89" s="270"/>
      <c r="Q89" s="270"/>
      <c r="R89" s="274">
        <f>IFERROR(+R74/R73,"N/A")</f>
        <v>0.14342629482071714</v>
      </c>
      <c r="S89" s="197"/>
      <c r="T89" s="270"/>
      <c r="U89" s="270"/>
      <c r="V89" s="270"/>
      <c r="W89" s="274">
        <f>IFERROR(+W74/W73,"N/A")</f>
        <v>0.15364583333333334</v>
      </c>
      <c r="X89" s="197"/>
      <c r="Y89" s="270"/>
      <c r="Z89" s="270"/>
      <c r="AA89" s="270"/>
      <c r="AB89" s="274">
        <f>IFERROR(+AB74/AB73,"N/A")</f>
        <v>7.7838373822508675E-2</v>
      </c>
      <c r="AC89" s="197"/>
      <c r="AD89" s="270"/>
      <c r="AE89" s="270"/>
      <c r="AF89" s="270"/>
      <c r="AG89" s="274">
        <f>IFERROR(+AG74/AG73,"N/A")</f>
        <v>0.14992272024729522</v>
      </c>
      <c r="AH89" s="274"/>
      <c r="AI89" s="270"/>
      <c r="AJ89" s="270"/>
      <c r="AK89" s="270"/>
      <c r="AL89" s="274">
        <f>IFERROR(+AL74/AL73,"N/A")</f>
        <v>0.28836477987421383</v>
      </c>
      <c r="AM89" s="274"/>
      <c r="AN89" s="274"/>
      <c r="AO89" s="274"/>
      <c r="AP89" s="274"/>
    </row>
    <row r="90" spans="2:42" ht="16">
      <c r="B90" s="243"/>
      <c r="C90" s="197" t="str">
        <f>TEXT(Forward_Year_2,"yyyy-mm-dd")&amp;" EBITDA Margin:"</f>
        <v>2026-12-31 EBITDA Margin:</v>
      </c>
      <c r="D90" s="197"/>
      <c r="E90" s="270"/>
      <c r="F90" s="270"/>
      <c r="G90" s="270"/>
      <c r="H90" s="274">
        <f>IFERROR(+H78/H77,"N/A")</f>
        <v>0.3041671762269344</v>
      </c>
      <c r="I90" s="197"/>
      <c r="J90" s="270"/>
      <c r="K90" s="270"/>
      <c r="L90" s="270"/>
      <c r="M90" s="274">
        <f>IFERROR(+M78/M77,"N/A")</f>
        <v>0.28978840846366144</v>
      </c>
      <c r="N90" s="197"/>
      <c r="O90" s="270"/>
      <c r="P90" s="270"/>
      <c r="Q90" s="270"/>
      <c r="R90" s="274">
        <f>IFERROR(+R78/R77,"N/A")</f>
        <v>0.14567901234567901</v>
      </c>
      <c r="S90" s="197"/>
      <c r="T90" s="270"/>
      <c r="U90" s="270"/>
      <c r="V90" s="270"/>
      <c r="W90" s="274">
        <f>IFERROR(+W78/W77,"N/A")</f>
        <v>0.18567961165048544</v>
      </c>
      <c r="X90" s="197"/>
      <c r="Y90" s="270"/>
      <c r="Z90" s="270"/>
      <c r="AA90" s="270"/>
      <c r="AB90" s="274">
        <f>IFERROR(+AB78/AB77,"N/A")</f>
        <v>7.3028237585199607E-2</v>
      </c>
      <c r="AC90" s="197"/>
      <c r="AD90" s="270"/>
      <c r="AE90" s="270"/>
      <c r="AF90" s="270"/>
      <c r="AG90" s="274">
        <f>IFERROR(+AG78/AG77,"N/A")</f>
        <v>0.1458625525946704</v>
      </c>
      <c r="AH90" s="274"/>
      <c r="AI90" s="270"/>
      <c r="AJ90" s="270"/>
      <c r="AK90" s="270"/>
      <c r="AL90" s="274">
        <f>IFERROR(+AL78/AL77,"N/A")</f>
        <v>0.30443433769187039</v>
      </c>
      <c r="AM90" s="274"/>
      <c r="AN90" s="274"/>
      <c r="AO90" s="274"/>
      <c r="AP90" s="274"/>
    </row>
    <row r="91" spans="2:42" ht="16">
      <c r="B91" s="243"/>
      <c r="C91" s="197"/>
      <c r="D91" s="197"/>
      <c r="E91" s="270"/>
      <c r="F91" s="270"/>
      <c r="G91" s="270"/>
      <c r="H91" s="270"/>
      <c r="I91" s="197"/>
      <c r="J91" s="270"/>
      <c r="K91" s="270"/>
      <c r="L91" s="270"/>
      <c r="M91" s="270"/>
      <c r="N91" s="197"/>
      <c r="O91" s="270"/>
      <c r="P91" s="270"/>
      <c r="Q91" s="270"/>
      <c r="R91" s="270"/>
      <c r="S91" s="197"/>
      <c r="T91" s="270"/>
      <c r="U91" s="270"/>
      <c r="V91" s="270"/>
      <c r="W91" s="270"/>
      <c r="X91" s="197"/>
      <c r="Y91" s="270"/>
      <c r="Z91" s="270"/>
      <c r="AA91" s="270"/>
      <c r="AB91" s="270"/>
      <c r="AC91" s="197"/>
      <c r="AD91" s="270"/>
      <c r="AE91" s="270"/>
      <c r="AF91" s="270"/>
      <c r="AG91" s="270"/>
      <c r="AH91" s="197"/>
      <c r="AI91" s="270"/>
      <c r="AJ91" s="270"/>
      <c r="AK91" s="270"/>
      <c r="AL91" s="270"/>
      <c r="AM91" s="197"/>
      <c r="AN91" s="197"/>
      <c r="AO91" s="197"/>
      <c r="AP91" s="197"/>
    </row>
    <row r="92" spans="2:42" ht="16">
      <c r="B92" s="243"/>
      <c r="C92" s="197" t="str">
        <f>TEXT(E66,"mm/dd/yyyy")&amp;" "&amp;C67</f>
        <v>LTM EV / Revenue:</v>
      </c>
      <c r="D92" s="197"/>
      <c r="E92" s="270"/>
      <c r="F92" s="270"/>
      <c r="G92" s="270"/>
      <c r="H92" s="269">
        <f>+E67</f>
        <v>1.502186269132971</v>
      </c>
      <c r="I92" s="197"/>
      <c r="J92" s="270"/>
      <c r="K92" s="270"/>
      <c r="L92" s="270"/>
      <c r="M92" s="269">
        <f>+J67</f>
        <v>3.6084851913996951</v>
      </c>
      <c r="N92" s="197"/>
      <c r="O92" s="270"/>
      <c r="P92" s="270"/>
      <c r="Q92" s="270"/>
      <c r="R92" s="269">
        <f>+O67</f>
        <v>1.2033338204287833</v>
      </c>
      <c r="S92" s="197"/>
      <c r="T92" s="270"/>
      <c r="U92" s="270"/>
      <c r="V92" s="270"/>
      <c r="W92" s="269">
        <f>+T67</f>
        <v>2.6794069665766154</v>
      </c>
      <c r="X92" s="197"/>
      <c r="Y92" s="270"/>
      <c r="Z92" s="270"/>
      <c r="AA92" s="270"/>
      <c r="AB92" s="269">
        <f>+Y67</f>
        <v>0.59656581716156176</v>
      </c>
      <c r="AC92" s="197"/>
      <c r="AD92" s="270"/>
      <c r="AE92" s="270"/>
      <c r="AF92" s="270"/>
      <c r="AG92" s="269">
        <f>+AD67</f>
        <v>1.4951514554083172</v>
      </c>
      <c r="AH92" s="269"/>
      <c r="AI92" s="270"/>
      <c r="AJ92" s="270"/>
      <c r="AK92" s="270"/>
      <c r="AL92" s="269">
        <f>+AI67</f>
        <v>4.3356627746723362</v>
      </c>
      <c r="AM92" s="269"/>
      <c r="AN92" s="269"/>
      <c r="AO92" s="269"/>
      <c r="AP92" s="269"/>
    </row>
    <row r="93" spans="2:42" ht="16">
      <c r="B93" s="243"/>
      <c r="C93" s="197" t="str">
        <f>TEXT(E66,"mm/dd/yyyy")&amp;" "&amp;C68</f>
        <v>LTM EV / EBITDA:</v>
      </c>
      <c r="D93" s="197"/>
      <c r="E93" s="270"/>
      <c r="F93" s="270"/>
      <c r="G93" s="270"/>
      <c r="H93" s="269">
        <f>+E68</f>
        <v>7.4384273546475734</v>
      </c>
      <c r="I93" s="197"/>
      <c r="J93" s="270"/>
      <c r="K93" s="270"/>
      <c r="L93" s="270"/>
      <c r="M93" s="269">
        <f>+J68</f>
        <v>13.751388527454552</v>
      </c>
      <c r="N93" s="197"/>
      <c r="O93" s="270"/>
      <c r="P93" s="270"/>
      <c r="Q93" s="270"/>
      <c r="R93" s="269">
        <f>+O68</f>
        <v>5.974946877429387</v>
      </c>
      <c r="S93" s="197"/>
      <c r="T93" s="270"/>
      <c r="U93" s="270"/>
      <c r="V93" s="270"/>
      <c r="W93" s="269">
        <f>+T68</f>
        <v>25.554418720438136</v>
      </c>
      <c r="X93" s="197"/>
      <c r="Y93" s="270"/>
      <c r="Z93" s="270"/>
      <c r="AA93" s="270"/>
      <c r="AB93" s="269">
        <f>+Y68</f>
        <v>11.400857908847183</v>
      </c>
      <c r="AC93" s="197"/>
      <c r="AD93" s="270"/>
      <c r="AE93" s="270"/>
      <c r="AF93" s="270"/>
      <c r="AG93" s="269">
        <f>+AD68</f>
        <v>7.9304003585300267</v>
      </c>
      <c r="AH93" s="269"/>
      <c r="AI93" s="270"/>
      <c r="AJ93" s="270"/>
      <c r="AK93" s="270"/>
      <c r="AL93" s="269">
        <f>+AI68</f>
        <v>26.218573692551505</v>
      </c>
      <c r="AM93" s="269"/>
      <c r="AN93" s="269"/>
      <c r="AO93" s="269"/>
      <c r="AP93" s="269"/>
    </row>
    <row r="94" spans="2:42" ht="16">
      <c r="B94" s="243"/>
      <c r="C94" s="197" t="str">
        <f>TEXT(E66,"mm/dd/yyyy")&amp;" "&amp;C69</f>
        <v>LTM P / E:</v>
      </c>
      <c r="D94" s="197"/>
      <c r="E94" s="270"/>
      <c r="F94" s="270"/>
      <c r="G94" s="270"/>
      <c r="H94" s="269">
        <f>+E69</f>
        <v>12.854344154625636</v>
      </c>
      <c r="I94" s="197"/>
      <c r="J94" s="270"/>
      <c r="K94" s="270"/>
      <c r="L94" s="270"/>
      <c r="M94" s="269">
        <f>+J69</f>
        <v>20.715265850539009</v>
      </c>
      <c r="N94" s="197"/>
      <c r="O94" s="270"/>
      <c r="P94" s="270"/>
      <c r="Q94" s="270"/>
      <c r="R94" s="269">
        <f>+O69</f>
        <v>10.183547788953195</v>
      </c>
      <c r="S94" s="197"/>
      <c r="T94" s="270"/>
      <c r="U94" s="270"/>
      <c r="V94" s="270"/>
      <c r="W94" s="269">
        <f>+T69</f>
        <v>42.680103263876077</v>
      </c>
      <c r="X94" s="197"/>
      <c r="Y94" s="270"/>
      <c r="Z94" s="270"/>
      <c r="AA94" s="270"/>
      <c r="AB94" s="269">
        <f>+Y69</f>
        <v>45.707564766839383</v>
      </c>
      <c r="AC94" s="197"/>
      <c r="AD94" s="270"/>
      <c r="AE94" s="270"/>
      <c r="AF94" s="270"/>
      <c r="AG94" s="269">
        <f>+AD69</f>
        <v>10.487601153381082</v>
      </c>
      <c r="AH94" s="269"/>
      <c r="AI94" s="270"/>
      <c r="AJ94" s="270"/>
      <c r="AK94" s="270"/>
      <c r="AL94" s="269">
        <f>+AI69</f>
        <v>1.4424873902744879</v>
      </c>
      <c r="AM94" s="269"/>
      <c r="AN94" s="269"/>
      <c r="AO94" s="269"/>
      <c r="AP94" s="269"/>
    </row>
    <row r="95" spans="2:42" ht="16">
      <c r="B95" s="243"/>
      <c r="C95" s="197"/>
      <c r="D95" s="197"/>
      <c r="E95" s="270"/>
      <c r="F95" s="270"/>
      <c r="G95" s="270"/>
      <c r="H95" s="270"/>
      <c r="I95" s="197"/>
      <c r="J95" s="270"/>
      <c r="K95" s="270"/>
      <c r="L95" s="270"/>
      <c r="M95" s="270"/>
      <c r="N95" s="197"/>
      <c r="O95" s="270"/>
      <c r="P95" s="270"/>
      <c r="Q95" s="270"/>
      <c r="R95" s="270"/>
      <c r="S95" s="197"/>
      <c r="T95" s="270"/>
      <c r="U95" s="270"/>
      <c r="V95" s="270"/>
      <c r="W95" s="270"/>
      <c r="X95" s="197"/>
      <c r="Y95" s="270"/>
      <c r="Z95" s="270"/>
      <c r="AA95" s="270"/>
      <c r="AB95" s="270"/>
      <c r="AC95" s="197"/>
      <c r="AD95" s="270"/>
      <c r="AE95" s="270"/>
      <c r="AF95" s="270"/>
      <c r="AG95" s="270"/>
      <c r="AH95" s="197"/>
      <c r="AI95" s="270"/>
      <c r="AJ95" s="270"/>
      <c r="AK95" s="270"/>
      <c r="AL95" s="270"/>
      <c r="AM95" s="197"/>
      <c r="AN95" s="197"/>
      <c r="AO95" s="197"/>
      <c r="AP95" s="197"/>
    </row>
    <row r="96" spans="2:42" ht="16">
      <c r="B96" s="243"/>
      <c r="C96" s="197" t="str">
        <f>TEXT(Forward_Year_1,"yyyy-mm-dd")&amp;" "&amp;C67</f>
        <v>2025-12-31 EV / Revenue:</v>
      </c>
      <c r="D96" s="197"/>
      <c r="E96" s="270"/>
      <c r="F96" s="270"/>
      <c r="G96" s="270"/>
      <c r="H96" s="269">
        <f>+F67</f>
        <v>1.2413800931466143</v>
      </c>
      <c r="I96" s="197"/>
      <c r="J96" s="270"/>
      <c r="K96" s="270"/>
      <c r="L96" s="270"/>
      <c r="M96" s="269">
        <f>+K67</f>
        <v>3.6879222333000996</v>
      </c>
      <c r="N96" s="197"/>
      <c r="O96" s="270"/>
      <c r="P96" s="270"/>
      <c r="Q96" s="270"/>
      <c r="R96" s="269">
        <f>+P67</f>
        <v>1.531030544488712</v>
      </c>
      <c r="S96" s="197"/>
      <c r="T96" s="270"/>
      <c r="U96" s="270"/>
      <c r="V96" s="270"/>
      <c r="W96" s="269">
        <f>+U67</f>
        <v>2.6732317708333331</v>
      </c>
      <c r="X96" s="197"/>
      <c r="Y96" s="270"/>
      <c r="Z96" s="270"/>
      <c r="AA96" s="270"/>
      <c r="AB96" s="269">
        <f>+Z67</f>
        <v>0.63250173525037179</v>
      </c>
      <c r="AC96" s="197"/>
      <c r="AD96" s="270"/>
      <c r="AE96" s="270"/>
      <c r="AF96" s="270"/>
      <c r="AG96" s="269">
        <f>+AE67</f>
        <v>1.6409922720247294</v>
      </c>
      <c r="AH96" s="269"/>
      <c r="AI96" s="270"/>
      <c r="AJ96" s="270"/>
      <c r="AK96" s="270"/>
      <c r="AL96" s="269">
        <f>+AJ67</f>
        <v>0.33387484276729557</v>
      </c>
      <c r="AM96" s="269"/>
      <c r="AN96" s="269"/>
      <c r="AO96" s="269"/>
      <c r="AP96" s="269"/>
    </row>
    <row r="97" spans="2:42" ht="16">
      <c r="B97" s="243"/>
      <c r="C97" s="197" t="str">
        <f>TEXT(Forward_Year_1,"yyyy-mm-dd")&amp;" "&amp;C68</f>
        <v>2025-12-31 EV / EBITDA:</v>
      </c>
      <c r="D97" s="197"/>
      <c r="E97" s="270"/>
      <c r="F97" s="270"/>
      <c r="G97" s="270"/>
      <c r="H97" s="269">
        <f>+F68</f>
        <v>4.4989680435372996</v>
      </c>
      <c r="I97" s="197"/>
      <c r="J97" s="270"/>
      <c r="K97" s="270"/>
      <c r="L97" s="270"/>
      <c r="M97" s="269">
        <f>+K68</f>
        <v>13.599213235294117</v>
      </c>
      <c r="N97" s="197"/>
      <c r="O97" s="270"/>
      <c r="P97" s="270"/>
      <c r="Q97" s="270"/>
      <c r="R97" s="269">
        <f>+P68</f>
        <v>10.674685185185186</v>
      </c>
      <c r="S97" s="197"/>
      <c r="T97" s="270"/>
      <c r="U97" s="270"/>
      <c r="V97" s="270"/>
      <c r="W97" s="269">
        <f>+U68</f>
        <v>17.398661016949152</v>
      </c>
      <c r="X97" s="197"/>
      <c r="Y97" s="270"/>
      <c r="Z97" s="270"/>
      <c r="AA97" s="270"/>
      <c r="AB97" s="269">
        <f>+Z68</f>
        <v>8.1258343949044569</v>
      </c>
      <c r="AC97" s="197"/>
      <c r="AD97" s="270"/>
      <c r="AE97" s="270"/>
      <c r="AF97" s="270"/>
      <c r="AG97" s="269">
        <f>+AE68</f>
        <v>10.945587628865979</v>
      </c>
      <c r="AH97" s="269"/>
      <c r="AI97" s="270"/>
      <c r="AJ97" s="270"/>
      <c r="AK97" s="270"/>
      <c r="AL97" s="269">
        <f>+AJ68</f>
        <v>1.1578211559432934</v>
      </c>
      <c r="AM97" s="269"/>
      <c r="AN97" s="269"/>
      <c r="AO97" s="269"/>
      <c r="AP97" s="269"/>
    </row>
    <row r="98" spans="2:42" ht="16">
      <c r="B98" s="243"/>
      <c r="C98" s="197" t="str">
        <f>TEXT(Forward_Year_1,"yyyy-mm-dd")&amp;" "&amp;C69</f>
        <v>2025-12-31 P / E:</v>
      </c>
      <c r="D98" s="197"/>
      <c r="E98" s="270"/>
      <c r="F98" s="270"/>
      <c r="G98" s="270"/>
      <c r="H98" s="269">
        <f>+F69</f>
        <v>6.8008117836169344</v>
      </c>
      <c r="I98" s="197"/>
      <c r="J98" s="270"/>
      <c r="K98" s="270"/>
      <c r="L98" s="270"/>
      <c r="M98" s="269">
        <f>+K69</f>
        <v>17.92484584980237</v>
      </c>
      <c r="N98" s="197"/>
      <c r="O98" s="270"/>
      <c r="P98" s="270"/>
      <c r="Q98" s="270"/>
      <c r="R98" s="269">
        <f>+P69</f>
        <v>17.595786407766994</v>
      </c>
      <c r="S98" s="197"/>
      <c r="T98" s="270"/>
      <c r="U98" s="270"/>
      <c r="V98" s="270"/>
      <c r="W98" s="269">
        <f>+U69</f>
        <v>45.383176470588232</v>
      </c>
      <c r="X98" s="197"/>
      <c r="Y98" s="270"/>
      <c r="Z98" s="270"/>
      <c r="AA98" s="270"/>
      <c r="AB98" s="269">
        <f>+Z69</f>
        <v>17.297176470588234</v>
      </c>
      <c r="AC98" s="197"/>
      <c r="AD98" s="270"/>
      <c r="AE98" s="270"/>
      <c r="AF98" s="270"/>
      <c r="AG98" s="269">
        <f>+AE69</f>
        <v>17.346492307692305</v>
      </c>
      <c r="AH98" s="269"/>
      <c r="AI98" s="270"/>
      <c r="AJ98" s="270"/>
      <c r="AK98" s="270"/>
      <c r="AL98" s="269">
        <f>+AJ69</f>
        <v>2.5979769585253454</v>
      </c>
      <c r="AM98" s="269"/>
      <c r="AN98" s="269"/>
      <c r="AO98" s="269"/>
      <c r="AP98" s="269"/>
    </row>
    <row r="99" spans="2:42" ht="16">
      <c r="B99" s="243"/>
      <c r="C99" s="197"/>
      <c r="D99" s="197"/>
      <c r="E99" s="270"/>
      <c r="F99" s="270"/>
      <c r="G99" s="270"/>
      <c r="H99" s="270"/>
      <c r="I99" s="197"/>
      <c r="J99" s="270"/>
      <c r="K99" s="270"/>
      <c r="L99" s="270"/>
      <c r="M99" s="270"/>
      <c r="N99" s="197"/>
      <c r="O99" s="270"/>
      <c r="P99" s="270"/>
      <c r="Q99" s="270"/>
      <c r="R99" s="270"/>
      <c r="S99" s="197"/>
      <c r="T99" s="270"/>
      <c r="U99" s="270"/>
      <c r="V99" s="270"/>
      <c r="W99" s="270"/>
      <c r="X99" s="197"/>
      <c r="Y99" s="270"/>
      <c r="Z99" s="270"/>
      <c r="AA99" s="270"/>
      <c r="AB99" s="270"/>
      <c r="AC99" s="197"/>
      <c r="AD99" s="270"/>
      <c r="AE99" s="270"/>
      <c r="AF99" s="270"/>
      <c r="AG99" s="270"/>
      <c r="AH99" s="197"/>
      <c r="AI99" s="270"/>
      <c r="AJ99" s="270"/>
      <c r="AK99" s="270"/>
      <c r="AL99" s="270"/>
      <c r="AM99" s="197"/>
      <c r="AN99" s="197"/>
      <c r="AO99" s="197"/>
      <c r="AP99" s="197"/>
    </row>
    <row r="100" spans="2:42" ht="16">
      <c r="B100" s="243"/>
      <c r="C100" s="197" t="str">
        <f>TEXT(Forward_Year_2,"yyyy-mm-dd")&amp;" "&amp;C67</f>
        <v>2026-12-31 EV / Revenue:</v>
      </c>
      <c r="D100" s="197"/>
      <c r="E100" s="270"/>
      <c r="F100" s="270"/>
      <c r="G100" s="270"/>
      <c r="H100" s="269">
        <f>+G67</f>
        <v>0.96474925001185108</v>
      </c>
      <c r="I100" s="197"/>
      <c r="J100" s="270"/>
      <c r="K100" s="270"/>
      <c r="L100" s="270"/>
      <c r="M100" s="269">
        <f>+L67</f>
        <v>3.4029310027598894</v>
      </c>
      <c r="N100" s="197"/>
      <c r="O100" s="270"/>
      <c r="P100" s="270"/>
      <c r="Q100" s="270"/>
      <c r="R100" s="269">
        <f>+Q67</f>
        <v>1.4232913580246915</v>
      </c>
      <c r="S100" s="197"/>
      <c r="T100" s="270"/>
      <c r="U100" s="270"/>
      <c r="V100" s="270"/>
      <c r="W100" s="269">
        <f>+V67</f>
        <v>2.4915558252427181</v>
      </c>
      <c r="X100" s="197"/>
      <c r="Y100" s="270"/>
      <c r="Z100" s="270"/>
      <c r="AA100" s="270"/>
      <c r="AB100" s="269">
        <f>+AA67</f>
        <v>0.62110808179162602</v>
      </c>
      <c r="AC100" s="197"/>
      <c r="AD100" s="270"/>
      <c r="AE100" s="270"/>
      <c r="AF100" s="270"/>
      <c r="AG100" s="269">
        <f>+AF67</f>
        <v>1.4890911640953717</v>
      </c>
      <c r="AH100" s="269"/>
      <c r="AI100" s="270"/>
      <c r="AJ100" s="270"/>
      <c r="AK100" s="270"/>
      <c r="AL100" s="269">
        <f>+AK67</f>
        <v>0.3017970437748721</v>
      </c>
      <c r="AM100" s="269"/>
      <c r="AN100" s="269"/>
      <c r="AO100" s="269"/>
      <c r="AP100" s="269"/>
    </row>
    <row r="101" spans="2:42" ht="16">
      <c r="B101" s="243"/>
      <c r="C101" s="197" t="str">
        <f>TEXT(Forward_Year_2,"yyyy-mm-dd")&amp;" "&amp;C68</f>
        <v>2026-12-31 EV / EBITDA:</v>
      </c>
      <c r="D101" s="197"/>
      <c r="E101" s="270"/>
      <c r="F101" s="270"/>
      <c r="G101" s="270"/>
      <c r="H101" s="269">
        <f>+G68</f>
        <v>3.1717730426377981</v>
      </c>
      <c r="I101" s="197"/>
      <c r="J101" s="270"/>
      <c r="K101" s="270"/>
      <c r="L101" s="270"/>
      <c r="M101" s="269">
        <f>+L68</f>
        <v>11.742812698412697</v>
      </c>
      <c r="N101" s="197"/>
      <c r="O101" s="270"/>
      <c r="P101" s="270"/>
      <c r="Q101" s="270"/>
      <c r="R101" s="269">
        <f>+Q68</f>
        <v>9.7700508474576289</v>
      </c>
      <c r="S101" s="197"/>
      <c r="T101" s="270"/>
      <c r="U101" s="270"/>
      <c r="V101" s="270"/>
      <c r="W101" s="269">
        <f>+V68</f>
        <v>13.418575163398692</v>
      </c>
      <c r="X101" s="197"/>
      <c r="Y101" s="270"/>
      <c r="Z101" s="270"/>
      <c r="AA101" s="270"/>
      <c r="AB101" s="269">
        <f>+AA68</f>
        <v>8.5050399999999993</v>
      </c>
      <c r="AC101" s="197"/>
      <c r="AD101" s="270"/>
      <c r="AE101" s="270"/>
      <c r="AF101" s="270"/>
      <c r="AG101" s="269">
        <f>+AF68</f>
        <v>10.208865384615384</v>
      </c>
      <c r="AH101" s="269"/>
      <c r="AI101" s="270"/>
      <c r="AJ101" s="270"/>
      <c r="AK101" s="270"/>
      <c r="AL101" s="269">
        <f>+AK68</f>
        <v>0.99133706816059752</v>
      </c>
      <c r="AM101" s="269"/>
      <c r="AN101" s="269"/>
      <c r="AO101" s="269"/>
      <c r="AP101" s="269"/>
    </row>
    <row r="102" spans="2:42" ht="16">
      <c r="B102" s="243"/>
      <c r="C102" s="197" t="str">
        <f>TEXT(Forward_Year_2,"yyyy-mm-dd")&amp;" "&amp;C69</f>
        <v>2026-12-31 P / E:</v>
      </c>
      <c r="D102" s="197"/>
      <c r="E102" s="270"/>
      <c r="F102" s="270"/>
      <c r="G102" s="270"/>
      <c r="H102" s="269">
        <f>+G69</f>
        <v>4.7882029498087189</v>
      </c>
      <c r="I102" s="197"/>
      <c r="J102" s="270"/>
      <c r="K102" s="270"/>
      <c r="L102" s="270"/>
      <c r="M102" s="269">
        <f>+L69</f>
        <v>15.584144329896906</v>
      </c>
      <c r="N102" s="197"/>
      <c r="O102" s="270"/>
      <c r="P102" s="270"/>
      <c r="Q102" s="270"/>
      <c r="R102" s="269">
        <f>+Q69</f>
        <v>15.359033898305087</v>
      </c>
      <c r="S102" s="197"/>
      <c r="T102" s="270"/>
      <c r="U102" s="270"/>
      <c r="V102" s="270"/>
      <c r="W102" s="269">
        <f>+V69</f>
        <v>29.673615384615385</v>
      </c>
      <c r="X102" s="197"/>
      <c r="Y102" s="270"/>
      <c r="Z102" s="270"/>
      <c r="AA102" s="270"/>
      <c r="AB102" s="269">
        <f>+AA69</f>
        <v>14.228322580645161</v>
      </c>
      <c r="AC102" s="197"/>
      <c r="AD102" s="270"/>
      <c r="AE102" s="270"/>
      <c r="AF102" s="270"/>
      <c r="AG102" s="269">
        <f>+AF69</f>
        <v>12.255673913043477</v>
      </c>
      <c r="AH102" s="269"/>
      <c r="AI102" s="270"/>
      <c r="AJ102" s="270"/>
      <c r="AK102" s="270"/>
      <c r="AL102" s="269">
        <f>+AK69</f>
        <v>1.9677521815008725</v>
      </c>
      <c r="AM102" s="269"/>
      <c r="AN102" s="269"/>
      <c r="AO102" s="269"/>
      <c r="AP102" s="269"/>
    </row>
    <row r="103" spans="2:42" ht="16">
      <c r="B103" s="243"/>
      <c r="C103" s="197"/>
      <c r="D103" s="197"/>
      <c r="E103" s="197"/>
      <c r="F103" s="197"/>
      <c r="G103" s="197"/>
      <c r="H103" s="197"/>
      <c r="I103" s="197"/>
      <c r="J103" s="197"/>
      <c r="K103" s="197"/>
      <c r="L103" s="197"/>
      <c r="M103" s="197"/>
      <c r="N103" s="197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197"/>
      <c r="AA103" s="197"/>
      <c r="AB103" s="197"/>
      <c r="AC103" s="197"/>
      <c r="AD103" s="197"/>
      <c r="AE103" s="197"/>
      <c r="AF103" s="197"/>
      <c r="AG103" s="197"/>
      <c r="AH103" s="197"/>
      <c r="AI103" s="197"/>
      <c r="AJ103" s="197"/>
      <c r="AK103" s="197"/>
      <c r="AL103" s="197"/>
      <c r="AM103" s="197"/>
      <c r="AN103" s="197"/>
      <c r="AO103" s="197"/>
      <c r="AP103" s="197"/>
    </row>
    <row r="104" spans="2:42" ht="16">
      <c r="B104" s="243"/>
      <c r="C104" s="275" t="s">
        <v>284</v>
      </c>
      <c r="D104" s="197"/>
      <c r="E104" s="276" t="s">
        <v>285</v>
      </c>
      <c r="F104" s="197"/>
      <c r="G104" s="197"/>
      <c r="H104" s="277"/>
      <c r="I104" s="197"/>
      <c r="J104" s="276" t="s">
        <v>286</v>
      </c>
      <c r="K104" s="197"/>
      <c r="L104" s="197"/>
      <c r="M104" s="277"/>
      <c r="N104" s="197"/>
      <c r="O104" s="276" t="s">
        <v>287</v>
      </c>
      <c r="P104" s="197"/>
      <c r="Q104" s="197"/>
      <c r="R104" s="277"/>
      <c r="S104" s="197"/>
      <c r="T104" s="276" t="s">
        <v>288</v>
      </c>
      <c r="U104" s="197"/>
      <c r="V104" s="197"/>
      <c r="W104" s="277"/>
      <c r="X104" s="197"/>
      <c r="Y104" s="276" t="s">
        <v>289</v>
      </c>
      <c r="Z104" s="197"/>
      <c r="AA104" s="197"/>
      <c r="AB104" s="277"/>
      <c r="AC104" s="197"/>
      <c r="AD104" s="276" t="s">
        <v>290</v>
      </c>
      <c r="AE104" s="197"/>
      <c r="AF104" s="197"/>
      <c r="AG104" s="277"/>
      <c r="AH104" s="278"/>
      <c r="AI104" s="276" t="s">
        <v>291</v>
      </c>
      <c r="AJ104" s="197"/>
      <c r="AK104" s="197"/>
      <c r="AL104" s="277"/>
      <c r="AM104" s="278"/>
      <c r="AN104" s="278"/>
      <c r="AO104" s="278"/>
      <c r="AP104" s="278"/>
    </row>
  </sheetData>
  <mergeCells count="2">
    <mergeCell ref="AD5:AG5"/>
    <mergeCell ref="AI5:AL5"/>
  </mergeCells>
  <hyperlinks>
    <hyperlink ref="G8" r:id="rId1" tooltip="Revenue_x000a_ FY: 2024_x000a_ Period End Date: Jun-30-2024_x000a_ Filing Date: Aug-29-2024_x000a_ Period Type: Annual_x000a_ Value: 14,905.4, Currency: USD, Millions" display="javascript:void(0);" xr:uid="{403B4988-9B41-444C-AC36-51FCF5878196}"/>
    <hyperlink ref="E104" r:id="rId2" display="https://mpmaterials.com/" xr:uid="{EAB8A6C4-1CD6-471E-9C92-6C3773536E72}"/>
    <hyperlink ref="J104" r:id="rId3" display="https://lynasrareearths.com/" xr:uid="{E69E0560-210F-4C70-AC4D-B39298AEF189}"/>
    <hyperlink ref="O104" r:id="rId4" display="https://www.reht.com/index" xr:uid="{8B592E55-9FC4-4129-9994-74A759C2DE91}"/>
    <hyperlink ref="T104" r:id="rId5" display="https://alkane.com.au/" xr:uid="{CF01CFC6-699D-4019-8E92-4E539F549E3A}"/>
    <hyperlink ref="Y104" r:id="rId6" display="https://www.materion.com/" xr:uid="{A78322B7-B67C-44B8-8308-6BED33F45F41}"/>
    <hyperlink ref="AD104" r:id="rId7" display="https://www.ametek.com/" xr:uid="{C5741DEE-7B40-46A2-93CA-791FE085C3DD}"/>
    <hyperlink ref="AI104" r:id="rId8" display="https://www.tdk.com/en/index.html" xr:uid="{6C863CB7-DE30-40ED-B563-BA8C18731AFB}"/>
  </hyperlinks>
  <pageMargins left="0.7" right="0.7" top="0.75" bottom="0.75" header="0.3" footer="0.3"/>
  <legacyDrawing r:id="rId9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51FFA-B8B0-4432-AF5D-84FE81279F37}">
  <dimension ref="B2:R28"/>
  <sheetViews>
    <sheetView showGridLines="0" zoomScale="60" workbookViewId="0">
      <selection activeCell="O26" sqref="O26"/>
    </sheetView>
  </sheetViews>
  <sheetFormatPr defaultRowHeight="14.5"/>
  <cols>
    <col min="2" max="2" width="33.7265625" customWidth="1"/>
    <col min="3" max="3" width="44" customWidth="1"/>
    <col min="4" max="4" width="12.26953125" bestFit="1" customWidth="1"/>
    <col min="5" max="5" width="15.453125" bestFit="1" customWidth="1"/>
    <col min="6" max="7" width="14.26953125" bestFit="1" customWidth="1"/>
    <col min="8" max="8" width="9.7265625" bestFit="1" customWidth="1"/>
    <col min="9" max="9" width="7.7265625" bestFit="1" customWidth="1"/>
    <col min="10" max="13" width="10" bestFit="1" customWidth="1"/>
    <col min="14" max="15" width="8.81640625" bestFit="1" customWidth="1"/>
    <col min="16" max="16" width="8.54296875" bestFit="1" customWidth="1"/>
  </cols>
  <sheetData>
    <row r="2" spans="2:18" ht="18.5">
      <c r="B2" s="404" t="s">
        <v>388</v>
      </c>
      <c r="C2" s="405"/>
      <c r="D2" s="405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2:18" ht="18.5">
      <c r="B3" s="404" t="s">
        <v>389</v>
      </c>
      <c r="C3" s="405"/>
      <c r="D3" s="405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</row>
    <row r="4" spans="2:18" ht="16">
      <c r="B4" s="281" t="s">
        <v>396</v>
      </c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</row>
    <row r="5" spans="2:18" ht="16">
      <c r="B5" s="406"/>
      <c r="C5" s="406"/>
      <c r="D5" s="406"/>
      <c r="E5" s="406"/>
      <c r="F5" s="407"/>
      <c r="G5" s="406"/>
      <c r="H5" s="406"/>
      <c r="I5" s="406"/>
      <c r="J5" s="406"/>
      <c r="K5" s="406"/>
      <c r="L5" s="406"/>
      <c r="M5" s="406"/>
      <c r="N5" s="406"/>
      <c r="O5" s="406"/>
      <c r="P5" s="406"/>
    </row>
    <row r="6" spans="2:18" ht="16">
      <c r="B6" s="408" t="str">
        <f>Company_Name&amp;" - Comparable M&amp;A Transactions"</f>
        <v>ACM Research, Inc. - Comparable M&amp;A Transactions</v>
      </c>
      <c r="C6" s="408"/>
      <c r="D6" s="408"/>
      <c r="E6" s="409"/>
      <c r="F6" s="410" t="s">
        <v>366</v>
      </c>
      <c r="G6" s="411"/>
      <c r="H6" s="410" t="s">
        <v>367</v>
      </c>
      <c r="I6" s="410"/>
      <c r="J6" s="412"/>
      <c r="K6" s="410" t="s">
        <v>368</v>
      </c>
      <c r="L6" s="410"/>
      <c r="M6" s="410"/>
      <c r="N6" s="410" t="s">
        <v>369</v>
      </c>
      <c r="O6" s="410"/>
      <c r="P6" s="410"/>
    </row>
    <row r="7" spans="2:18" ht="16">
      <c r="B7" s="408"/>
      <c r="C7" s="408"/>
      <c r="D7" s="408"/>
      <c r="E7" s="409" t="s">
        <v>370</v>
      </c>
      <c r="F7" s="410"/>
      <c r="G7" s="411"/>
      <c r="H7" s="409" t="s">
        <v>371</v>
      </c>
      <c r="I7" s="409" t="s">
        <v>371</v>
      </c>
      <c r="J7" s="409"/>
      <c r="K7" s="410"/>
      <c r="L7" s="410"/>
      <c r="M7" s="410"/>
      <c r="N7" s="409"/>
      <c r="O7" s="409"/>
      <c r="P7" s="409"/>
    </row>
    <row r="8" spans="2:18" ht="16">
      <c r="B8" s="413"/>
      <c r="C8" s="413"/>
      <c r="D8" s="409"/>
      <c r="E8" s="409" t="s">
        <v>318</v>
      </c>
      <c r="F8" s="409" t="s">
        <v>240</v>
      </c>
      <c r="G8" s="409" t="s">
        <v>240</v>
      </c>
      <c r="H8" s="409" t="s">
        <v>240</v>
      </c>
      <c r="I8" s="409" t="s">
        <v>240</v>
      </c>
      <c r="J8" s="409" t="s">
        <v>372</v>
      </c>
      <c r="K8" s="409" t="s">
        <v>373</v>
      </c>
      <c r="L8" s="409" t="s">
        <v>374</v>
      </c>
      <c r="M8" s="409" t="s">
        <v>375</v>
      </c>
      <c r="N8" s="409" t="s">
        <v>373</v>
      </c>
      <c r="O8" s="409" t="s">
        <v>374</v>
      </c>
      <c r="P8" s="409" t="s">
        <v>375</v>
      </c>
    </row>
    <row r="9" spans="2:18" ht="16">
      <c r="B9" s="414" t="s">
        <v>376</v>
      </c>
      <c r="C9" s="414" t="s">
        <v>377</v>
      </c>
      <c r="D9" s="414" t="s">
        <v>378</v>
      </c>
      <c r="E9" s="414" t="s">
        <v>331</v>
      </c>
      <c r="F9" s="414" t="s">
        <v>0</v>
      </c>
      <c r="G9" s="414" t="s">
        <v>110</v>
      </c>
      <c r="H9" s="414" t="s">
        <v>0</v>
      </c>
      <c r="I9" s="414" t="s">
        <v>110</v>
      </c>
      <c r="J9" s="414" t="s">
        <v>322</v>
      </c>
      <c r="K9" s="414" t="s">
        <v>379</v>
      </c>
      <c r="L9" s="414" t="s">
        <v>379</v>
      </c>
      <c r="M9" s="414" t="s">
        <v>379</v>
      </c>
      <c r="N9" s="414" t="s">
        <v>379</v>
      </c>
      <c r="O9" s="414" t="s">
        <v>379</v>
      </c>
      <c r="P9" s="414" t="s">
        <v>379</v>
      </c>
    </row>
    <row r="10" spans="2:18" ht="16">
      <c r="B10" s="415"/>
      <c r="C10" s="416"/>
      <c r="D10" s="417"/>
      <c r="E10" s="418"/>
      <c r="F10" s="419"/>
      <c r="G10" s="419"/>
      <c r="H10" s="420"/>
      <c r="I10" s="420"/>
      <c r="J10" s="421"/>
      <c r="K10" s="421"/>
      <c r="L10" s="421"/>
      <c r="M10" s="421"/>
      <c r="N10" s="422"/>
      <c r="O10" s="422"/>
      <c r="P10" s="422"/>
    </row>
    <row r="11" spans="2:18" ht="16">
      <c r="B11" s="415" t="s">
        <v>386</v>
      </c>
      <c r="C11" s="415" t="s">
        <v>387</v>
      </c>
      <c r="D11" s="417">
        <v>45252</v>
      </c>
      <c r="E11" s="423">
        <v>89736</v>
      </c>
      <c r="F11" s="419">
        <v>12945</v>
      </c>
      <c r="G11" s="419">
        <v>3099</v>
      </c>
      <c r="H11" s="420">
        <f t="shared" ref="H11:I17" si="0">IFERROR(IF(OR(+$E11/F11&lt;0,+$E11/F11&gt;=100),"NM",+$E11/F11),"N/A")</f>
        <v>6.932097334878331</v>
      </c>
      <c r="I11" s="420">
        <f t="shared" si="0"/>
        <v>28.956437560503389</v>
      </c>
      <c r="J11" s="421">
        <v>138.28</v>
      </c>
      <c r="K11" s="421">
        <v>120.54</v>
      </c>
      <c r="L11" s="421">
        <v>94.95</v>
      </c>
      <c r="M11" s="421">
        <v>107.03</v>
      </c>
      <c r="N11" s="422">
        <f t="shared" ref="N11:P16" si="1">IFERROR($J11/K11-1,"N/A")</f>
        <v>0.1471710635473702</v>
      </c>
      <c r="O11" s="422">
        <f t="shared" si="1"/>
        <v>0.45634544497103735</v>
      </c>
      <c r="P11" s="422">
        <f t="shared" si="1"/>
        <v>0.29197421283752223</v>
      </c>
    </row>
    <row r="12" spans="2:18" ht="16">
      <c r="B12" s="424" t="s">
        <v>380</v>
      </c>
      <c r="C12" s="424" t="s">
        <v>381</v>
      </c>
      <c r="D12" s="417">
        <v>43516</v>
      </c>
      <c r="E12" s="423">
        <f>3226605/1000</f>
        <v>3226.605</v>
      </c>
      <c r="F12" s="419">
        <v>1043.5</v>
      </c>
      <c r="G12" s="419">
        <v>192.5</v>
      </c>
      <c r="H12" s="420">
        <f t="shared" si="0"/>
        <v>3.0920987062769525</v>
      </c>
      <c r="I12" s="420">
        <f t="shared" si="0"/>
        <v>16.761584415584416</v>
      </c>
      <c r="J12" s="421">
        <v>69.02</v>
      </c>
      <c r="K12" s="421">
        <v>65.77</v>
      </c>
      <c r="L12" s="421">
        <v>61.85</v>
      </c>
      <c r="M12" s="421">
        <v>58.42</v>
      </c>
      <c r="N12" s="422">
        <f t="shared" si="1"/>
        <v>4.9414626729511912E-2</v>
      </c>
      <c r="O12" s="422">
        <f t="shared" si="1"/>
        <v>0.11592562651576377</v>
      </c>
      <c r="P12" s="422">
        <f t="shared" si="1"/>
        <v>0.18144471071550838</v>
      </c>
      <c r="R12" s="85"/>
    </row>
    <row r="13" spans="2:18" ht="16">
      <c r="B13" s="281" t="s">
        <v>382</v>
      </c>
      <c r="C13" s="424" t="s">
        <v>383</v>
      </c>
      <c r="D13" s="417">
        <v>44434</v>
      </c>
      <c r="E13" s="423">
        <v>21229.82</v>
      </c>
      <c r="F13" s="423">
        <v>2191.4</v>
      </c>
      <c r="G13" s="423">
        <v>812.59</v>
      </c>
      <c r="H13" s="420">
        <f t="shared" si="0"/>
        <v>9.6877886282741628</v>
      </c>
      <c r="I13" s="420">
        <f t="shared" si="0"/>
        <v>26.12611526107877</v>
      </c>
      <c r="J13" s="421">
        <v>78.44</v>
      </c>
      <c r="K13" s="421">
        <v>64.09</v>
      </c>
      <c r="L13" s="421">
        <v>61.98</v>
      </c>
      <c r="M13" s="421">
        <v>57.15</v>
      </c>
      <c r="N13" s="422">
        <f t="shared" si="1"/>
        <v>0.22390388516149162</v>
      </c>
      <c r="O13" s="422">
        <f t="shared" si="1"/>
        <v>0.2655695385608261</v>
      </c>
      <c r="P13" s="422">
        <f t="shared" si="1"/>
        <v>0.37252843394575685</v>
      </c>
      <c r="R13" s="85"/>
    </row>
    <row r="14" spans="2:18" ht="16">
      <c r="B14" s="424" t="s">
        <v>384</v>
      </c>
      <c r="C14" s="424" t="s">
        <v>385</v>
      </c>
      <c r="D14" s="417">
        <v>44606</v>
      </c>
      <c r="E14" s="423">
        <v>33692.910000000003</v>
      </c>
      <c r="F14" s="423">
        <v>2972.88</v>
      </c>
      <c r="G14" s="423">
        <v>951.47</v>
      </c>
      <c r="H14" s="420">
        <f t="shared" si="0"/>
        <v>11.333424154355374</v>
      </c>
      <c r="I14" s="420">
        <f t="shared" si="0"/>
        <v>35.411426529475449</v>
      </c>
      <c r="J14" s="421">
        <v>141.72</v>
      </c>
      <c r="K14" s="421">
        <v>114.55</v>
      </c>
      <c r="L14" s="421">
        <v>114.73</v>
      </c>
      <c r="M14" s="421">
        <v>100.35</v>
      </c>
      <c r="N14" s="422">
        <f t="shared" si="1"/>
        <v>0.23718900043649072</v>
      </c>
      <c r="O14" s="422">
        <f t="shared" si="1"/>
        <v>0.23524797350300708</v>
      </c>
      <c r="P14" s="422">
        <f t="shared" si="1"/>
        <v>0.41225710014947681</v>
      </c>
      <c r="R14" s="85"/>
    </row>
    <row r="15" spans="2:18" ht="16">
      <c r="B15" s="424" t="s">
        <v>392</v>
      </c>
      <c r="C15" s="424" t="s">
        <v>390</v>
      </c>
      <c r="D15" s="417">
        <v>44743</v>
      </c>
      <c r="E15" s="423">
        <v>7187.22</v>
      </c>
      <c r="F15" s="423">
        <v>1234.28</v>
      </c>
      <c r="G15" s="423">
        <v>117.51</v>
      </c>
      <c r="H15" s="420">
        <f t="shared" si="0"/>
        <v>5.8230061250283569</v>
      </c>
      <c r="I15" s="420">
        <f t="shared" si="0"/>
        <v>61.162624457492981</v>
      </c>
      <c r="J15" s="421">
        <v>266.36</v>
      </c>
      <c r="K15" s="421">
        <v>226.8</v>
      </c>
      <c r="L15" s="421">
        <v>193.18</v>
      </c>
      <c r="M15" s="421">
        <v>152.94</v>
      </c>
      <c r="N15" s="422">
        <f t="shared" si="1"/>
        <v>0.17442680776014119</v>
      </c>
      <c r="O15" s="422">
        <f t="shared" si="1"/>
        <v>0.37881768298995766</v>
      </c>
      <c r="P15" s="422">
        <f t="shared" si="1"/>
        <v>0.74159801229240241</v>
      </c>
      <c r="R15" s="85"/>
    </row>
    <row r="16" spans="2:18" ht="16">
      <c r="B16" s="424" t="s">
        <v>394</v>
      </c>
      <c r="C16" s="424" t="s">
        <v>393</v>
      </c>
      <c r="D16" s="417">
        <v>44785</v>
      </c>
      <c r="E16" s="423">
        <v>6466.54</v>
      </c>
      <c r="F16" s="423">
        <v>1420.4</v>
      </c>
      <c r="G16" s="423">
        <v>384.9</v>
      </c>
      <c r="H16" s="420">
        <f t="shared" si="0"/>
        <v>4.5526189805688535</v>
      </c>
      <c r="I16" s="420">
        <f t="shared" si="0"/>
        <v>16.800571577032997</v>
      </c>
      <c r="J16" s="421">
        <v>26.02</v>
      </c>
      <c r="K16" s="421">
        <v>25.53</v>
      </c>
      <c r="L16" s="421">
        <v>26.1</v>
      </c>
      <c r="M16" s="421">
        <v>23.69</v>
      </c>
      <c r="N16" s="422">
        <f t="shared" si="1"/>
        <v>1.919310614962777E-2</v>
      </c>
      <c r="O16" s="422">
        <f t="shared" si="1"/>
        <v>-3.0651340996169507E-3</v>
      </c>
      <c r="P16" s="422">
        <f t="shared" si="1"/>
        <v>9.8353735753482496E-2</v>
      </c>
      <c r="R16" s="85"/>
    </row>
    <row r="17" spans="2:18" ht="16">
      <c r="B17" s="424" t="s">
        <v>395</v>
      </c>
      <c r="C17" s="424" t="s">
        <v>391</v>
      </c>
      <c r="D17" s="417">
        <v>44748</v>
      </c>
      <c r="E17" s="423">
        <v>6542.04</v>
      </c>
      <c r="F17" s="423">
        <v>1199.83</v>
      </c>
      <c r="G17" s="423">
        <v>356.16</v>
      </c>
      <c r="H17" s="420">
        <f t="shared" si="0"/>
        <v>5.4524724335947594</v>
      </c>
      <c r="I17" s="420">
        <f t="shared" si="0"/>
        <v>18.368261455525605</v>
      </c>
      <c r="J17" s="421">
        <v>197.53</v>
      </c>
      <c r="K17" s="421">
        <v>145.97</v>
      </c>
      <c r="L17" s="421">
        <v>148.94</v>
      </c>
      <c r="M17" s="421">
        <v>149.30000000000001</v>
      </c>
      <c r="N17" s="422">
        <f t="shared" ref="N17" si="2">IFERROR($J17/K17-1,"N/A")</f>
        <v>0.35322326505446333</v>
      </c>
      <c r="O17" s="422">
        <f t="shared" ref="O17" si="3">IFERROR($J17/L17-1,"N/A")</f>
        <v>0.32623875386061507</v>
      </c>
      <c r="P17" s="422">
        <f t="shared" ref="P17" si="4">IFERROR($J17/M17-1,"N/A")</f>
        <v>0.32304085733422627</v>
      </c>
      <c r="R17" s="425"/>
    </row>
    <row r="18" spans="2:18" ht="16">
      <c r="B18" s="426"/>
      <c r="C18" s="426"/>
      <c r="D18" s="427"/>
      <c r="E18" s="428"/>
      <c r="F18" s="428"/>
      <c r="G18" s="428"/>
      <c r="H18" s="429"/>
      <c r="I18" s="429"/>
      <c r="J18" s="429"/>
      <c r="K18" s="429"/>
      <c r="L18" s="429"/>
      <c r="M18" s="429"/>
      <c r="N18" s="429"/>
      <c r="O18" s="429"/>
      <c r="P18" s="429"/>
    </row>
    <row r="19" spans="2:18" ht="16">
      <c r="B19" s="430" t="s">
        <v>333</v>
      </c>
      <c r="C19" s="431"/>
      <c r="D19" s="432"/>
      <c r="E19" s="433">
        <f>MAX(E12:E17)</f>
        <v>33692.910000000003</v>
      </c>
      <c r="F19" s="433">
        <f t="shared" ref="F19:P19" si="5">MAX(F12:F17)</f>
        <v>2972.88</v>
      </c>
      <c r="G19" s="433">
        <f t="shared" si="5"/>
        <v>951.47</v>
      </c>
      <c r="H19" s="434">
        <f t="shared" si="5"/>
        <v>11.333424154355374</v>
      </c>
      <c r="I19" s="434">
        <f>MAX(I12:I18)</f>
        <v>61.162624457492981</v>
      </c>
      <c r="J19" s="435"/>
      <c r="K19" s="435"/>
      <c r="L19" s="435"/>
      <c r="M19" s="435"/>
      <c r="N19" s="436">
        <f t="shared" si="5"/>
        <v>0.35322326505446333</v>
      </c>
      <c r="O19" s="436">
        <f t="shared" si="5"/>
        <v>0.37881768298995766</v>
      </c>
      <c r="P19" s="437">
        <f t="shared" si="5"/>
        <v>0.74159801229240241</v>
      </c>
    </row>
    <row r="20" spans="2:18" ht="16">
      <c r="B20" s="438" t="s">
        <v>334</v>
      </c>
      <c r="C20" s="439"/>
      <c r="D20" s="440"/>
      <c r="E20" s="441">
        <f>QUARTILE(E12:E17,3)</f>
        <v>17719.169999999998</v>
      </c>
      <c r="F20" s="441">
        <f t="shared" ref="F20:P20" si="6">QUARTILE(F12:F17,3)</f>
        <v>1998.65</v>
      </c>
      <c r="G20" s="441">
        <f t="shared" si="6"/>
        <v>705.66750000000002</v>
      </c>
      <c r="H20" s="442">
        <f t="shared" si="6"/>
        <v>8.7215930024627113</v>
      </c>
      <c r="I20" s="442">
        <f t="shared" si="6"/>
        <v>33.090098712376282</v>
      </c>
      <c r="J20" s="443"/>
      <c r="K20" s="443"/>
      <c r="L20" s="443"/>
      <c r="M20" s="443"/>
      <c r="N20" s="444">
        <f t="shared" si="6"/>
        <v>0.23386772161774094</v>
      </c>
      <c r="O20" s="444">
        <f t="shared" si="6"/>
        <v>0.31107145003566783</v>
      </c>
      <c r="P20" s="445">
        <f t="shared" si="6"/>
        <v>0.40232493359854682</v>
      </c>
    </row>
    <row r="21" spans="2:18" ht="16">
      <c r="B21" s="446" t="s">
        <v>335</v>
      </c>
      <c r="C21" s="447"/>
      <c r="D21" s="448"/>
      <c r="E21" s="449">
        <f>MEDIAN(E12:E17)</f>
        <v>6864.63</v>
      </c>
      <c r="F21" s="449">
        <f t="shared" ref="F21:P21" si="7">MEDIAN(F12:F17)</f>
        <v>1327.3400000000001</v>
      </c>
      <c r="G21" s="449">
        <f t="shared" si="7"/>
        <v>370.53</v>
      </c>
      <c r="H21" s="450">
        <f t="shared" si="7"/>
        <v>5.6377392793115586</v>
      </c>
      <c r="I21" s="450">
        <f t="shared" si="7"/>
        <v>22.247188358302189</v>
      </c>
      <c r="J21" s="450"/>
      <c r="K21" s="450"/>
      <c r="L21" s="450"/>
      <c r="M21" s="450"/>
      <c r="N21" s="451">
        <f t="shared" si="7"/>
        <v>0.19916534646081641</v>
      </c>
      <c r="O21" s="451">
        <f t="shared" si="7"/>
        <v>0.25040875603191659</v>
      </c>
      <c r="P21" s="452">
        <f t="shared" si="7"/>
        <v>0.34778464563999156</v>
      </c>
    </row>
    <row r="22" spans="2:18" ht="16">
      <c r="B22" s="438" t="s">
        <v>336</v>
      </c>
      <c r="C22" s="439"/>
      <c r="D22" s="440"/>
      <c r="E22" s="441">
        <f>QUARTILE(E12:E17,1)</f>
        <v>6485.415</v>
      </c>
      <c r="F22" s="441">
        <f t="shared" ref="F22:P22" si="8">QUARTILE(F12:F17,1)</f>
        <v>1208.4424999999999</v>
      </c>
      <c r="G22" s="441">
        <f t="shared" si="8"/>
        <v>233.41500000000002</v>
      </c>
      <c r="H22" s="442">
        <f t="shared" si="8"/>
        <v>4.7775823438253298</v>
      </c>
      <c r="I22" s="442">
        <f t="shared" si="8"/>
        <v>17.192494046656151</v>
      </c>
      <c r="J22" s="443"/>
      <c r="K22" s="443"/>
      <c r="L22" s="443"/>
      <c r="M22" s="443"/>
      <c r="N22" s="444">
        <f t="shared" si="8"/>
        <v>8.0667671987169232E-2</v>
      </c>
      <c r="O22" s="444">
        <f t="shared" si="8"/>
        <v>0.1457562132625746</v>
      </c>
      <c r="P22" s="445">
        <f t="shared" si="8"/>
        <v>0.21684374737018786</v>
      </c>
    </row>
    <row r="23" spans="2:18" ht="16">
      <c r="B23" s="453" t="s">
        <v>337</v>
      </c>
      <c r="C23" s="454"/>
      <c r="D23" s="455"/>
      <c r="E23" s="456">
        <f>MIN(E12:E17)</f>
        <v>3226.605</v>
      </c>
      <c r="F23" s="456">
        <f t="shared" ref="F23:P23" si="9">MIN(F12:F17)</f>
        <v>1043.5</v>
      </c>
      <c r="G23" s="456">
        <f t="shared" si="9"/>
        <v>117.51</v>
      </c>
      <c r="H23" s="457">
        <f t="shared" si="9"/>
        <v>3.0920987062769525</v>
      </c>
      <c r="I23" s="457">
        <f t="shared" si="9"/>
        <v>16.761584415584416</v>
      </c>
      <c r="J23" s="458"/>
      <c r="K23" s="458"/>
      <c r="L23" s="458"/>
      <c r="M23" s="458"/>
      <c r="N23" s="459">
        <f t="shared" si="9"/>
        <v>1.919310614962777E-2</v>
      </c>
      <c r="O23" s="459">
        <f t="shared" si="9"/>
        <v>-3.0651340996169507E-3</v>
      </c>
      <c r="P23" s="460">
        <f t="shared" si="9"/>
        <v>9.8353735753482496E-2</v>
      </c>
    </row>
    <row r="25" spans="2:18" ht="16">
      <c r="B25" s="575" t="str">
        <f>Company_Name</f>
        <v>ACM Research, Inc.</v>
      </c>
      <c r="C25" s="566"/>
      <c r="D25" s="567"/>
      <c r="E25" s="568">
        <f>PubComps!M21</f>
        <v>1205.174</v>
      </c>
      <c r="F25" s="568">
        <f>PubComps!N21</f>
        <v>802.28</v>
      </c>
      <c r="G25" s="568">
        <f>PubComps!Q21</f>
        <v>162.02000000000001</v>
      </c>
      <c r="H25" s="569">
        <f t="shared" ref="H25" si="10">IFERROR(IF(OR(+$E25/F25&lt;0,+$E25/F25&gt;=100),"NM",+$E25/F25),"N/A")</f>
        <v>1.502186269132971</v>
      </c>
      <c r="I25" s="569">
        <f t="shared" ref="I25" si="11">IFERROR(IF(OR(+$E25/G25&lt;0,+$E25/G25&gt;=100),"NM",+$E25/G25),"N/A")</f>
        <v>7.4384273546475734</v>
      </c>
      <c r="J25" s="566">
        <f>Share_Price</f>
        <v>21.44</v>
      </c>
      <c r="K25" s="566"/>
      <c r="L25" s="566"/>
      <c r="M25" s="566"/>
      <c r="N25" s="566"/>
      <c r="O25" s="566"/>
      <c r="P25" s="570"/>
    </row>
    <row r="26" spans="2:18">
      <c r="E26" s="461"/>
    </row>
    <row r="27" spans="2:18">
      <c r="E27" s="461"/>
    </row>
    <row r="28" spans="2:18">
      <c r="E28" s="46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CC96A-44A3-4342-98AF-99E2F2E8C856}">
  <dimension ref="A2:AX92"/>
  <sheetViews>
    <sheetView showGridLines="0" topLeftCell="A10" zoomScale="60" workbookViewId="0">
      <selection activeCell="T17" sqref="T17"/>
    </sheetView>
  </sheetViews>
  <sheetFormatPr defaultRowHeight="14.5"/>
  <cols>
    <col min="1" max="1" width="2.54296875" customWidth="1"/>
    <col min="2" max="2" width="27.26953125" bestFit="1" customWidth="1"/>
    <col min="3" max="3" width="28.81640625" bestFit="1" customWidth="1"/>
    <col min="4" max="4" width="13.90625" bestFit="1" customWidth="1"/>
    <col min="5" max="5" width="8.1796875" bestFit="1" customWidth="1"/>
    <col min="6" max="6" width="14.54296875" bestFit="1" customWidth="1"/>
    <col min="7" max="7" width="10.1796875" bestFit="1" customWidth="1"/>
    <col min="8" max="8" width="13.54296875" bestFit="1" customWidth="1"/>
    <col min="9" max="9" width="16.54296875" bestFit="1" customWidth="1"/>
    <col min="10" max="10" width="17.6328125" bestFit="1" customWidth="1"/>
    <col min="11" max="11" width="16" bestFit="1" customWidth="1"/>
    <col min="12" max="12" width="12.90625" bestFit="1" customWidth="1"/>
    <col min="13" max="13" width="9.6328125" bestFit="1" customWidth="1"/>
    <col min="14" max="14" width="13.54296875" bestFit="1" customWidth="1"/>
    <col min="15" max="17" width="9.6328125" bestFit="1" customWidth="1"/>
    <col min="18" max="18" width="12.7265625" bestFit="1" customWidth="1"/>
    <col min="19" max="22" width="9.6328125" bestFit="1" customWidth="1"/>
    <col min="23" max="23" width="42.6328125" customWidth="1"/>
    <col min="24" max="24" width="6.36328125" bestFit="1" customWidth="1"/>
    <col min="25" max="25" width="10.36328125" bestFit="1" customWidth="1"/>
    <col min="26" max="26" width="10.90625" bestFit="1" customWidth="1"/>
    <col min="27" max="27" width="8.1796875" bestFit="1" customWidth="1"/>
    <col min="28" max="28" width="9.453125" bestFit="1" customWidth="1"/>
    <col min="29" max="29" width="11.453125" bestFit="1" customWidth="1"/>
    <col min="30" max="30" width="13.90625" bestFit="1" customWidth="1"/>
    <col min="31" max="31" width="9.54296875" bestFit="1" customWidth="1"/>
    <col min="32" max="32" width="10.1796875" bestFit="1" customWidth="1"/>
    <col min="33" max="33" width="10.36328125" bestFit="1" customWidth="1"/>
    <col min="36" max="36" width="21.54296875" customWidth="1"/>
    <col min="37" max="37" width="50.08984375" customWidth="1"/>
    <col min="38" max="38" width="15.08984375" bestFit="1" customWidth="1"/>
    <col min="39" max="39" width="8.7265625" customWidth="1"/>
    <col min="40" max="48" width="23.36328125" bestFit="1" customWidth="1"/>
    <col min="49" max="49" width="20.26953125" bestFit="1" customWidth="1"/>
    <col min="50" max="50" width="21.26953125" bestFit="1" customWidth="1"/>
  </cols>
  <sheetData>
    <row r="2" spans="2:50" ht="16">
      <c r="B2" s="408"/>
      <c r="C2" s="409" t="s">
        <v>485</v>
      </c>
      <c r="D2" s="408"/>
      <c r="E2" s="409" t="s">
        <v>371</v>
      </c>
      <c r="F2" s="409" t="s">
        <v>371</v>
      </c>
      <c r="G2" s="571"/>
    </row>
    <row r="3" spans="2:50" ht="16">
      <c r="B3" s="413"/>
      <c r="C3" s="413"/>
      <c r="D3" s="409"/>
      <c r="E3" s="409" t="s">
        <v>240</v>
      </c>
      <c r="F3" s="409" t="s">
        <v>240</v>
      </c>
      <c r="G3" s="572"/>
      <c r="P3" s="669"/>
      <c r="Q3" s="669"/>
      <c r="R3" s="670"/>
      <c r="S3" s="670"/>
      <c r="T3" s="670"/>
      <c r="U3" s="670"/>
      <c r="W3" s="374" t="s">
        <v>349</v>
      </c>
      <c r="X3" s="374"/>
      <c r="Y3" s="374"/>
      <c r="Z3" s="374"/>
      <c r="AA3" s="374"/>
      <c r="AB3" s="374"/>
      <c r="AC3" s="374"/>
      <c r="AD3" s="374"/>
      <c r="AE3" s="374"/>
      <c r="AF3" s="374"/>
      <c r="AG3" s="374"/>
    </row>
    <row r="4" spans="2:50" ht="16">
      <c r="B4" s="409" t="s">
        <v>376</v>
      </c>
      <c r="C4" s="409" t="s">
        <v>377</v>
      </c>
      <c r="D4" s="409" t="s">
        <v>378</v>
      </c>
      <c r="E4" s="409" t="s">
        <v>0</v>
      </c>
      <c r="F4" s="409" t="s">
        <v>110</v>
      </c>
      <c r="G4" s="572"/>
      <c r="P4" s="10"/>
      <c r="Q4" s="10"/>
      <c r="R4" s="669"/>
      <c r="S4" s="671"/>
      <c r="T4" s="669"/>
      <c r="U4" s="669"/>
      <c r="W4" s="374"/>
      <c r="X4" s="374"/>
      <c r="Y4" s="375" t="s">
        <v>350</v>
      </c>
      <c r="Z4" s="375"/>
      <c r="AA4" s="375"/>
      <c r="AB4" s="375" t="s">
        <v>329</v>
      </c>
      <c r="AC4" s="375"/>
      <c r="AD4" s="375" t="s">
        <v>316</v>
      </c>
      <c r="AE4" s="375"/>
      <c r="AF4" s="375"/>
      <c r="AG4" s="375" t="s">
        <v>351</v>
      </c>
    </row>
    <row r="5" spans="2:50" ht="23.5">
      <c r="B5" s="415" t="s">
        <v>386</v>
      </c>
      <c r="C5" s="415" t="s">
        <v>387</v>
      </c>
      <c r="D5" s="576">
        <v>45252</v>
      </c>
      <c r="E5" s="420">
        <v>6.932097334878331</v>
      </c>
      <c r="F5" s="420">
        <v>28.956437560503389</v>
      </c>
      <c r="P5" s="10"/>
      <c r="Q5" s="10"/>
      <c r="R5" s="672"/>
      <c r="S5" s="672"/>
      <c r="T5" s="672"/>
      <c r="U5" s="672"/>
      <c r="W5" s="374" t="s">
        <v>82</v>
      </c>
      <c r="X5" s="374" t="s">
        <v>321</v>
      </c>
      <c r="Y5" s="375" t="s">
        <v>325</v>
      </c>
      <c r="Z5" s="375" t="s">
        <v>328</v>
      </c>
      <c r="AA5" s="375" t="s">
        <v>352</v>
      </c>
      <c r="AB5" s="375" t="s">
        <v>353</v>
      </c>
      <c r="AC5" s="375" t="s">
        <v>354</v>
      </c>
      <c r="AD5" s="375" t="s">
        <v>331</v>
      </c>
      <c r="AE5" s="375" t="s">
        <v>355</v>
      </c>
      <c r="AF5" s="375" t="s">
        <v>326</v>
      </c>
      <c r="AG5" s="375" t="s">
        <v>325</v>
      </c>
      <c r="AJ5" s="699"/>
      <c r="AK5" s="699"/>
      <c r="AL5" s="700"/>
      <c r="AM5" s="700"/>
      <c r="AN5" s="701" t="s">
        <v>492</v>
      </c>
      <c r="AO5" s="701"/>
      <c r="AP5" s="701"/>
      <c r="AQ5" s="701"/>
      <c r="AR5" s="701" t="s">
        <v>79</v>
      </c>
      <c r="AS5" s="702"/>
      <c r="AT5" s="701"/>
      <c r="AU5" s="701"/>
      <c r="AV5" s="701"/>
      <c r="AW5" s="703"/>
      <c r="AX5" s="704" t="s">
        <v>313</v>
      </c>
    </row>
    <row r="6" spans="2:50" ht="23.5">
      <c r="B6" s="424" t="s">
        <v>380</v>
      </c>
      <c r="C6" s="424" t="s">
        <v>381</v>
      </c>
      <c r="D6" s="576">
        <v>43516</v>
      </c>
      <c r="E6" s="420">
        <v>3.0920987062769525</v>
      </c>
      <c r="F6" s="420">
        <v>16.761584415584416</v>
      </c>
      <c r="L6" s="92"/>
      <c r="M6" s="582"/>
      <c r="N6" s="582"/>
      <c r="P6" s="10"/>
      <c r="Q6" s="10"/>
      <c r="R6" s="343"/>
      <c r="S6" s="673"/>
      <c r="U6" s="673"/>
      <c r="W6" s="31" t="s">
        <v>295</v>
      </c>
      <c r="X6" t="s">
        <v>294</v>
      </c>
      <c r="Y6" s="31">
        <v>1.45</v>
      </c>
      <c r="Z6" s="31">
        <v>14.6</v>
      </c>
      <c r="AA6" s="376">
        <v>3.2090832000977671E-3</v>
      </c>
      <c r="AB6" s="31">
        <v>0</v>
      </c>
      <c r="AC6" s="377">
        <v>0</v>
      </c>
      <c r="AD6" s="378">
        <v>4534.9859999999999</v>
      </c>
      <c r="AE6" s="376">
        <v>0.99679091679990217</v>
      </c>
      <c r="AF6" s="377">
        <v>8.5000000000000006E-2</v>
      </c>
      <c r="AG6" s="379">
        <v>1.4457411871790729</v>
      </c>
      <c r="AJ6" s="705" t="s">
        <v>456</v>
      </c>
      <c r="AK6" s="705"/>
      <c r="AL6" s="706" t="s">
        <v>80</v>
      </c>
      <c r="AM6" s="706"/>
      <c r="AN6" s="707">
        <v>44561</v>
      </c>
      <c r="AO6" s="707">
        <v>44926</v>
      </c>
      <c r="AP6" s="707">
        <v>45291</v>
      </c>
      <c r="AQ6" s="707">
        <v>45657</v>
      </c>
      <c r="AR6" s="707">
        <v>46022</v>
      </c>
      <c r="AS6" s="707">
        <v>46387</v>
      </c>
      <c r="AT6" s="707">
        <v>46752</v>
      </c>
      <c r="AU6" s="707">
        <v>47118</v>
      </c>
      <c r="AV6" s="707">
        <v>47483</v>
      </c>
      <c r="AW6" s="703"/>
      <c r="AX6" s="707" t="s">
        <v>457</v>
      </c>
    </row>
    <row r="7" spans="2:50" ht="23.5">
      <c r="B7" s="281" t="s">
        <v>382</v>
      </c>
      <c r="C7" s="424" t="s">
        <v>383</v>
      </c>
      <c r="D7" s="576">
        <v>44434</v>
      </c>
      <c r="E7" s="420">
        <v>9.6877886282741628</v>
      </c>
      <c r="F7" s="420">
        <v>26.12611526107877</v>
      </c>
      <c r="L7" s="92"/>
      <c r="M7" s="583"/>
      <c r="N7" s="583"/>
      <c r="P7" s="10"/>
      <c r="Q7" s="10"/>
      <c r="R7" s="343"/>
      <c r="S7" s="668"/>
      <c r="U7" s="668"/>
      <c r="W7" s="31" t="s">
        <v>297</v>
      </c>
      <c r="X7" t="s">
        <v>296</v>
      </c>
      <c r="Y7" s="31">
        <v>1.52</v>
      </c>
      <c r="Z7" s="31">
        <v>-72.400000000000006</v>
      </c>
      <c r="AA7" s="376">
        <v>-4.1610008471429899E-2</v>
      </c>
      <c r="AB7" s="31">
        <v>0</v>
      </c>
      <c r="AC7" s="377">
        <v>0</v>
      </c>
      <c r="AD7" s="378">
        <v>1812.3660000000002</v>
      </c>
      <c r="AE7" s="376">
        <v>1.0416100084714299</v>
      </c>
      <c r="AF7" s="377">
        <v>0.129</v>
      </c>
      <c r="AG7" s="379">
        <v>1.5747942040544547</v>
      </c>
      <c r="AJ7" s="708" t="s">
        <v>458</v>
      </c>
      <c r="AK7" s="708"/>
      <c r="AL7" s="709"/>
      <c r="AM7" s="709"/>
      <c r="AN7" s="709"/>
      <c r="AO7" s="710"/>
      <c r="AP7" s="710"/>
      <c r="AQ7" s="710"/>
      <c r="AR7" s="710"/>
      <c r="AS7" s="710"/>
      <c r="AT7" s="710"/>
      <c r="AU7" s="710"/>
      <c r="AV7" s="710"/>
      <c r="AW7" s="703"/>
      <c r="AX7" s="710"/>
    </row>
    <row r="8" spans="2:50" ht="23.5">
      <c r="B8" s="424" t="s">
        <v>384</v>
      </c>
      <c r="C8" s="424" t="s">
        <v>385</v>
      </c>
      <c r="D8" s="576">
        <v>44606</v>
      </c>
      <c r="E8" s="420">
        <v>11.333424154355374</v>
      </c>
      <c r="F8" s="420">
        <v>35.411426529475449</v>
      </c>
      <c r="K8" s="753"/>
      <c r="L8" s="754"/>
      <c r="M8" s="754"/>
      <c r="N8" s="754"/>
      <c r="O8" s="754"/>
      <c r="P8" s="754"/>
      <c r="Q8" s="754"/>
      <c r="R8" s="343"/>
      <c r="S8" s="673"/>
      <c r="U8" s="673"/>
      <c r="W8" s="31" t="s">
        <v>299</v>
      </c>
      <c r="X8" t="s">
        <v>298</v>
      </c>
      <c r="Y8" s="31">
        <v>1.1200000000000001</v>
      </c>
      <c r="Z8" s="31">
        <v>37.5</v>
      </c>
      <c r="AA8" s="376">
        <v>1.5943592844005337E-2</v>
      </c>
      <c r="AB8" s="31">
        <v>0</v>
      </c>
      <c r="AC8" s="377">
        <v>0</v>
      </c>
      <c r="AD8" s="378">
        <v>2314.5419999999999</v>
      </c>
      <c r="AE8" s="376">
        <v>0.98405640715599463</v>
      </c>
      <c r="AF8" s="377">
        <v>0.123</v>
      </c>
      <c r="AG8" s="379">
        <v>1.1043087939382206</v>
      </c>
      <c r="AJ8" s="711"/>
      <c r="AK8" s="711"/>
      <c r="AL8" s="711"/>
      <c r="AM8" s="711"/>
      <c r="AN8" s="712"/>
      <c r="AO8" s="712"/>
      <c r="AP8" s="712"/>
      <c r="AQ8" s="712"/>
      <c r="AR8" s="712"/>
      <c r="AS8" s="712"/>
      <c r="AT8" s="712"/>
      <c r="AU8" s="712"/>
      <c r="AV8" s="712"/>
      <c r="AW8" s="713"/>
      <c r="AX8" s="711"/>
    </row>
    <row r="9" spans="2:50" ht="23.5">
      <c r="B9" s="424" t="s">
        <v>392</v>
      </c>
      <c r="C9" s="424" t="s">
        <v>390</v>
      </c>
      <c r="D9" s="576">
        <v>44743</v>
      </c>
      <c r="E9" s="420">
        <v>5.8230061250283569</v>
      </c>
      <c r="F9" s="420">
        <v>61.162624457492981</v>
      </c>
      <c r="K9" s="755"/>
      <c r="L9" s="753"/>
      <c r="M9" s="753"/>
      <c r="N9" s="753"/>
      <c r="O9" s="754"/>
      <c r="P9" s="754"/>
      <c r="Q9" s="756"/>
      <c r="R9" s="343"/>
      <c r="S9" s="668"/>
      <c r="U9" s="674"/>
      <c r="W9" s="31" t="s">
        <v>301</v>
      </c>
      <c r="X9" t="s">
        <v>300</v>
      </c>
      <c r="Y9" s="31">
        <v>2.0499999999999998</v>
      </c>
      <c r="Z9" s="31">
        <v>646.4</v>
      </c>
      <c r="AA9" s="376">
        <v>0.42288277302238186</v>
      </c>
      <c r="AB9" s="31">
        <v>0</v>
      </c>
      <c r="AC9" s="377">
        <v>0</v>
      </c>
      <c r="AD9" s="378">
        <v>882.15599999999995</v>
      </c>
      <c r="AE9" s="376">
        <v>0.57711722697761803</v>
      </c>
      <c r="AF9" s="377">
        <v>0.48699999999999999</v>
      </c>
      <c r="AG9" s="379">
        <v>1.4899329290356766</v>
      </c>
      <c r="AJ9" s="714" t="s">
        <v>113</v>
      </c>
      <c r="AK9" s="711"/>
      <c r="AL9" s="715" t="s">
        <v>111</v>
      </c>
      <c r="AM9" s="715"/>
      <c r="AN9" s="716">
        <v>189125</v>
      </c>
      <c r="AO9" s="716">
        <v>257250</v>
      </c>
      <c r="AP9" s="716">
        <v>371250</v>
      </c>
      <c r="AQ9" s="716">
        <v>570000</v>
      </c>
      <c r="AR9" s="716">
        <v>605555.80037939583</v>
      </c>
      <c r="AS9" s="716">
        <v>720923.11594094557</v>
      </c>
      <c r="AT9" s="716">
        <v>762962.43041198887</v>
      </c>
      <c r="AU9" s="716">
        <v>906484.81339050061</v>
      </c>
      <c r="AV9" s="716">
        <v>961870.44298155734</v>
      </c>
      <c r="AW9" s="713"/>
      <c r="AX9" s="717">
        <v>0.11032046539851614</v>
      </c>
    </row>
    <row r="10" spans="2:50" ht="23.5">
      <c r="B10" s="424" t="s">
        <v>394</v>
      </c>
      <c r="C10" s="424" t="s">
        <v>393</v>
      </c>
      <c r="D10" s="576">
        <v>44785</v>
      </c>
      <c r="E10" s="420">
        <v>4.5526189805688535</v>
      </c>
      <c r="F10" s="420">
        <v>16.800571577032997</v>
      </c>
      <c r="K10" s="757"/>
      <c r="L10" s="758"/>
      <c r="M10" s="759"/>
      <c r="N10" s="159"/>
      <c r="O10" s="759"/>
      <c r="P10" s="759"/>
      <c r="Q10" s="759"/>
      <c r="R10" s="343"/>
      <c r="S10" s="673"/>
      <c r="U10" s="673"/>
      <c r="W10" s="31" t="s">
        <v>303</v>
      </c>
      <c r="X10" t="s">
        <v>302</v>
      </c>
      <c r="Y10" s="31">
        <v>1.1000000000000001</v>
      </c>
      <c r="Z10" s="31">
        <v>287.5</v>
      </c>
      <c r="AA10" s="376">
        <v>0.20317705307762002</v>
      </c>
      <c r="AB10" s="31">
        <v>0</v>
      </c>
      <c r="AC10" s="377">
        <v>0</v>
      </c>
      <c r="AD10" s="378">
        <v>1127.5219999999999</v>
      </c>
      <c r="AE10" s="376">
        <v>0.79682294692237998</v>
      </c>
      <c r="AF10" s="377">
        <v>0.13</v>
      </c>
      <c r="AG10" s="379">
        <v>0.90028447055014826</v>
      </c>
      <c r="AJ10" s="714" t="s">
        <v>116</v>
      </c>
      <c r="AK10" s="711"/>
      <c r="AL10" s="715" t="s">
        <v>93</v>
      </c>
      <c r="AM10" s="715"/>
      <c r="AN10" s="716">
        <v>31920</v>
      </c>
      <c r="AO10" s="716">
        <v>72500</v>
      </c>
      <c r="AP10" s="716">
        <v>100000</v>
      </c>
      <c r="AQ10" s="716">
        <v>145000</v>
      </c>
      <c r="AR10" s="716">
        <v>167210.52631578947</v>
      </c>
      <c r="AS10" s="716">
        <v>200093.9987104786</v>
      </c>
      <c r="AT10" s="716">
        <v>240290.94223243051</v>
      </c>
      <c r="AU10" s="716">
        <v>286403.94424773223</v>
      </c>
      <c r="AV10" s="716">
        <v>330066.75187514594</v>
      </c>
      <c r="AW10" s="713"/>
      <c r="AX10" s="717">
        <v>0.17881799112127084</v>
      </c>
    </row>
    <row r="11" spans="2:50" ht="23.5">
      <c r="B11" s="424" t="s">
        <v>395</v>
      </c>
      <c r="C11" s="424" t="s">
        <v>391</v>
      </c>
      <c r="D11" s="576">
        <v>44748</v>
      </c>
      <c r="E11" s="420">
        <v>5.4524724335947594</v>
      </c>
      <c r="F11" s="420">
        <v>18.368261455525605</v>
      </c>
      <c r="K11" s="760"/>
      <c r="L11" s="761"/>
      <c r="M11" s="762"/>
      <c r="N11" s="762"/>
      <c r="O11" s="762"/>
      <c r="P11" s="762"/>
      <c r="Q11" s="762"/>
      <c r="R11" s="343"/>
      <c r="S11" s="668"/>
      <c r="U11" s="668"/>
      <c r="W11" s="31" t="s">
        <v>305</v>
      </c>
      <c r="X11" t="s">
        <v>304</v>
      </c>
      <c r="Y11" s="31">
        <v>1.24</v>
      </c>
      <c r="Z11" s="31">
        <v>4055.2</v>
      </c>
      <c r="AA11" s="376">
        <v>0.28145607572273379</v>
      </c>
      <c r="AB11" s="31">
        <v>0</v>
      </c>
      <c r="AC11" s="377">
        <v>0</v>
      </c>
      <c r="AD11" s="378">
        <v>10352.732</v>
      </c>
      <c r="AE11" s="376">
        <v>0.7185439242772661</v>
      </c>
      <c r="AF11" s="377">
        <v>8.5999999999999993E-2</v>
      </c>
      <c r="AG11" s="379">
        <v>0.91309616187703857</v>
      </c>
      <c r="AJ11" s="714" t="s">
        <v>118</v>
      </c>
      <c r="AK11" s="711"/>
      <c r="AL11" s="715" t="s">
        <v>111</v>
      </c>
      <c r="AM11" s="715"/>
      <c r="AN11" s="716">
        <v>36402</v>
      </c>
      <c r="AO11" s="716">
        <v>37002</v>
      </c>
      <c r="AP11" s="716">
        <v>48516</v>
      </c>
      <c r="AQ11" s="716">
        <v>49000</v>
      </c>
      <c r="AR11" s="716">
        <v>54514.640814387654</v>
      </c>
      <c r="AS11" s="716">
        <v>62395.498065954351</v>
      </c>
      <c r="AT11" s="716">
        <v>67950.44093803654</v>
      </c>
      <c r="AU11" s="716">
        <v>75790.465040863317</v>
      </c>
      <c r="AV11" s="716">
        <v>84606.678575027647</v>
      </c>
      <c r="AW11" s="713"/>
      <c r="AX11" s="717">
        <v>0.1154284393786924</v>
      </c>
    </row>
    <row r="12" spans="2:50" ht="23.5">
      <c r="K12" s="763"/>
      <c r="L12" s="761"/>
      <c r="M12" s="764"/>
      <c r="N12" s="764"/>
      <c r="O12" s="764"/>
      <c r="P12" s="764"/>
      <c r="Q12" s="764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380"/>
      <c r="AJ12" s="714"/>
      <c r="AK12" s="711"/>
      <c r="AL12" s="715"/>
      <c r="AM12" s="715"/>
      <c r="AN12" s="716"/>
      <c r="AO12" s="716"/>
      <c r="AP12" s="716"/>
      <c r="AQ12" s="716"/>
      <c r="AR12" s="716"/>
      <c r="AS12" s="716"/>
      <c r="AT12" s="716"/>
      <c r="AU12" s="716"/>
      <c r="AV12" s="716"/>
      <c r="AW12" s="713"/>
      <c r="AX12" s="717"/>
    </row>
    <row r="13" spans="2:50" ht="23.5">
      <c r="B13" s="573" t="s">
        <v>335</v>
      </c>
      <c r="C13" s="573"/>
      <c r="D13" s="573"/>
      <c r="E13" s="574">
        <v>5.6377392793115586</v>
      </c>
      <c r="F13" s="574">
        <v>22.247188358302189</v>
      </c>
      <c r="K13" s="760"/>
      <c r="L13" s="761"/>
      <c r="M13" s="762"/>
      <c r="N13" s="762"/>
      <c r="O13" s="762"/>
      <c r="P13" s="762"/>
      <c r="Q13" s="762"/>
      <c r="S13" s="675"/>
      <c r="W13" s="381" t="s">
        <v>356</v>
      </c>
      <c r="X13" s="382"/>
      <c r="Y13" s="383">
        <v>1.45</v>
      </c>
      <c r="Z13" s="384">
        <v>37.5</v>
      </c>
      <c r="AA13" s="385">
        <v>1.5943592844005337E-2</v>
      </c>
      <c r="AB13" s="383">
        <v>0</v>
      </c>
      <c r="AC13" s="386">
        <v>0</v>
      </c>
      <c r="AD13" s="387">
        <v>1812.3660000000002</v>
      </c>
      <c r="AE13" s="385">
        <v>0.98405640715599463</v>
      </c>
      <c r="AF13" s="388">
        <v>0.129</v>
      </c>
      <c r="AG13" s="388">
        <v>1.4457411871790729</v>
      </c>
      <c r="AJ13" s="714" t="s">
        <v>115</v>
      </c>
      <c r="AK13" s="711"/>
      <c r="AL13" s="715" t="s">
        <v>93</v>
      </c>
      <c r="AM13" s="715"/>
      <c r="AN13" s="716">
        <v>83</v>
      </c>
      <c r="AO13" s="716">
        <v>15689</v>
      </c>
      <c r="AP13" s="716">
        <v>32601</v>
      </c>
      <c r="AQ13" s="716">
        <v>8887</v>
      </c>
      <c r="AR13" s="716">
        <v>9330.2999999999993</v>
      </c>
      <c r="AS13" s="716">
        <v>9330.2999999999993</v>
      </c>
      <c r="AT13" s="716">
        <v>10663.2</v>
      </c>
      <c r="AU13" s="716">
        <v>10663.2</v>
      </c>
      <c r="AV13" s="716">
        <v>11996.1</v>
      </c>
      <c r="AW13" s="713"/>
      <c r="AX13" s="717">
        <v>6.1834860819108606E-2</v>
      </c>
    </row>
    <row r="14" spans="2:50" ht="23.5">
      <c r="K14" s="763"/>
      <c r="L14" s="761"/>
      <c r="M14" s="764"/>
      <c r="N14" s="764"/>
      <c r="O14" s="764"/>
      <c r="P14" s="764"/>
      <c r="Q14" s="764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380"/>
      <c r="AJ14" s="714" t="s">
        <v>117</v>
      </c>
      <c r="AK14" s="711"/>
      <c r="AL14" s="715" t="s">
        <v>111</v>
      </c>
      <c r="AM14" s="715"/>
      <c r="AN14" s="716">
        <v>1290</v>
      </c>
      <c r="AO14" s="716">
        <v>4982</v>
      </c>
      <c r="AP14" s="716">
        <v>3356</v>
      </c>
      <c r="AQ14" s="716">
        <v>6057</v>
      </c>
      <c r="AR14" s="716">
        <v>6490.0508341957084</v>
      </c>
      <c r="AS14" s="716">
        <v>10432.816998954197</v>
      </c>
      <c r="AT14" s="716">
        <v>11180.566820851032</v>
      </c>
      <c r="AU14" s="716">
        <v>15975.880013748372</v>
      </c>
      <c r="AV14" s="716">
        <v>17120.917009616605</v>
      </c>
      <c r="AW14" s="713"/>
      <c r="AX14" s="717">
        <v>0.23098819942332427</v>
      </c>
    </row>
    <row r="15" spans="2:50" ht="23.5">
      <c r="B15" s="564" t="s">
        <v>103</v>
      </c>
      <c r="C15" s="564"/>
      <c r="D15" s="564"/>
      <c r="E15" s="565">
        <v>1.502186269132971</v>
      </c>
      <c r="F15" s="565">
        <v>7.4384273546475734</v>
      </c>
      <c r="K15" s="760"/>
      <c r="L15" s="761"/>
      <c r="M15" s="762"/>
      <c r="N15" s="762"/>
      <c r="O15" s="762"/>
      <c r="P15" s="762"/>
      <c r="Q15" s="762"/>
      <c r="W15" s="389" t="s">
        <v>103</v>
      </c>
      <c r="X15" s="389" t="s">
        <v>102</v>
      </c>
      <c r="Y15" s="389">
        <v>1.48</v>
      </c>
      <c r="Z15" s="389">
        <v>105.52500000000001</v>
      </c>
      <c r="AA15" s="390">
        <v>7.1516142214957085E-2</v>
      </c>
      <c r="AB15" s="391">
        <v>0</v>
      </c>
      <c r="AC15" s="392">
        <v>0</v>
      </c>
      <c r="AD15" s="389">
        <v>1370.0160000000001</v>
      </c>
      <c r="AE15" s="393">
        <v>0.92848385778504283</v>
      </c>
      <c r="AF15" s="394">
        <v>0.13200000000000001</v>
      </c>
      <c r="AG15" s="394">
        <v>1.3872519493378439</v>
      </c>
      <c r="AJ15" s="714" t="s">
        <v>120</v>
      </c>
      <c r="AK15" s="711"/>
      <c r="AL15" s="715" t="s">
        <v>93</v>
      </c>
      <c r="AM15" s="715"/>
      <c r="AN15" s="716">
        <v>931</v>
      </c>
      <c r="AO15" s="716">
        <v>1409</v>
      </c>
      <c r="AP15" s="716">
        <v>2000</v>
      </c>
      <c r="AQ15" s="716">
        <v>3174</v>
      </c>
      <c r="AR15" s="716">
        <v>4782.0254637663811</v>
      </c>
      <c r="AS15" s="716">
        <v>7193.8729953747998</v>
      </c>
      <c r="AT15" s="716">
        <v>11025.764210441605</v>
      </c>
      <c r="AU15" s="716">
        <v>16699.040206113968</v>
      </c>
      <c r="AV15" s="716">
        <v>25335.586092996178</v>
      </c>
      <c r="AW15" s="713"/>
      <c r="AX15" s="717">
        <v>0.51504246770482909</v>
      </c>
    </row>
    <row r="16" spans="2:50" ht="23.5">
      <c r="K16" s="763"/>
      <c r="L16" s="765"/>
      <c r="M16" s="764"/>
      <c r="N16" s="764"/>
      <c r="O16" s="764"/>
      <c r="P16" s="764"/>
      <c r="Q16" s="764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J16" s="714"/>
      <c r="AK16" s="711"/>
      <c r="AL16" s="715"/>
      <c r="AM16" s="715"/>
      <c r="AN16" s="718"/>
      <c r="AO16" s="718"/>
      <c r="AP16" s="718"/>
      <c r="AQ16" s="718"/>
      <c r="AR16" s="718"/>
      <c r="AS16" s="718"/>
      <c r="AT16" s="718"/>
      <c r="AU16" s="718"/>
      <c r="AV16" s="719"/>
      <c r="AW16" s="713"/>
      <c r="AX16" s="717"/>
    </row>
    <row r="17" spans="2:50" ht="23.5">
      <c r="B17" s="581" t="s">
        <v>490</v>
      </c>
      <c r="C17" s="581"/>
      <c r="D17" s="581"/>
      <c r="E17" s="581"/>
      <c r="F17" s="581"/>
      <c r="G17" s="581"/>
      <c r="K17" s="760"/>
      <c r="L17" s="760"/>
      <c r="M17" s="760"/>
      <c r="N17" s="766"/>
      <c r="O17" s="762"/>
      <c r="P17" s="766"/>
      <c r="Q17" s="766"/>
      <c r="R17" s="657"/>
      <c r="S17" s="657"/>
      <c r="T17" s="657"/>
      <c r="U17" s="657"/>
      <c r="W17" s="374" t="s">
        <v>491</v>
      </c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J17" s="708" t="s">
        <v>459</v>
      </c>
      <c r="AK17" s="708"/>
      <c r="AL17" s="709"/>
      <c r="AM17" s="709"/>
      <c r="AN17" s="709"/>
      <c r="AO17" s="710"/>
      <c r="AP17" s="710"/>
      <c r="AQ17" s="710"/>
      <c r="AR17" s="710"/>
      <c r="AS17" s="710"/>
      <c r="AT17" s="710"/>
      <c r="AU17" s="710"/>
      <c r="AV17" s="710"/>
      <c r="AW17" s="713"/>
      <c r="AX17" s="710"/>
    </row>
    <row r="18" spans="2:50" ht="23.5">
      <c r="B18" s="581"/>
      <c r="C18" s="581"/>
      <c r="D18" s="581"/>
      <c r="E18" s="341" t="s">
        <v>487</v>
      </c>
      <c r="F18" s="341" t="s">
        <v>487</v>
      </c>
      <c r="G18" s="341" t="s">
        <v>488</v>
      </c>
      <c r="K18" s="763"/>
      <c r="L18" s="760"/>
      <c r="M18" s="760"/>
      <c r="N18" s="766"/>
      <c r="O18" s="764"/>
      <c r="P18" s="766"/>
      <c r="Q18" s="766"/>
      <c r="R18" s="585"/>
      <c r="S18" s="585"/>
      <c r="T18" s="585"/>
      <c r="U18" s="585"/>
      <c r="W18" s="374"/>
      <c r="X18" s="374"/>
      <c r="Y18" s="375" t="s">
        <v>351</v>
      </c>
      <c r="Z18" s="375"/>
      <c r="AA18" s="375"/>
      <c r="AB18" s="375" t="s">
        <v>329</v>
      </c>
      <c r="AC18" s="375"/>
      <c r="AD18" s="375" t="s">
        <v>316</v>
      </c>
      <c r="AE18" s="375"/>
      <c r="AF18" s="375"/>
      <c r="AG18" s="375" t="s">
        <v>350</v>
      </c>
      <c r="AJ18" s="720"/>
      <c r="AK18" s="720"/>
      <c r="AL18" s="721"/>
      <c r="AM18" s="721"/>
      <c r="AN18" s="721"/>
      <c r="AO18" s="722"/>
      <c r="AP18" s="722"/>
      <c r="AQ18" s="722"/>
      <c r="AR18" s="722"/>
      <c r="AS18" s="722"/>
      <c r="AT18" s="722"/>
      <c r="AU18" s="722"/>
      <c r="AV18" s="722"/>
      <c r="AW18" s="713"/>
      <c r="AX18" s="722"/>
    </row>
    <row r="19" spans="2:50" ht="23.5">
      <c r="B19" s="286" t="s">
        <v>320</v>
      </c>
      <c r="C19" s="286" t="s">
        <v>321</v>
      </c>
      <c r="D19" s="286" t="s">
        <v>486</v>
      </c>
      <c r="E19" s="341" t="s">
        <v>0</v>
      </c>
      <c r="F19" s="341" t="s">
        <v>110</v>
      </c>
      <c r="G19" s="341" t="s">
        <v>489</v>
      </c>
      <c r="R19" s="658"/>
      <c r="S19" s="585"/>
      <c r="T19" s="585"/>
      <c r="U19" s="585"/>
      <c r="W19" s="374"/>
      <c r="X19" s="374" t="s">
        <v>321</v>
      </c>
      <c r="Y19" s="375" t="s">
        <v>325</v>
      </c>
      <c r="Z19" s="375" t="s">
        <v>328</v>
      </c>
      <c r="AA19" s="375" t="s">
        <v>352</v>
      </c>
      <c r="AB19" s="375" t="s">
        <v>353</v>
      </c>
      <c r="AC19" s="375" t="s">
        <v>354</v>
      </c>
      <c r="AD19" s="375" t="s">
        <v>331</v>
      </c>
      <c r="AE19" s="375" t="s">
        <v>355</v>
      </c>
      <c r="AF19" s="375" t="s">
        <v>326</v>
      </c>
      <c r="AG19" s="375" t="s">
        <v>325</v>
      </c>
      <c r="AJ19" s="723" t="s">
        <v>255</v>
      </c>
      <c r="AK19" s="724"/>
      <c r="AL19" s="715" t="s">
        <v>111</v>
      </c>
      <c r="AM19" s="715"/>
      <c r="AN19" s="725">
        <v>259751</v>
      </c>
      <c r="AO19" s="725">
        <v>388832</v>
      </c>
      <c r="AP19" s="725">
        <v>557723</v>
      </c>
      <c r="AQ19" s="725">
        <v>782118</v>
      </c>
      <c r="AR19" s="725">
        <v>847883.34380753513</v>
      </c>
      <c r="AS19" s="725">
        <v>1010369.6027117075</v>
      </c>
      <c r="AT19" s="725">
        <v>1104073.3446137486</v>
      </c>
      <c r="AU19" s="725">
        <v>1312017.3428989584</v>
      </c>
      <c r="AV19" s="725">
        <v>1430996.4765343438</v>
      </c>
      <c r="AW19" s="713"/>
      <c r="AX19" s="717">
        <v>0.128426448264221</v>
      </c>
    </row>
    <row r="20" spans="2:50" ht="23.5">
      <c r="B20" s="281" t="s">
        <v>295</v>
      </c>
      <c r="C20" s="380" t="s">
        <v>294</v>
      </c>
      <c r="D20" s="577">
        <v>92.74</v>
      </c>
      <c r="E20" s="102">
        <v>3.4029310027598894</v>
      </c>
      <c r="F20" s="102">
        <v>11.742812698412697</v>
      </c>
      <c r="G20" s="102">
        <v>15.584144329896906</v>
      </c>
      <c r="R20" s="585"/>
      <c r="S20" s="659"/>
      <c r="T20" s="660"/>
      <c r="U20" s="585"/>
      <c r="W20" s="31" t="s">
        <v>357</v>
      </c>
      <c r="X20" s="31" t="s">
        <v>102</v>
      </c>
      <c r="Y20" s="395">
        <v>1.3872519493378439</v>
      </c>
      <c r="Z20" s="120">
        <v>5461</v>
      </c>
      <c r="AA20" s="396">
        <v>3.3001557194883353E-2</v>
      </c>
      <c r="AB20" s="120">
        <v>0</v>
      </c>
      <c r="AC20" s="397">
        <v>0</v>
      </c>
      <c r="AD20" s="120">
        <v>160016.03999999998</v>
      </c>
      <c r="AE20" s="398">
        <v>0.9669984428051166</v>
      </c>
      <c r="AF20" s="396">
        <v>0.13200000000000001</v>
      </c>
      <c r="AG20" s="395">
        <v>1.4283464518211566</v>
      </c>
      <c r="AJ20" s="726" t="s">
        <v>460</v>
      </c>
      <c r="AK20" s="727"/>
      <c r="AL20" s="715" t="s">
        <v>93</v>
      </c>
      <c r="AM20" s="715"/>
      <c r="AN20" s="728"/>
      <c r="AO20" s="728">
        <v>0.49694130147718396</v>
      </c>
      <c r="AP20" s="728">
        <v>0.43435468274216116</v>
      </c>
      <c r="AQ20" s="728">
        <v>0.40234130563021431</v>
      </c>
      <c r="AR20" s="728">
        <v>8.4086216923194623E-2</v>
      </c>
      <c r="AS20" s="728">
        <v>0.19163751722554867</v>
      </c>
      <c r="AT20" s="728">
        <v>9.2742043753644143E-2</v>
      </c>
      <c r="AU20" s="728">
        <v>0.18834255830889335</v>
      </c>
      <c r="AV20" s="728">
        <v>9.0684116547191218E-2</v>
      </c>
      <c r="AW20" s="713"/>
      <c r="AX20" s="713"/>
    </row>
    <row r="21" spans="2:50" ht="23.5">
      <c r="B21" s="281" t="s">
        <v>297</v>
      </c>
      <c r="C21" s="380" t="s">
        <v>296</v>
      </c>
      <c r="D21" s="281">
        <v>56.46</v>
      </c>
      <c r="E21" s="102">
        <v>1.4232913580246915</v>
      </c>
      <c r="F21" s="102">
        <v>9.7700508474576289</v>
      </c>
      <c r="G21" s="102">
        <v>15.359033898305087</v>
      </c>
      <c r="R21" s="585"/>
      <c r="S21" s="659"/>
      <c r="T21" s="660"/>
      <c r="U21" s="585"/>
      <c r="W21" s="31" t="s">
        <v>358</v>
      </c>
      <c r="X21" s="395"/>
      <c r="Y21" s="395">
        <v>1.4457411871790729</v>
      </c>
      <c r="Z21" s="120">
        <v>2638.2985507911844</v>
      </c>
      <c r="AA21" s="397">
        <v>1.5943592844005337E-2</v>
      </c>
      <c r="AB21" s="120">
        <v>0</v>
      </c>
      <c r="AC21" s="397">
        <v>0</v>
      </c>
      <c r="AD21" s="120">
        <v>162838.74144920878</v>
      </c>
      <c r="AE21" s="399">
        <v>0.98405640715599463</v>
      </c>
      <c r="AF21" s="396">
        <v>0.13200000000000001</v>
      </c>
      <c r="AG21" s="395">
        <v>1.4660730176849261</v>
      </c>
      <c r="AJ21" s="729"/>
      <c r="AK21" s="730"/>
      <c r="AL21" s="730"/>
      <c r="AM21" s="730"/>
      <c r="AN21" s="725"/>
      <c r="AO21" s="725"/>
      <c r="AP21" s="725"/>
      <c r="AQ21" s="725"/>
      <c r="AR21" s="725"/>
      <c r="AS21" s="725"/>
      <c r="AT21" s="725"/>
      <c r="AU21" s="725"/>
      <c r="AV21" s="725"/>
      <c r="AW21" s="713"/>
      <c r="AX21" s="713"/>
    </row>
    <row r="22" spans="2:50" ht="23.5">
      <c r="B22" s="281" t="s">
        <v>299</v>
      </c>
      <c r="C22" s="380" t="s">
        <v>298</v>
      </c>
      <c r="D22" s="281">
        <v>30.02</v>
      </c>
      <c r="E22" s="102">
        <v>2.4915558252427181</v>
      </c>
      <c r="F22" s="102">
        <v>13.418575163398692</v>
      </c>
      <c r="G22" s="102">
        <v>29.673615384615385</v>
      </c>
      <c r="R22" s="585"/>
      <c r="S22" s="659"/>
      <c r="T22" s="660"/>
      <c r="U22" s="585"/>
      <c r="W22" s="10"/>
      <c r="X22" s="400"/>
      <c r="Y22" s="10"/>
      <c r="Z22" s="10"/>
      <c r="AA22" s="10"/>
      <c r="AB22" s="10"/>
      <c r="AC22" s="10"/>
      <c r="AD22" s="10"/>
      <c r="AE22" s="10"/>
      <c r="AF22" s="10"/>
      <c r="AG22" s="10"/>
      <c r="AJ22" s="723" t="s">
        <v>461</v>
      </c>
      <c r="AK22" s="724"/>
      <c r="AL22" s="715" t="s">
        <v>111</v>
      </c>
      <c r="AM22" s="715"/>
      <c r="AN22" s="725">
        <v>114856</v>
      </c>
      <c r="AO22" s="725">
        <v>183615</v>
      </c>
      <c r="AP22" s="725">
        <v>276215</v>
      </c>
      <c r="AQ22" s="725">
        <v>391554</v>
      </c>
      <c r="AR22" s="725">
        <v>496011.75612740801</v>
      </c>
      <c r="AS22" s="725">
        <v>621377.30566770001</v>
      </c>
      <c r="AT22" s="725">
        <v>656923.64004518045</v>
      </c>
      <c r="AU22" s="725">
        <v>754409.97216690099</v>
      </c>
      <c r="AV22" s="725">
        <v>794203.04447656067</v>
      </c>
      <c r="AW22" s="713"/>
      <c r="AX22" s="717">
        <v>0.15193500685867933</v>
      </c>
    </row>
    <row r="23" spans="2:50" ht="23.5">
      <c r="B23" s="281" t="s">
        <v>301</v>
      </c>
      <c r="C23" s="380" t="s">
        <v>300</v>
      </c>
      <c r="D23" s="281">
        <v>19.559999999999999</v>
      </c>
      <c r="E23" s="102">
        <v>0.62110808179162602</v>
      </c>
      <c r="F23" s="102">
        <v>8.5050399999999993</v>
      </c>
      <c r="G23" s="102">
        <v>14.228322580645161</v>
      </c>
      <c r="J23" s="515" t="s">
        <v>532</v>
      </c>
      <c r="K23" s="751"/>
      <c r="L23" s="751"/>
      <c r="M23" s="751"/>
      <c r="R23" s="585"/>
      <c r="S23" s="659"/>
      <c r="T23" s="660"/>
      <c r="U23" s="585"/>
      <c r="W23" s="401" t="s">
        <v>359</v>
      </c>
      <c r="X23" s="401"/>
      <c r="Y23" s="401"/>
      <c r="Z23" s="401"/>
      <c r="AA23" s="401"/>
      <c r="AB23" s="401"/>
      <c r="AC23" s="401"/>
      <c r="AD23" s="401"/>
      <c r="AE23" s="401"/>
      <c r="AF23" s="401"/>
      <c r="AG23" s="402">
        <v>9.4992125813740474E-2</v>
      </c>
      <c r="AJ23" s="726" t="s">
        <v>462</v>
      </c>
      <c r="AK23" s="727"/>
      <c r="AL23" s="715" t="s">
        <v>93</v>
      </c>
      <c r="AM23" s="715"/>
      <c r="AN23" s="728"/>
      <c r="AO23" s="728">
        <v>0.47222193646613447</v>
      </c>
      <c r="AP23" s="728">
        <v>0.49525481287305706</v>
      </c>
      <c r="AQ23" s="728">
        <v>0.50063289682631007</v>
      </c>
      <c r="AR23" s="728">
        <v>0.58499999999999996</v>
      </c>
      <c r="AS23" s="728">
        <v>0.61499999999999988</v>
      </c>
      <c r="AT23" s="728">
        <v>0.59500000000000008</v>
      </c>
      <c r="AU23" s="728">
        <v>0.57499999999999996</v>
      </c>
      <c r="AV23" s="728">
        <v>0.55499999999999994</v>
      </c>
      <c r="AW23" s="713"/>
      <c r="AX23" s="713"/>
    </row>
    <row r="24" spans="2:50" ht="23.5">
      <c r="B24" s="281" t="s">
        <v>303</v>
      </c>
      <c r="C24" s="380" t="s">
        <v>302</v>
      </c>
      <c r="D24" s="281">
        <v>19.34</v>
      </c>
      <c r="E24" s="102">
        <v>1.4890911640953717</v>
      </c>
      <c r="F24" s="102">
        <v>10.208865384615384</v>
      </c>
      <c r="G24" s="102">
        <v>12.255673913043477</v>
      </c>
      <c r="J24" s="769"/>
      <c r="K24" s="770" t="s">
        <v>507</v>
      </c>
      <c r="L24" s="770" t="s">
        <v>531</v>
      </c>
      <c r="M24" s="770"/>
      <c r="R24" s="585"/>
      <c r="S24" s="659"/>
      <c r="T24" s="660"/>
      <c r="U24" s="585"/>
      <c r="W24" s="401" t="s">
        <v>360</v>
      </c>
      <c r="X24" s="401"/>
      <c r="Y24" s="401"/>
      <c r="Z24" s="401"/>
      <c r="AA24" s="401"/>
      <c r="AB24" s="401"/>
      <c r="AC24" s="401"/>
      <c r="AD24" s="401"/>
      <c r="AE24" s="401"/>
      <c r="AF24" s="401"/>
      <c r="AG24" s="402">
        <v>9.6312555618972423E-2</v>
      </c>
      <c r="AJ24" s="729"/>
      <c r="AK24" s="730"/>
      <c r="AL24" s="730"/>
      <c r="AM24" s="730"/>
      <c r="AN24" s="725"/>
      <c r="AO24" s="725"/>
      <c r="AP24" s="725"/>
      <c r="AQ24" s="725"/>
      <c r="AR24" s="725"/>
      <c r="AS24" s="725"/>
      <c r="AT24" s="725"/>
      <c r="AU24" s="725"/>
      <c r="AV24" s="725"/>
      <c r="AW24" s="713"/>
      <c r="AX24" s="713"/>
    </row>
    <row r="25" spans="2:50" ht="23.5">
      <c r="B25" s="281" t="s">
        <v>305</v>
      </c>
      <c r="C25" s="380" t="s">
        <v>304</v>
      </c>
      <c r="D25" s="281">
        <v>68.38</v>
      </c>
      <c r="E25" s="102">
        <v>0.3017970437748721</v>
      </c>
      <c r="F25" s="102">
        <v>0.99133706816059752</v>
      </c>
      <c r="G25" s="102">
        <v>1.9677521815008725</v>
      </c>
      <c r="J25" s="771" t="s">
        <v>124</v>
      </c>
      <c r="K25" s="752">
        <v>49.801441742238573</v>
      </c>
      <c r="L25" s="752">
        <v>60.971192949970337</v>
      </c>
      <c r="M25" s="10"/>
      <c r="R25" s="585"/>
      <c r="S25" s="659"/>
      <c r="T25" s="660"/>
      <c r="U25" s="585"/>
      <c r="W25" s="401" t="s">
        <v>361</v>
      </c>
      <c r="X25" s="401"/>
      <c r="Y25" s="401"/>
      <c r="Z25" s="401"/>
      <c r="AA25" s="401"/>
      <c r="AB25" s="401"/>
      <c r="AC25" s="401"/>
      <c r="AD25" s="401"/>
      <c r="AE25" s="401"/>
      <c r="AF25" s="401"/>
      <c r="AG25" s="402">
        <v>9.6799999999999997E-2</v>
      </c>
      <c r="AJ25" s="723" t="s">
        <v>463</v>
      </c>
      <c r="AK25" s="724"/>
      <c r="AL25" s="715" t="s">
        <v>111</v>
      </c>
      <c r="AM25" s="715"/>
      <c r="AN25" s="725">
        <v>47616</v>
      </c>
      <c r="AO25" s="725">
        <v>-8538</v>
      </c>
      <c r="AP25" s="725">
        <v>86235</v>
      </c>
      <c r="AQ25" s="725">
        <v>115969</v>
      </c>
      <c r="AR25" s="725">
        <v>194100.96378843798</v>
      </c>
      <c r="AS25" s="725">
        <v>255926.98733317945</v>
      </c>
      <c r="AT25" s="725">
        <v>267449.51516160124</v>
      </c>
      <c r="AU25" s="725">
        <v>302419.16535943322</v>
      </c>
      <c r="AV25" s="725">
        <v>311284.6903875079</v>
      </c>
      <c r="AW25" s="713"/>
      <c r="AX25" s="717">
        <v>0.21832503893572319</v>
      </c>
    </row>
    <row r="26" spans="2:50" ht="23.5">
      <c r="B26" s="10"/>
      <c r="C26" s="10"/>
      <c r="D26" s="10"/>
      <c r="E26" s="10"/>
      <c r="F26" s="10"/>
      <c r="G26" s="10"/>
      <c r="J26" s="772" t="s">
        <v>533</v>
      </c>
      <c r="K26" s="768">
        <v>1.0162527021149219</v>
      </c>
      <c r="L26" s="768">
        <v>1.4684693502012283</v>
      </c>
      <c r="M26" s="98"/>
      <c r="N26" s="585"/>
      <c r="O26" s="585"/>
      <c r="P26" s="585"/>
      <c r="Q26" s="585"/>
      <c r="R26" s="661"/>
      <c r="S26" s="660"/>
      <c r="T26" s="662"/>
      <c r="U26" s="585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J26" s="731" t="s">
        <v>464</v>
      </c>
      <c r="AK26" s="732"/>
      <c r="AL26" s="715" t="s">
        <v>465</v>
      </c>
      <c r="AM26" s="715"/>
      <c r="AN26" s="733">
        <v>0.82588222193815564</v>
      </c>
      <c r="AO26" s="733">
        <v>-0.14413537177911129</v>
      </c>
      <c r="AP26" s="733">
        <v>1.4333162635147836</v>
      </c>
      <c r="AQ26" s="733">
        <v>1.8499473501433215</v>
      </c>
      <c r="AR26" s="733">
        <v>3.0963150809327113</v>
      </c>
      <c r="AS26" s="733">
        <v>4.0825690662778733</v>
      </c>
      <c r="AT26" s="733">
        <v>4.2663774100864913</v>
      </c>
      <c r="AU26" s="733">
        <v>4.8242162439034439</v>
      </c>
      <c r="AV26" s="733">
        <v>4.9656398530862083</v>
      </c>
      <c r="AW26" s="713"/>
      <c r="AX26" s="717"/>
    </row>
    <row r="27" spans="2:50" ht="23.5">
      <c r="B27" s="573" t="s">
        <v>335</v>
      </c>
      <c r="C27" s="573"/>
      <c r="D27" s="573"/>
      <c r="E27" s="578">
        <v>1.4561912610600316</v>
      </c>
      <c r="F27" s="578">
        <v>9.9894581160365057</v>
      </c>
      <c r="G27" s="578">
        <v>14.793678239475124</v>
      </c>
      <c r="J27" s="771" t="s">
        <v>125</v>
      </c>
      <c r="K27" s="752">
        <v>35.343053290446989</v>
      </c>
      <c r="L27" s="752">
        <v>44.065972844634679</v>
      </c>
      <c r="M27" s="10"/>
      <c r="W27" s="401" t="s">
        <v>362</v>
      </c>
      <c r="X27" s="401"/>
      <c r="Y27" s="401"/>
      <c r="Z27" s="401"/>
      <c r="AA27" s="401"/>
      <c r="AB27" s="401"/>
      <c r="AC27" s="401"/>
      <c r="AD27" s="401"/>
      <c r="AE27" s="401"/>
      <c r="AF27" s="401"/>
      <c r="AG27" s="402">
        <v>9.2984049914802525E-2</v>
      </c>
      <c r="AJ27" s="729"/>
      <c r="AK27" s="730"/>
      <c r="AL27" s="730"/>
      <c r="AM27" s="730"/>
      <c r="AN27" s="725"/>
      <c r="AO27" s="725"/>
      <c r="AP27" s="725"/>
      <c r="AQ27" s="725"/>
      <c r="AR27" s="725"/>
      <c r="AS27" s="725"/>
      <c r="AT27" s="725"/>
      <c r="AU27" s="725"/>
      <c r="AV27" s="725"/>
      <c r="AW27" s="713"/>
      <c r="AX27" s="713"/>
    </row>
    <row r="28" spans="2:50" ht="23.5">
      <c r="B28" s="10"/>
      <c r="C28" s="10"/>
      <c r="D28" s="10"/>
      <c r="E28" s="10"/>
      <c r="F28" s="10"/>
      <c r="G28" s="10"/>
      <c r="J28" s="772" t="s">
        <v>533</v>
      </c>
      <c r="K28" s="768">
        <v>0.43089284576708464</v>
      </c>
      <c r="L28" s="768">
        <v>0.78404748358844856</v>
      </c>
      <c r="M28" s="98"/>
      <c r="W28" s="401" t="s">
        <v>363</v>
      </c>
      <c r="X28" s="401"/>
      <c r="Y28" s="401"/>
      <c r="Z28" s="401"/>
      <c r="AA28" s="401"/>
      <c r="AB28" s="401"/>
      <c r="AC28" s="401"/>
      <c r="AD28" s="401"/>
      <c r="AE28" s="401"/>
      <c r="AF28" s="401"/>
      <c r="AG28" s="402">
        <v>9.5321368864861547E-2</v>
      </c>
      <c r="AJ28" s="734" t="s">
        <v>466</v>
      </c>
      <c r="AK28" s="732"/>
      <c r="AL28" s="715" t="s">
        <v>111</v>
      </c>
      <c r="AM28" s="715"/>
      <c r="AN28" s="725">
        <v>9712</v>
      </c>
      <c r="AO28" s="725">
        <v>92520</v>
      </c>
      <c r="AP28" s="725">
        <v>64338</v>
      </c>
      <c r="AQ28" s="725">
        <v>85948</v>
      </c>
      <c r="AR28" s="725">
        <v>61568.226643466718</v>
      </c>
      <c r="AS28" s="725">
        <v>56631.635085289054</v>
      </c>
      <c r="AT28" s="725">
        <v>47658.796583824667</v>
      </c>
      <c r="AU28" s="725">
        <v>48360.619899161138</v>
      </c>
      <c r="AV28" s="725">
        <v>54259.883615012601</v>
      </c>
      <c r="AW28" s="713"/>
      <c r="AX28" s="717">
        <v>-8.7887061032179803E-2</v>
      </c>
    </row>
    <row r="29" spans="2:50" ht="23.5">
      <c r="B29" s="46" t="s">
        <v>103</v>
      </c>
      <c r="C29" s="46" t="s">
        <v>102</v>
      </c>
      <c r="D29" s="580">
        <v>21.44</v>
      </c>
      <c r="E29" s="579">
        <v>1.0514382102249598</v>
      </c>
      <c r="F29" s="579">
        <v>3.4273951315143054</v>
      </c>
      <c r="G29" s="579">
        <v>5.1877203559854772</v>
      </c>
      <c r="J29" s="771" t="s">
        <v>126</v>
      </c>
      <c r="K29" s="752">
        <v>25.678382775473708</v>
      </c>
      <c r="L29" s="752">
        <v>32.625285988009651</v>
      </c>
      <c r="M29" s="10"/>
      <c r="W29" s="401" t="s">
        <v>364</v>
      </c>
      <c r="X29" s="401"/>
      <c r="Y29" s="401"/>
      <c r="Z29" s="401"/>
      <c r="AA29" s="401"/>
      <c r="AB29" s="401"/>
      <c r="AC29" s="401"/>
      <c r="AD29" s="401"/>
      <c r="AE29" s="401"/>
      <c r="AF29" s="401"/>
      <c r="AG29" s="402">
        <v>9.4732261437703053E-2</v>
      </c>
      <c r="AJ29" s="727" t="s">
        <v>467</v>
      </c>
      <c r="AK29" s="732"/>
      <c r="AL29" s="715" t="s">
        <v>93</v>
      </c>
      <c r="AM29" s="715"/>
      <c r="AN29" s="735"/>
      <c r="AO29" s="735"/>
      <c r="AP29" s="735"/>
      <c r="AQ29" s="735"/>
      <c r="AR29" s="735"/>
      <c r="AS29" s="735"/>
      <c r="AT29" s="735"/>
      <c r="AU29" s="735"/>
      <c r="AV29" s="735"/>
      <c r="AW29" s="713"/>
      <c r="AX29" s="717"/>
    </row>
    <row r="30" spans="2:50" ht="23.5">
      <c r="J30" s="772" t="s">
        <v>533</v>
      </c>
      <c r="K30" s="768">
        <v>3.9610638683146071E-2</v>
      </c>
      <c r="L30" s="768">
        <v>0.32086178089107897</v>
      </c>
      <c r="M30" s="98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J30" s="727"/>
      <c r="AK30" s="732"/>
      <c r="AL30" s="715"/>
      <c r="AM30" s="715"/>
      <c r="AN30" s="735"/>
      <c r="AO30" s="735"/>
      <c r="AP30" s="735"/>
      <c r="AQ30" s="735"/>
      <c r="AR30" s="735"/>
      <c r="AS30" s="735"/>
      <c r="AT30" s="735"/>
      <c r="AU30" s="735"/>
      <c r="AV30" s="735"/>
      <c r="AW30" s="713"/>
      <c r="AX30" s="717"/>
    </row>
    <row r="31" spans="2:50" ht="23.5">
      <c r="J31" s="771" t="s">
        <v>335</v>
      </c>
      <c r="L31" s="767">
        <f>MEDIAN(K25:L25,K27:L27,K29:L29)</f>
        <v>39.70451306754083</v>
      </c>
      <c r="W31" s="401" t="s">
        <v>365</v>
      </c>
      <c r="X31" s="401"/>
      <c r="Y31" s="401"/>
      <c r="Z31" s="401"/>
      <c r="AA31" s="401"/>
      <c r="AB31" s="401"/>
      <c r="AC31" s="401"/>
      <c r="AD31" s="401"/>
      <c r="AE31" s="401"/>
      <c r="AF31" s="401"/>
      <c r="AG31" s="403">
        <v>9.4345893405789027E-2</v>
      </c>
      <c r="AJ31" s="736" t="s">
        <v>468</v>
      </c>
      <c r="AK31" s="732"/>
      <c r="AL31" s="715" t="s">
        <v>111</v>
      </c>
      <c r="AM31" s="715"/>
      <c r="AN31" s="735">
        <v>-40093</v>
      </c>
      <c r="AO31" s="735">
        <v>-62194</v>
      </c>
      <c r="AP31" s="735">
        <v>-75323</v>
      </c>
      <c r="AQ31" s="735">
        <v>152450</v>
      </c>
      <c r="AR31" s="735">
        <v>271080.52686260035</v>
      </c>
      <c r="AS31" s="735">
        <v>325243.93362491397</v>
      </c>
      <c r="AT31" s="735">
        <v>342898.97788864264</v>
      </c>
      <c r="AU31" s="735">
        <v>343906.21012295026</v>
      </c>
      <c r="AV31" s="735">
        <v>411273.66515407659</v>
      </c>
      <c r="AW31" s="713"/>
      <c r="AX31" s="717">
        <v>0.21955304405439624</v>
      </c>
    </row>
    <row r="32" spans="2:50" ht="23.5">
      <c r="AJ32" s="736" t="s">
        <v>469</v>
      </c>
      <c r="AK32" s="732"/>
      <c r="AL32" s="715" t="s">
        <v>111</v>
      </c>
      <c r="AM32" s="715"/>
      <c r="AN32" s="735">
        <v>-11280</v>
      </c>
      <c r="AO32" s="735">
        <v>-265670</v>
      </c>
      <c r="AP32" s="735">
        <v>1497</v>
      </c>
      <c r="AQ32" s="735">
        <v>-11959</v>
      </c>
      <c r="AR32" s="735">
        <v>-66584.227271918819</v>
      </c>
      <c r="AS32" s="735">
        <v>-86194.376270496316</v>
      </c>
      <c r="AT32" s="735">
        <v>-62850.354070778529</v>
      </c>
      <c r="AU32" s="735">
        <v>-82083.971078538103</v>
      </c>
      <c r="AV32" s="735">
        <v>-71363.121614026924</v>
      </c>
      <c r="AW32" s="713"/>
      <c r="AX32" s="717">
        <v>0.42940663812065272</v>
      </c>
    </row>
    <row r="33" spans="5:50" ht="23.5">
      <c r="AJ33" s="736" t="s">
        <v>470</v>
      </c>
      <c r="AK33" s="732"/>
      <c r="AL33" s="715" t="s">
        <v>111</v>
      </c>
      <c r="AM33" s="715"/>
      <c r="AN33" s="735">
        <v>538766</v>
      </c>
      <c r="AO33" s="735">
        <v>45871</v>
      </c>
      <c r="AP33" s="735">
        <v>18530</v>
      </c>
      <c r="AQ33" s="735">
        <v>92481</v>
      </c>
      <c r="AR33" s="735">
        <v>2461.8569188877518</v>
      </c>
      <c r="AS33" s="735">
        <v>-20943.768164728932</v>
      </c>
      <c r="AT33" s="735">
        <v>-39936.454916699375</v>
      </c>
      <c r="AU33" s="735">
        <v>948.54209397282466</v>
      </c>
      <c r="AV33" s="735">
        <v>-1041.9884238894792</v>
      </c>
      <c r="AW33" s="713"/>
      <c r="AX33" s="717">
        <v>-1.4077200561963481</v>
      </c>
    </row>
    <row r="34" spans="5:50" ht="23.5">
      <c r="AJ34" s="727"/>
      <c r="AK34" s="732"/>
      <c r="AL34" s="715"/>
      <c r="AM34" s="715"/>
      <c r="AN34" s="735"/>
      <c r="AO34" s="735"/>
      <c r="AP34" s="735"/>
      <c r="AQ34" s="735"/>
      <c r="AR34" s="735"/>
      <c r="AS34" s="735"/>
      <c r="AT34" s="735"/>
      <c r="AU34" s="735"/>
      <c r="AV34" s="735"/>
      <c r="AW34" s="713"/>
      <c r="AX34" s="717"/>
    </row>
    <row r="35" spans="5:50" ht="23.5">
      <c r="AJ35" s="737" t="s">
        <v>471</v>
      </c>
      <c r="AK35" s="732"/>
      <c r="AL35" s="715" t="s">
        <v>111</v>
      </c>
      <c r="AM35" s="715"/>
      <c r="AN35" s="738">
        <v>1052179</v>
      </c>
      <c r="AO35" s="738">
        <v>1235500</v>
      </c>
      <c r="AP35" s="738">
        <v>1490908</v>
      </c>
      <c r="AQ35" s="738">
        <v>1855721</v>
      </c>
      <c r="AR35" s="738">
        <v>2150561.433556085</v>
      </c>
      <c r="AS35" s="738">
        <v>2584347.6565030641</v>
      </c>
      <c r="AT35" s="738">
        <v>2919632.0127050159</v>
      </c>
      <c r="AU35" s="738">
        <v>3414597.2265022611</v>
      </c>
      <c r="AV35" s="738">
        <v>3855421.0702285878</v>
      </c>
      <c r="AW35" s="713"/>
      <c r="AX35" s="717">
        <v>0.15747555233212962</v>
      </c>
    </row>
    <row r="36" spans="5:50" ht="23.5">
      <c r="AJ36" s="737" t="s">
        <v>472</v>
      </c>
      <c r="AK36" s="730"/>
      <c r="AL36" s="715" t="s">
        <v>111</v>
      </c>
      <c r="AM36" s="715"/>
      <c r="AN36" s="738">
        <v>22957</v>
      </c>
      <c r="AO36" s="738">
        <v>18687</v>
      </c>
      <c r="AP36" s="738">
        <v>53952</v>
      </c>
      <c r="AQ36" s="738">
        <v>105525</v>
      </c>
      <c r="AR36" s="738">
        <v>102551.11332173337</v>
      </c>
      <c r="AS36" s="738">
        <v>69739.349110113442</v>
      </c>
      <c r="AT36" s="738">
        <v>72502.016922878203</v>
      </c>
      <c r="AU36" s="738">
        <v>71783.243462685743</v>
      </c>
      <c r="AV36" s="738">
        <v>71823.892564415612</v>
      </c>
      <c r="AW36" s="713"/>
      <c r="AX36" s="717">
        <v>-7.4060277631809002E-2</v>
      </c>
    </row>
    <row r="37" spans="5:50" ht="23.5">
      <c r="AJ37" s="737" t="s">
        <v>473</v>
      </c>
      <c r="AK37" s="732"/>
      <c r="AL37" s="715" t="s">
        <v>111</v>
      </c>
      <c r="AM37" s="715"/>
      <c r="AN37" s="738">
        <v>563067</v>
      </c>
      <c r="AO37" s="738">
        <v>248451</v>
      </c>
      <c r="AP37" s="738">
        <v>183173</v>
      </c>
      <c r="AQ37" s="738">
        <v>411310</v>
      </c>
      <c r="AR37" s="738">
        <v>609445.65650956926</v>
      </c>
      <c r="AS37" s="738">
        <v>815546.32069925801</v>
      </c>
      <c r="AT37" s="738">
        <v>1048807.8333504228</v>
      </c>
      <c r="AU37" s="738">
        <v>1303450.2941763077</v>
      </c>
      <c r="AV37" s="738">
        <v>1633367.1989018428</v>
      </c>
      <c r="AW37" s="713"/>
      <c r="AX37" s="717">
        <v>0.31759795554398762</v>
      </c>
    </row>
    <row r="38" spans="5:50" ht="23.5">
      <c r="E38" s="610" t="s">
        <v>128</v>
      </c>
      <c r="F38" s="610"/>
      <c r="G38" s="610"/>
      <c r="H38" s="610"/>
      <c r="I38" s="585"/>
      <c r="J38" s="610" t="s">
        <v>129</v>
      </c>
      <c r="K38" s="610"/>
      <c r="L38" s="610"/>
      <c r="M38" s="610"/>
      <c r="N38" s="610"/>
      <c r="AJ38" s="729"/>
      <c r="AK38" s="727"/>
      <c r="AL38" s="715"/>
      <c r="AM38" s="715"/>
      <c r="AN38" s="735"/>
      <c r="AO38" s="735"/>
      <c r="AP38" s="735"/>
      <c r="AQ38" s="735"/>
      <c r="AR38" s="735"/>
      <c r="AS38" s="735"/>
      <c r="AT38" s="735"/>
      <c r="AU38" s="735"/>
      <c r="AV38" s="735"/>
      <c r="AW38" s="713"/>
      <c r="AX38" s="713"/>
    </row>
    <row r="39" spans="5:50" ht="23.5">
      <c r="E39" s="603"/>
      <c r="F39" s="603"/>
      <c r="G39" s="603"/>
      <c r="H39" s="603"/>
      <c r="I39" s="585"/>
      <c r="J39" s="603"/>
      <c r="K39" s="603"/>
      <c r="L39" s="603"/>
      <c r="M39" s="603"/>
      <c r="N39" s="603"/>
      <c r="AJ39" s="739" t="s">
        <v>256</v>
      </c>
      <c r="AK39" s="730"/>
      <c r="AL39" s="715" t="s">
        <v>111</v>
      </c>
      <c r="AM39" s="715"/>
      <c r="AN39" s="738">
        <v>45408</v>
      </c>
      <c r="AO39" s="738">
        <v>72728</v>
      </c>
      <c r="AP39" s="738">
        <v>124308</v>
      </c>
      <c r="AQ39" s="738">
        <v>176267</v>
      </c>
      <c r="AR39" s="738">
        <v>266192.0277281754</v>
      </c>
      <c r="AS39" s="738">
        <v>350847.55960158771</v>
      </c>
      <c r="AT39" s="738">
        <v>368576.01501288841</v>
      </c>
      <c r="AU39" s="738">
        <v>416702.44428947708</v>
      </c>
      <c r="AV39" s="738">
        <v>430886.7973991746</v>
      </c>
      <c r="AW39" s="713"/>
      <c r="AX39" s="717">
        <v>0.1957446181149527</v>
      </c>
    </row>
    <row r="40" spans="5:50" ht="23.5">
      <c r="E40" s="603" t="s">
        <v>130</v>
      </c>
      <c r="F40" s="603"/>
      <c r="G40" s="603"/>
      <c r="H40" s="611">
        <v>9.9894581160365057</v>
      </c>
      <c r="I40" s="585"/>
      <c r="J40" s="603" t="s">
        <v>131</v>
      </c>
      <c r="K40" s="603"/>
      <c r="L40" s="603"/>
      <c r="M40" s="603"/>
      <c r="N40" s="612">
        <v>1.4999999999999999E-2</v>
      </c>
      <c r="AJ40" s="740" t="s">
        <v>474</v>
      </c>
      <c r="AK40" s="732"/>
      <c r="AL40" s="715" t="s">
        <v>93</v>
      </c>
      <c r="AM40" s="715"/>
      <c r="AN40" s="741">
        <v>0.17481357145882018</v>
      </c>
      <c r="AO40" s="741">
        <v>0.18704221874742818</v>
      </c>
      <c r="AP40" s="741">
        <v>0.22288483709655152</v>
      </c>
      <c r="AQ40" s="741">
        <v>0.22537136340040761</v>
      </c>
      <c r="AR40" s="741">
        <v>0.31394888185066122</v>
      </c>
      <c r="AS40" s="741">
        <v>0.34724674877387057</v>
      </c>
      <c r="AT40" s="741">
        <v>0.33383290776015595</v>
      </c>
      <c r="AU40" s="741">
        <v>0.31760437203425623</v>
      </c>
      <c r="AV40" s="741">
        <v>0.30110961449934315</v>
      </c>
      <c r="AW40" s="713"/>
      <c r="AX40" s="717"/>
    </row>
    <row r="41" spans="5:50" ht="21">
      <c r="E41" s="603" t="s">
        <v>132</v>
      </c>
      <c r="F41" s="603"/>
      <c r="G41" s="603"/>
      <c r="H41" s="611">
        <v>3.4350360064312846</v>
      </c>
      <c r="I41" s="585"/>
      <c r="J41" s="603"/>
      <c r="K41" s="603"/>
      <c r="L41" s="603"/>
      <c r="M41" s="603"/>
      <c r="N41" s="603"/>
    </row>
    <row r="42" spans="5:50" ht="21">
      <c r="E42" s="603"/>
      <c r="F42" s="603"/>
      <c r="G42" s="603"/>
      <c r="H42" s="613"/>
      <c r="I42" s="585"/>
      <c r="J42" s="603"/>
      <c r="K42" s="603"/>
      <c r="L42" s="603"/>
      <c r="M42" s="603"/>
      <c r="N42" s="603"/>
    </row>
    <row r="43" spans="5:50" ht="21">
      <c r="E43" s="603" t="s">
        <v>133</v>
      </c>
      <c r="F43" s="603"/>
      <c r="G43" s="614"/>
      <c r="H43" s="615">
        <v>9</v>
      </c>
      <c r="I43" s="585"/>
      <c r="J43" s="603" t="s">
        <v>134</v>
      </c>
      <c r="K43" s="603"/>
      <c r="L43" s="603"/>
      <c r="M43" s="603"/>
      <c r="N43" s="616">
        <v>0.02</v>
      </c>
    </row>
    <row r="44" spans="5:50" ht="21">
      <c r="E44" s="585" t="s">
        <v>124</v>
      </c>
      <c r="F44" s="603"/>
      <c r="G44" s="614"/>
      <c r="H44" s="617">
        <v>11</v>
      </c>
      <c r="I44" s="585"/>
      <c r="J44" s="585" t="s">
        <v>124</v>
      </c>
      <c r="K44" s="585"/>
      <c r="L44" s="603"/>
      <c r="M44" s="603"/>
      <c r="N44" s="612">
        <v>0.04</v>
      </c>
      <c r="AJ44" s="588"/>
      <c r="AK44" s="588"/>
      <c r="AL44" s="588"/>
      <c r="AM44" s="588"/>
      <c r="AN44" s="588"/>
      <c r="AO44" s="588"/>
      <c r="AP44" s="589"/>
      <c r="AQ44" s="589"/>
      <c r="AR44" s="590" t="s">
        <v>78</v>
      </c>
      <c r="AS44" s="589"/>
      <c r="AT44" s="591"/>
      <c r="AU44" s="589"/>
      <c r="AV44" s="590" t="s">
        <v>79</v>
      </c>
      <c r="AW44" s="589"/>
      <c r="AX44" s="589"/>
    </row>
    <row r="45" spans="5:50" ht="21">
      <c r="E45" s="585" t="s">
        <v>125</v>
      </c>
      <c r="F45" s="603"/>
      <c r="G45" s="614"/>
      <c r="H45" s="617">
        <v>10</v>
      </c>
      <c r="I45" s="585"/>
      <c r="J45" s="585" t="s">
        <v>125</v>
      </c>
      <c r="K45" s="585"/>
      <c r="L45" s="603"/>
      <c r="M45" s="603"/>
      <c r="N45" s="612">
        <v>0.03</v>
      </c>
      <c r="AJ45" s="584" t="s">
        <v>493</v>
      </c>
      <c r="AK45" s="588"/>
      <c r="AL45" s="588"/>
      <c r="AM45" s="592" t="s">
        <v>80</v>
      </c>
      <c r="AN45" s="593"/>
      <c r="AO45" s="593"/>
      <c r="AP45" s="594">
        <v>44561</v>
      </c>
      <c r="AQ45" s="594">
        <v>44926</v>
      </c>
      <c r="AR45" s="594">
        <v>45291</v>
      </c>
      <c r="AS45" s="594">
        <v>45657</v>
      </c>
      <c r="AT45" s="595">
        <v>46022</v>
      </c>
      <c r="AU45" s="594">
        <v>46387</v>
      </c>
      <c r="AV45" s="596">
        <v>46752</v>
      </c>
      <c r="AW45" s="594">
        <v>47118</v>
      </c>
      <c r="AX45" s="594">
        <v>47483</v>
      </c>
    </row>
    <row r="46" spans="5:50" ht="21">
      <c r="E46" s="585" t="s">
        <v>126</v>
      </c>
      <c r="F46" s="603"/>
      <c r="G46" s="614"/>
      <c r="H46" s="617">
        <v>9</v>
      </c>
      <c r="I46" s="585"/>
      <c r="J46" s="585" t="s">
        <v>126</v>
      </c>
      <c r="K46" s="585"/>
      <c r="L46" s="603"/>
      <c r="M46" s="603"/>
      <c r="N46" s="612">
        <v>0.02</v>
      </c>
      <c r="AJ46" s="585"/>
      <c r="AK46" s="585"/>
      <c r="AL46" s="585"/>
      <c r="AM46" s="585"/>
      <c r="AN46" s="585"/>
      <c r="AO46" s="585"/>
      <c r="AP46" s="585"/>
      <c r="AQ46" s="585"/>
      <c r="AR46" s="585"/>
      <c r="AS46" s="585"/>
      <c r="AT46" s="585"/>
      <c r="AU46" s="585"/>
      <c r="AV46" s="585"/>
      <c r="AW46" s="585"/>
      <c r="AX46" s="585"/>
    </row>
    <row r="47" spans="5:50" ht="21">
      <c r="E47" s="603"/>
      <c r="F47" s="603"/>
      <c r="G47" s="614"/>
      <c r="H47" s="618"/>
      <c r="I47" s="585"/>
      <c r="J47" s="603"/>
      <c r="K47" s="603"/>
      <c r="L47" s="603"/>
      <c r="M47" s="603"/>
      <c r="N47" s="619"/>
      <c r="AJ47" s="585"/>
      <c r="AK47" s="586" t="s">
        <v>0</v>
      </c>
      <c r="AL47" s="585"/>
      <c r="AM47" s="597" t="s">
        <v>111</v>
      </c>
      <c r="AN47" s="585"/>
      <c r="AO47" s="585"/>
      <c r="AP47" s="598">
        <v>259751</v>
      </c>
      <c r="AQ47" s="598">
        <v>388832</v>
      </c>
      <c r="AR47" s="598">
        <v>557723</v>
      </c>
      <c r="AS47" s="598">
        <v>782118</v>
      </c>
      <c r="AT47" s="598">
        <v>847883.34380753513</v>
      </c>
      <c r="AU47" s="598">
        <v>1010369.6027117075</v>
      </c>
      <c r="AV47" s="598">
        <v>1104073.3446137486</v>
      </c>
      <c r="AW47" s="598">
        <v>1312017.3428989584</v>
      </c>
      <c r="AX47" s="598">
        <v>1430996.4765343438</v>
      </c>
    </row>
    <row r="48" spans="5:50" ht="21">
      <c r="E48" s="603"/>
      <c r="F48" s="603"/>
      <c r="G48" s="614"/>
      <c r="H48" s="618"/>
      <c r="I48" s="585"/>
      <c r="J48" s="603"/>
      <c r="K48" s="603"/>
      <c r="L48" s="603"/>
      <c r="M48" s="603"/>
      <c r="N48" s="619"/>
      <c r="AJ48" s="585"/>
      <c r="AK48" s="587" t="s">
        <v>161</v>
      </c>
      <c r="AL48" s="585"/>
      <c r="AM48" s="599"/>
      <c r="AN48" s="585"/>
      <c r="AO48" s="585"/>
      <c r="AP48" s="585"/>
      <c r="AQ48" s="600">
        <v>0.49694130147718396</v>
      </c>
      <c r="AR48" s="600">
        <v>0.43435468274216116</v>
      </c>
      <c r="AS48" s="600">
        <v>0.40234130563021431</v>
      </c>
      <c r="AT48" s="600">
        <v>8.4086216923194623E-2</v>
      </c>
      <c r="AU48" s="600">
        <v>0.19163751722554867</v>
      </c>
      <c r="AV48" s="600">
        <v>9.2742043753644143E-2</v>
      </c>
      <c r="AW48" s="600">
        <v>0.18834255830889335</v>
      </c>
      <c r="AX48" s="600">
        <v>9.0684116547191218E-2</v>
      </c>
    </row>
    <row r="49" spans="5:50" ht="21">
      <c r="E49" s="603" t="s">
        <v>135</v>
      </c>
      <c r="F49" s="603"/>
      <c r="G49" s="603"/>
      <c r="H49" s="620">
        <v>3877.9811765925715</v>
      </c>
      <c r="I49" s="585"/>
      <c r="J49" s="603" t="s">
        <v>135</v>
      </c>
      <c r="K49" s="603"/>
      <c r="L49" s="603"/>
      <c r="M49" s="603"/>
      <c r="N49" s="621">
        <v>9583.2211309036084</v>
      </c>
      <c r="AJ49" s="585"/>
      <c r="AK49" s="585"/>
      <c r="AL49" s="585"/>
      <c r="AM49" s="599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</row>
    <row r="50" spans="5:50" ht="21">
      <c r="E50" s="603" t="s">
        <v>137</v>
      </c>
      <c r="F50" s="603"/>
      <c r="G50" s="603"/>
      <c r="H50" s="622">
        <v>8.5011213509272265E-2</v>
      </c>
      <c r="I50" s="585"/>
      <c r="J50" s="603" t="s">
        <v>138</v>
      </c>
      <c r="K50" s="603"/>
      <c r="L50" s="603"/>
      <c r="M50" s="603"/>
      <c r="N50" s="623">
        <v>22.240693353214276</v>
      </c>
      <c r="AJ50" s="585"/>
      <c r="AK50" s="601" t="s">
        <v>162</v>
      </c>
      <c r="AL50" s="585"/>
      <c r="AM50" s="599" t="s">
        <v>111</v>
      </c>
      <c r="AN50" s="585"/>
      <c r="AO50" s="585"/>
      <c r="AP50" s="602">
        <v>-221049</v>
      </c>
      <c r="AQ50" s="602">
        <v>-329797</v>
      </c>
      <c r="AR50" s="602">
        <v>-461884</v>
      </c>
      <c r="AS50" s="602">
        <v>-631120</v>
      </c>
      <c r="AT50" s="602">
        <v>-615682.26643466717</v>
      </c>
      <c r="AU50" s="602">
        <v>-707895.43856611312</v>
      </c>
      <c r="AV50" s="602">
        <v>-794313.27639707783</v>
      </c>
      <c r="AW50" s="602">
        <v>-967212.39798322273</v>
      </c>
      <c r="AX50" s="602">
        <v>-1085197.6723002519</v>
      </c>
    </row>
    <row r="51" spans="5:50" ht="21">
      <c r="E51" s="603"/>
      <c r="F51" s="603"/>
      <c r="G51" s="603"/>
      <c r="H51" s="603"/>
      <c r="I51" s="585"/>
      <c r="J51" s="603"/>
      <c r="K51" s="603"/>
      <c r="L51" s="603"/>
      <c r="M51" s="603"/>
      <c r="N51" s="603"/>
      <c r="AJ51" s="585"/>
      <c r="AK51" s="585"/>
      <c r="AL51" s="585"/>
      <c r="AM51" s="599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</row>
    <row r="52" spans="5:50" ht="21">
      <c r="E52" s="624" t="s">
        <v>141</v>
      </c>
      <c r="F52" s="603"/>
      <c r="G52" s="614"/>
      <c r="H52" s="625">
        <v>2470.7717892541195</v>
      </c>
      <c r="I52" s="585"/>
      <c r="J52" s="624" t="s">
        <v>141</v>
      </c>
      <c r="K52" s="624"/>
      <c r="L52" s="603"/>
      <c r="M52" s="614"/>
      <c r="N52" s="626">
        <v>5579.352930945256</v>
      </c>
      <c r="AJ52" s="585"/>
      <c r="AK52" s="586" t="s">
        <v>163</v>
      </c>
      <c r="AL52" s="585"/>
      <c r="AM52" s="597" t="s">
        <v>111</v>
      </c>
      <c r="AN52" s="585"/>
      <c r="AO52" s="585"/>
      <c r="AP52" s="598">
        <v>43055</v>
      </c>
      <c r="AQ52" s="598">
        <v>67362</v>
      </c>
      <c r="AR52" s="598">
        <v>116216</v>
      </c>
      <c r="AS52" s="598">
        <v>166300</v>
      </c>
      <c r="AT52" s="598">
        <v>253567.96139600207</v>
      </c>
      <c r="AU52" s="598">
        <v>334294.54817068932</v>
      </c>
      <c r="AV52" s="598">
        <v>349111.46940896532</v>
      </c>
      <c r="AW52" s="598">
        <v>394592.8150475641</v>
      </c>
      <c r="AX52" s="598">
        <v>405867.289485418</v>
      </c>
    </row>
    <row r="53" spans="5:50" ht="21">
      <c r="E53" s="627" t="s">
        <v>143</v>
      </c>
      <c r="F53" s="628"/>
      <c r="G53" s="628"/>
      <c r="H53" s="629">
        <v>1990.7195096664536</v>
      </c>
      <c r="I53" s="585"/>
      <c r="J53" s="627" t="s">
        <v>143</v>
      </c>
      <c r="K53" s="627"/>
      <c r="L53" s="628"/>
      <c r="M53" s="628"/>
      <c r="N53" s="629">
        <v>1990.7195096664536</v>
      </c>
      <c r="AJ53" s="585"/>
      <c r="AK53" s="585"/>
      <c r="AL53" s="585"/>
      <c r="AM53" s="599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</row>
    <row r="54" spans="5:50" ht="21">
      <c r="E54" s="630" t="s">
        <v>145</v>
      </c>
      <c r="F54" s="631"/>
      <c r="G54" s="631"/>
      <c r="H54" s="632">
        <v>4461.4912989205732</v>
      </c>
      <c r="I54" s="585"/>
      <c r="J54" s="630" t="s">
        <v>145</v>
      </c>
      <c r="K54" s="630"/>
      <c r="L54" s="631"/>
      <c r="M54" s="631"/>
      <c r="N54" s="632">
        <v>7570.0724406117097</v>
      </c>
      <c r="AJ54" s="585"/>
      <c r="AK54" s="603" t="s">
        <v>164</v>
      </c>
      <c r="AL54" s="585"/>
      <c r="AM54" s="599" t="s">
        <v>111</v>
      </c>
      <c r="AN54" s="585"/>
      <c r="AO54" s="585"/>
      <c r="AP54" s="604">
        <v>-134</v>
      </c>
      <c r="AQ54" s="604">
        <v>-16798</v>
      </c>
      <c r="AR54" s="604">
        <v>-19364</v>
      </c>
      <c r="AS54" s="604">
        <v>-35031</v>
      </c>
      <c r="AT54" s="604">
        <v>-52965.21528709522</v>
      </c>
      <c r="AU54" s="604">
        <v>-69827.36547505307</v>
      </c>
      <c r="AV54" s="604">
        <v>-72922.32044868877</v>
      </c>
      <c r="AW54" s="604">
        <v>-82422.45307598509</v>
      </c>
      <c r="AX54" s="604">
        <v>-84777.462607008594</v>
      </c>
    </row>
    <row r="55" spans="5:50" ht="21">
      <c r="E55" s="624"/>
      <c r="F55" s="603"/>
      <c r="G55" s="603"/>
      <c r="H55" s="633"/>
      <c r="I55" s="585"/>
      <c r="J55" s="624"/>
      <c r="K55" s="624"/>
      <c r="L55" s="603"/>
      <c r="M55" s="603"/>
      <c r="N55" s="633"/>
      <c r="AJ55" s="585"/>
      <c r="AK55" s="585"/>
      <c r="AL55" s="585"/>
      <c r="AM55" s="599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</row>
    <row r="56" spans="5:50" ht="21">
      <c r="E56" s="634" t="s">
        <v>148</v>
      </c>
      <c r="F56" s="603"/>
      <c r="G56" s="603"/>
      <c r="H56" s="635">
        <v>0.8057075600120136</v>
      </c>
      <c r="I56" s="585"/>
      <c r="J56" s="634" t="s">
        <v>148</v>
      </c>
      <c r="K56" s="634"/>
      <c r="L56" s="603"/>
      <c r="M56" s="603"/>
      <c r="N56" s="635">
        <v>0.35680114420171394</v>
      </c>
      <c r="AJ56" s="585"/>
      <c r="AK56" s="605" t="s">
        <v>165</v>
      </c>
      <c r="AL56" s="585"/>
      <c r="AM56" s="597" t="s">
        <v>111</v>
      </c>
      <c r="AN56" s="585"/>
      <c r="AO56" s="585"/>
      <c r="AP56" s="598">
        <v>42921</v>
      </c>
      <c r="AQ56" s="598">
        <v>50564</v>
      </c>
      <c r="AR56" s="598">
        <v>96852</v>
      </c>
      <c r="AS56" s="598">
        <v>131269</v>
      </c>
      <c r="AT56" s="598">
        <v>200602.74610890684</v>
      </c>
      <c r="AU56" s="598">
        <v>264467.18269563623</v>
      </c>
      <c r="AV56" s="598">
        <v>276189.14896027657</v>
      </c>
      <c r="AW56" s="598">
        <v>312170.36197157903</v>
      </c>
      <c r="AX56" s="598">
        <v>321089.82687840943</v>
      </c>
    </row>
    <row r="57" spans="5:50" ht="21">
      <c r="E57" s="603"/>
      <c r="F57" s="603"/>
      <c r="G57" s="603"/>
      <c r="H57" s="603"/>
      <c r="I57" s="585"/>
      <c r="J57" s="603"/>
      <c r="K57" s="603"/>
      <c r="L57" s="603"/>
      <c r="M57" s="603"/>
      <c r="N57" s="603"/>
      <c r="AJ57" s="585"/>
      <c r="AK57" s="585"/>
      <c r="AL57" s="585"/>
      <c r="AM57" s="599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</row>
    <row r="58" spans="5:50" ht="21">
      <c r="E58" s="603" t="s">
        <v>151</v>
      </c>
      <c r="F58" s="603"/>
      <c r="G58" s="603"/>
      <c r="H58" s="636">
        <v>411.31</v>
      </c>
      <c r="I58" s="585"/>
      <c r="J58" s="603" t="s">
        <v>151</v>
      </c>
      <c r="K58" s="603"/>
      <c r="L58" s="603"/>
      <c r="M58" s="603"/>
      <c r="N58" s="636">
        <v>411.31</v>
      </c>
      <c r="AJ58" s="585"/>
      <c r="AK58" s="606" t="s">
        <v>166</v>
      </c>
      <c r="AL58" s="585"/>
      <c r="AM58" s="599" t="s">
        <v>111</v>
      </c>
      <c r="AN58" s="585"/>
      <c r="AO58" s="585"/>
      <c r="AP58" s="604">
        <v>2353</v>
      </c>
      <c r="AQ58" s="604">
        <v>5366</v>
      </c>
      <c r="AR58" s="604">
        <v>8092</v>
      </c>
      <c r="AS58" s="604">
        <v>9967</v>
      </c>
      <c r="AT58" s="604">
        <v>12624.066332173337</v>
      </c>
      <c r="AU58" s="604">
        <v>16553.01143089839</v>
      </c>
      <c r="AV58" s="604">
        <v>19464.545603923074</v>
      </c>
      <c r="AW58" s="604">
        <v>22109.629241912997</v>
      </c>
      <c r="AX58" s="604">
        <v>25019.507913756577</v>
      </c>
    </row>
    <row r="59" spans="5:50" ht="21">
      <c r="E59" s="637" t="s">
        <v>152</v>
      </c>
      <c r="F59" s="603"/>
      <c r="G59" s="603"/>
      <c r="H59" s="636">
        <v>0</v>
      </c>
      <c r="I59" s="585"/>
      <c r="J59" s="637" t="s">
        <v>152</v>
      </c>
      <c r="K59" s="637"/>
      <c r="L59" s="603"/>
      <c r="M59" s="603"/>
      <c r="N59" s="636">
        <v>0</v>
      </c>
      <c r="AJ59" s="585"/>
      <c r="AK59" s="585"/>
      <c r="AL59" s="585"/>
      <c r="AM59" s="599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</row>
    <row r="60" spans="5:50" ht="21">
      <c r="E60" s="637" t="s">
        <v>153</v>
      </c>
      <c r="F60" s="603"/>
      <c r="G60" s="603"/>
      <c r="H60" s="636">
        <v>-105.52500000000001</v>
      </c>
      <c r="I60" s="585"/>
      <c r="J60" s="637" t="s">
        <v>153</v>
      </c>
      <c r="K60" s="637"/>
      <c r="L60" s="603"/>
      <c r="M60" s="603"/>
      <c r="N60" s="636">
        <v>-105.52500000000001</v>
      </c>
      <c r="AJ60" s="585"/>
      <c r="AK60" s="607" t="s">
        <v>167</v>
      </c>
      <c r="AL60" s="585"/>
      <c r="AM60" s="599" t="s">
        <v>111</v>
      </c>
      <c r="AN60" s="585"/>
      <c r="AO60" s="585"/>
      <c r="AP60" s="604">
        <v>749308</v>
      </c>
      <c r="AQ60" s="604">
        <v>568974</v>
      </c>
      <c r="AR60" s="604">
        <v>678215</v>
      </c>
      <c r="AS60" s="604">
        <v>844278</v>
      </c>
      <c r="AT60" s="604">
        <v>1042550.8958490923</v>
      </c>
      <c r="AU60" s="604">
        <v>1271220.0007686387</v>
      </c>
      <c r="AV60" s="604">
        <v>1595632.72679814</v>
      </c>
      <c r="AW60" s="604">
        <v>1927106.8700538529</v>
      </c>
      <c r="AX60" s="604">
        <v>2302972.2398381578</v>
      </c>
    </row>
    <row r="61" spans="5:50" ht="21">
      <c r="E61" s="637" t="s">
        <v>154</v>
      </c>
      <c r="F61" s="603"/>
      <c r="G61" s="603"/>
      <c r="H61" s="636">
        <v>0</v>
      </c>
      <c r="I61" s="585"/>
      <c r="J61" s="637" t="s">
        <v>154</v>
      </c>
      <c r="K61" s="637"/>
      <c r="L61" s="603"/>
      <c r="M61" s="603"/>
      <c r="N61" s="636">
        <v>0</v>
      </c>
      <c r="AJ61" s="585"/>
      <c r="AK61" s="607" t="s">
        <v>168</v>
      </c>
      <c r="AL61" s="585"/>
      <c r="AM61" s="599" t="s">
        <v>111</v>
      </c>
      <c r="AN61" s="585"/>
      <c r="AO61" s="585"/>
      <c r="AP61" s="585"/>
      <c r="AQ61" s="604">
        <v>-180334</v>
      </c>
      <c r="AR61" s="604">
        <v>109241</v>
      </c>
      <c r="AS61" s="604">
        <v>166063</v>
      </c>
      <c r="AT61" s="604">
        <v>198272.89584909228</v>
      </c>
      <c r="AU61" s="604">
        <v>228669.1049195464</v>
      </c>
      <c r="AV61" s="604">
        <v>324412.7260295013</v>
      </c>
      <c r="AW61" s="604">
        <v>331474.14325571293</v>
      </c>
      <c r="AX61" s="604">
        <v>375865.36978430487</v>
      </c>
    </row>
    <row r="62" spans="5:50" ht="21">
      <c r="E62" s="637" t="s">
        <v>155</v>
      </c>
      <c r="F62" s="603"/>
      <c r="G62" s="603"/>
      <c r="H62" s="636">
        <v>0</v>
      </c>
      <c r="I62" s="585"/>
      <c r="J62" s="637" t="s">
        <v>155</v>
      </c>
      <c r="K62" s="637"/>
      <c r="L62" s="603"/>
      <c r="M62" s="603"/>
      <c r="N62" s="636">
        <v>0</v>
      </c>
      <c r="AJ62" s="585"/>
      <c r="AK62" s="607"/>
      <c r="AL62" s="585"/>
      <c r="AM62" s="599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</row>
    <row r="63" spans="5:50" ht="21">
      <c r="E63" s="637" t="s">
        <v>156</v>
      </c>
      <c r="F63" s="603"/>
      <c r="G63" s="603"/>
      <c r="H63" s="636">
        <v>0</v>
      </c>
      <c r="I63" s="585"/>
      <c r="J63" s="637" t="s">
        <v>156</v>
      </c>
      <c r="K63" s="637"/>
      <c r="L63" s="603"/>
      <c r="M63" s="603"/>
      <c r="N63" s="636">
        <v>0</v>
      </c>
      <c r="AJ63" s="585"/>
      <c r="AK63" s="607" t="s">
        <v>169</v>
      </c>
      <c r="AL63" s="585"/>
      <c r="AM63" s="599" t="s">
        <v>111</v>
      </c>
      <c r="AN63" s="585"/>
      <c r="AO63" s="585"/>
      <c r="AP63" s="604">
        <v>-9712</v>
      </c>
      <c r="AQ63" s="604">
        <v>-92520</v>
      </c>
      <c r="AR63" s="604">
        <v>-64338</v>
      </c>
      <c r="AS63" s="604">
        <v>-85948</v>
      </c>
      <c r="AT63" s="604">
        <v>-61568.226643466718</v>
      </c>
      <c r="AU63" s="604">
        <v>-56631.635085289054</v>
      </c>
      <c r="AV63" s="604">
        <v>-47658.796583824667</v>
      </c>
      <c r="AW63" s="604">
        <v>-48360.619899161138</v>
      </c>
      <c r="AX63" s="604">
        <v>-54259.883615012601</v>
      </c>
    </row>
    <row r="64" spans="5:50" ht="21">
      <c r="E64" s="637" t="s">
        <v>157</v>
      </c>
      <c r="F64" s="603"/>
      <c r="G64" s="603"/>
      <c r="H64" s="636">
        <v>0</v>
      </c>
      <c r="I64" s="585"/>
      <c r="J64" s="637" t="s">
        <v>157</v>
      </c>
      <c r="K64" s="637"/>
      <c r="L64" s="603"/>
      <c r="M64" s="603"/>
      <c r="N64" s="636">
        <v>0</v>
      </c>
      <c r="AJ64" s="585"/>
      <c r="AK64" s="585"/>
      <c r="AL64" s="585"/>
      <c r="AM64" s="599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</row>
    <row r="65" spans="1:50" ht="21">
      <c r="E65" s="624"/>
      <c r="F65" s="603"/>
      <c r="G65" s="603"/>
      <c r="H65" s="638"/>
      <c r="I65" s="585"/>
      <c r="J65" s="624"/>
      <c r="K65" s="624"/>
      <c r="L65" s="603"/>
      <c r="M65" s="603"/>
      <c r="N65" s="633"/>
      <c r="AJ65" s="585"/>
      <c r="AK65" s="586" t="s">
        <v>170</v>
      </c>
      <c r="AL65" s="585"/>
      <c r="AM65" s="597" t="s">
        <v>111</v>
      </c>
      <c r="AN65" s="585"/>
      <c r="AO65" s="585"/>
      <c r="AP65" s="598">
        <v>35562</v>
      </c>
      <c r="AQ65" s="598">
        <v>-216924</v>
      </c>
      <c r="AR65" s="598">
        <v>149847</v>
      </c>
      <c r="AS65" s="598">
        <v>221351</v>
      </c>
      <c r="AT65" s="598">
        <v>349931.48164670571</v>
      </c>
      <c r="AU65" s="598">
        <v>453057.66396079195</v>
      </c>
      <c r="AV65" s="598">
        <v>572407.62400987628</v>
      </c>
      <c r="AW65" s="598">
        <v>617393.51457004377</v>
      </c>
      <c r="AX65" s="598">
        <v>667714.82096145826</v>
      </c>
    </row>
    <row r="66" spans="1:50" ht="21">
      <c r="E66" s="639" t="s">
        <v>158</v>
      </c>
      <c r="F66" s="640"/>
      <c r="G66" s="640"/>
      <c r="H66" s="641">
        <v>4767.276298920573</v>
      </c>
      <c r="I66" s="585"/>
      <c r="J66" s="639" t="s">
        <v>158</v>
      </c>
      <c r="K66" s="639"/>
      <c r="L66" s="640"/>
      <c r="M66" s="640"/>
      <c r="N66" s="641">
        <v>7876.2142417559126</v>
      </c>
      <c r="AJ66" s="585"/>
      <c r="AK66" s="585"/>
      <c r="AL66" s="585"/>
      <c r="AM66" s="599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</row>
    <row r="67" spans="1:50" ht="21">
      <c r="E67" s="642"/>
      <c r="F67" s="603"/>
      <c r="G67" s="603"/>
      <c r="H67" s="643"/>
      <c r="I67" s="585"/>
      <c r="J67" s="642"/>
      <c r="K67" s="642"/>
      <c r="L67" s="603"/>
      <c r="M67" s="603"/>
      <c r="N67" s="643"/>
      <c r="AJ67" s="585"/>
      <c r="AK67" s="586" t="s">
        <v>110</v>
      </c>
      <c r="AL67" s="585"/>
      <c r="AM67" s="597" t="s">
        <v>111</v>
      </c>
      <c r="AN67" s="585"/>
      <c r="AO67" s="585"/>
      <c r="AP67" s="598">
        <v>45408</v>
      </c>
      <c r="AQ67" s="598">
        <v>72728</v>
      </c>
      <c r="AR67" s="598">
        <v>124308</v>
      </c>
      <c r="AS67" s="598">
        <v>176267</v>
      </c>
      <c r="AT67" s="598">
        <v>266192.0277281754</v>
      </c>
      <c r="AU67" s="598">
        <v>350847.55960158771</v>
      </c>
      <c r="AV67" s="598">
        <v>368576.01501288841</v>
      </c>
      <c r="AW67" s="598">
        <v>416702.44428947708</v>
      </c>
      <c r="AX67" s="598">
        <v>430886.7973991746</v>
      </c>
    </row>
    <row r="68" spans="1:50" ht="21">
      <c r="E68" s="603" t="s">
        <v>89</v>
      </c>
      <c r="F68" s="603"/>
      <c r="G68" s="603"/>
      <c r="H68" s="644">
        <v>163.4</v>
      </c>
      <c r="I68" s="585"/>
      <c r="J68" s="603" t="s">
        <v>89</v>
      </c>
      <c r="K68" s="603"/>
      <c r="L68" s="603"/>
      <c r="M68" s="603"/>
      <c r="N68" s="644">
        <v>163.4</v>
      </c>
      <c r="AJ68" s="585"/>
      <c r="AK68" s="608" t="s">
        <v>171</v>
      </c>
      <c r="AL68" s="585"/>
      <c r="AM68" s="597" t="s">
        <v>93</v>
      </c>
      <c r="AN68" s="585"/>
      <c r="AO68" s="585"/>
      <c r="AP68" s="609">
        <v>0.17481357145882018</v>
      </c>
      <c r="AQ68" s="609">
        <v>0.18704221874742818</v>
      </c>
      <c r="AR68" s="609">
        <v>0.22288483709655152</v>
      </c>
      <c r="AS68" s="609">
        <v>0.22537136340040761</v>
      </c>
      <c r="AT68" s="609">
        <v>0.31394888185066122</v>
      </c>
      <c r="AU68" s="609">
        <v>0.34724674877387057</v>
      </c>
      <c r="AV68" s="609">
        <v>0.33383290776015595</v>
      </c>
      <c r="AW68" s="609">
        <v>0.31760437203425623</v>
      </c>
      <c r="AX68" s="609">
        <v>0.30110961449934315</v>
      </c>
    </row>
    <row r="69" spans="1:50" ht="21">
      <c r="E69" s="603"/>
      <c r="F69" s="603"/>
      <c r="G69" s="603"/>
      <c r="H69" s="604"/>
      <c r="I69" s="585"/>
      <c r="J69" s="603"/>
      <c r="K69" s="603"/>
      <c r="L69" s="603"/>
      <c r="M69" s="603"/>
      <c r="N69" s="604"/>
    </row>
    <row r="70" spans="1:50" ht="21">
      <c r="E70" s="645" t="s">
        <v>159</v>
      </c>
      <c r="F70" s="646"/>
      <c r="G70" s="646"/>
      <c r="H70" s="647">
        <v>29.175497545413542</v>
      </c>
      <c r="I70" s="585"/>
      <c r="J70" s="645" t="s">
        <v>159</v>
      </c>
      <c r="K70" s="646"/>
      <c r="L70" s="646"/>
      <c r="M70" s="646"/>
      <c r="N70" s="647">
        <v>48.202045543181839</v>
      </c>
    </row>
    <row r="71" spans="1:50" ht="21">
      <c r="E71" s="648" t="s">
        <v>160</v>
      </c>
      <c r="F71" s="649"/>
      <c r="G71" s="649"/>
      <c r="H71" s="650">
        <v>0.18119423260783574</v>
      </c>
      <c r="I71" s="585"/>
      <c r="J71" s="648" t="s">
        <v>160</v>
      </c>
      <c r="K71" s="649"/>
      <c r="L71" s="649"/>
      <c r="M71" s="649"/>
      <c r="N71" s="650">
        <v>0.9514998195620179</v>
      </c>
    </row>
    <row r="80" spans="1:50" ht="21">
      <c r="A80" s="584" t="str">
        <f>"COGs breakdown &amp; Tariff burden - "&amp;Company_Name</f>
        <v>COGs breakdown &amp; Tariff burden - ACM Research, Inc.</v>
      </c>
      <c r="B80" s="588"/>
      <c r="C80" s="584"/>
      <c r="D80" s="584"/>
      <c r="E80" s="594"/>
      <c r="F80" s="594"/>
      <c r="G80" s="594"/>
      <c r="H80" s="594"/>
      <c r="I80" s="594"/>
      <c r="J80" s="594"/>
      <c r="K80" s="594"/>
      <c r="L80" s="594"/>
      <c r="M80" s="594"/>
    </row>
    <row r="81" spans="1:13" ht="21">
      <c r="A81" s="682"/>
      <c r="B81" s="585"/>
      <c r="C81" s="682"/>
      <c r="D81" s="682"/>
      <c r="E81" s="657"/>
      <c r="F81" s="657"/>
      <c r="G81" s="657"/>
      <c r="H81" s="657"/>
      <c r="I81" s="657"/>
      <c r="J81" s="657"/>
      <c r="K81" s="657"/>
      <c r="L81" s="657"/>
      <c r="M81" s="657"/>
    </row>
    <row r="82" spans="1:13" ht="21">
      <c r="A82" s="585"/>
      <c r="B82" s="585"/>
      <c r="C82" s="585"/>
      <c r="D82" s="585"/>
      <c r="E82" s="585"/>
      <c r="F82" s="585"/>
      <c r="G82" s="683" t="s">
        <v>495</v>
      </c>
      <c r="H82" s="585"/>
      <c r="I82" s="585"/>
      <c r="J82" s="585"/>
      <c r="K82" s="585"/>
      <c r="L82" s="585"/>
      <c r="M82" s="585"/>
    </row>
    <row r="83" spans="1:13" ht="21">
      <c r="A83" s="585"/>
      <c r="B83" s="608" t="s">
        <v>496</v>
      </c>
      <c r="C83" s="585"/>
      <c r="D83" s="585"/>
      <c r="E83" s="585" t="s">
        <v>517</v>
      </c>
      <c r="F83" s="585" t="s">
        <v>505</v>
      </c>
      <c r="G83" s="658" t="s">
        <v>125</v>
      </c>
      <c r="H83" s="658" t="s">
        <v>504</v>
      </c>
      <c r="I83" s="658" t="s">
        <v>518</v>
      </c>
      <c r="J83" s="585" t="s">
        <v>503</v>
      </c>
      <c r="K83" s="684" t="s">
        <v>510</v>
      </c>
      <c r="L83" s="585"/>
      <c r="M83" s="585"/>
    </row>
    <row r="84" spans="1:13" ht="21">
      <c r="A84" s="585"/>
      <c r="B84" s="608" t="s">
        <v>497</v>
      </c>
      <c r="C84" s="585"/>
      <c r="D84" s="585"/>
      <c r="E84" s="585"/>
      <c r="F84" s="685">
        <v>3</v>
      </c>
      <c r="G84" s="685">
        <v>4</v>
      </c>
      <c r="H84" s="685">
        <v>6</v>
      </c>
      <c r="I84" s="658"/>
      <c r="J84" s="686">
        <v>0.25</v>
      </c>
      <c r="K84" s="684" t="s">
        <v>511</v>
      </c>
      <c r="L84" s="585"/>
      <c r="M84" s="585"/>
    </row>
    <row r="85" spans="1:13" ht="21">
      <c r="A85" s="585"/>
      <c r="B85" s="608" t="s">
        <v>498</v>
      </c>
      <c r="C85" s="585"/>
      <c r="D85" s="585"/>
      <c r="E85" s="585"/>
      <c r="F85" s="685">
        <v>8</v>
      </c>
      <c r="G85" s="685">
        <v>9</v>
      </c>
      <c r="H85" s="685">
        <v>11</v>
      </c>
      <c r="I85" s="658"/>
      <c r="J85" s="686">
        <v>0.1</v>
      </c>
      <c r="K85" s="684" t="s">
        <v>512</v>
      </c>
      <c r="L85" s="585"/>
      <c r="M85" s="585"/>
    </row>
    <row r="86" spans="1:13" ht="21">
      <c r="A86" s="585"/>
      <c r="B86" s="608" t="s">
        <v>499</v>
      </c>
      <c r="C86" s="585"/>
      <c r="D86" s="585"/>
      <c r="E86" s="585"/>
      <c r="F86" s="685">
        <v>10</v>
      </c>
      <c r="G86" s="685">
        <v>13</v>
      </c>
      <c r="H86" s="685">
        <v>15</v>
      </c>
      <c r="I86" s="658"/>
      <c r="J86" s="686">
        <v>0.05</v>
      </c>
      <c r="K86" s="684" t="s">
        <v>513</v>
      </c>
      <c r="L86" s="585"/>
      <c r="M86" s="585"/>
    </row>
    <row r="87" spans="1:13" ht="21">
      <c r="A87" s="585"/>
      <c r="B87" s="608" t="s">
        <v>500</v>
      </c>
      <c r="C87" s="585"/>
      <c r="D87" s="585"/>
      <c r="E87" s="585"/>
      <c r="F87" s="685">
        <v>5</v>
      </c>
      <c r="G87" s="685">
        <v>10</v>
      </c>
      <c r="H87" s="685">
        <v>12</v>
      </c>
      <c r="I87" s="658"/>
      <c r="J87" s="686">
        <v>0.1</v>
      </c>
      <c r="K87" s="684" t="s">
        <v>514</v>
      </c>
      <c r="L87" s="585"/>
      <c r="M87" s="585"/>
    </row>
    <row r="88" spans="1:13" ht="21">
      <c r="A88" s="585"/>
      <c r="B88" s="608" t="s">
        <v>501</v>
      </c>
      <c r="C88" s="585"/>
      <c r="D88" s="585"/>
      <c r="E88" s="585"/>
      <c r="F88" s="685">
        <v>4</v>
      </c>
      <c r="G88" s="685">
        <v>3</v>
      </c>
      <c r="H88" s="685">
        <v>2</v>
      </c>
      <c r="I88" s="658"/>
      <c r="J88" s="686">
        <v>0</v>
      </c>
      <c r="K88" s="684" t="s">
        <v>515</v>
      </c>
      <c r="L88" s="585"/>
      <c r="M88" s="585"/>
    </row>
    <row r="89" spans="1:13" ht="21">
      <c r="A89" s="585"/>
      <c r="B89" s="687" t="s">
        <v>502</v>
      </c>
      <c r="C89" s="585"/>
      <c r="D89" s="585"/>
      <c r="E89" s="688"/>
      <c r="F89" s="689">
        <v>70</v>
      </c>
      <c r="G89" s="689">
        <v>61</v>
      </c>
      <c r="H89" s="689">
        <v>54</v>
      </c>
      <c r="I89" s="690"/>
      <c r="J89" s="691">
        <v>0</v>
      </c>
      <c r="K89" s="692" t="s">
        <v>516</v>
      </c>
      <c r="L89" s="688"/>
      <c r="M89" s="585"/>
    </row>
    <row r="90" spans="1:13" ht="21">
      <c r="A90" s="585"/>
      <c r="B90" s="608" t="s">
        <v>494</v>
      </c>
      <c r="C90" s="585"/>
      <c r="D90" s="585"/>
      <c r="E90" s="693">
        <v>0</v>
      </c>
      <c r="F90" s="694" cm="1">
        <f t="array" ref="F90">SUMPRODUCT(F84:F89,J84:J89/SUM(F84:F89))</f>
        <v>2.5500000000000002E-2</v>
      </c>
      <c r="G90" s="694">
        <f>SUMPRODUCT(G84:G89,J84:J89)/SUM(G84:G89)</f>
        <v>3.5499999999999997E-2</v>
      </c>
      <c r="H90" s="694">
        <f>SUMPRODUCT(H84:H89,J84:J89)/SUM(H84:H89)</f>
        <v>4.5500000000000006E-2</v>
      </c>
      <c r="I90" s="695">
        <v>0</v>
      </c>
      <c r="J90" s="696"/>
      <c r="K90" s="585"/>
      <c r="L90" s="585"/>
      <c r="M90" s="585"/>
    </row>
    <row r="91" spans="1:13" ht="21">
      <c r="A91" s="585"/>
      <c r="B91" s="585"/>
      <c r="C91" s="585"/>
      <c r="D91" s="585"/>
      <c r="E91" s="585"/>
      <c r="F91" s="585"/>
      <c r="G91" s="658"/>
      <c r="H91" s="658"/>
      <c r="I91" s="658"/>
      <c r="J91" s="658"/>
      <c r="K91" s="585"/>
      <c r="L91" s="585"/>
      <c r="M91" s="585"/>
    </row>
    <row r="92" spans="1:13" ht="21">
      <c r="A92" s="585"/>
      <c r="B92" s="697" t="s">
        <v>506</v>
      </c>
      <c r="C92" s="585"/>
      <c r="D92" s="585"/>
      <c r="E92" s="585"/>
      <c r="F92" s="585"/>
      <c r="G92" s="658"/>
      <c r="H92" s="658"/>
      <c r="I92" s="698">
        <f>INDEX(E90:I90,1,MATCH(Tariff,E83:I83,0))</f>
        <v>0</v>
      </c>
      <c r="J92" s="658"/>
      <c r="K92" s="585"/>
      <c r="L92" s="585"/>
      <c r="M92" s="58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CAA81-644C-4860-A4D8-3EA4351B4BBA}">
  <dimension ref="B2:S67"/>
  <sheetViews>
    <sheetView showGridLines="0" zoomScale="67" workbookViewId="0">
      <selection activeCell="G30" sqref="A1:XFD1048576"/>
    </sheetView>
  </sheetViews>
  <sheetFormatPr defaultRowHeight="14.5"/>
  <cols>
    <col min="3" max="3" width="38.26953125" bestFit="1" customWidth="1"/>
    <col min="4" max="4" width="24.81640625" bestFit="1" customWidth="1"/>
    <col min="5" max="5" width="7.7265625" bestFit="1" customWidth="1"/>
    <col min="6" max="6" width="7.7265625" customWidth="1"/>
    <col min="7" max="15" width="14.6328125" bestFit="1" customWidth="1"/>
    <col min="17" max="17" width="10.26953125" bestFit="1" customWidth="1"/>
  </cols>
  <sheetData>
    <row r="2" spans="2:19" ht="16"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</row>
    <row r="3" spans="2:19" ht="18.5">
      <c r="B3" s="500"/>
      <c r="C3" s="510" t="str">
        <f>Company_Name&amp;" - Summary of Operating Model and Valuation - "&amp;Scenario&amp;" Case"</f>
        <v>ACM Research, Inc. - Summary of Operating Model and Valuation - Base Case</v>
      </c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</row>
    <row r="4" spans="2:19" ht="16">
      <c r="B4" s="500"/>
      <c r="C4" s="281" t="s">
        <v>484</v>
      </c>
      <c r="D4" s="500"/>
      <c r="E4" s="500"/>
      <c r="F4" s="500"/>
      <c r="G4" s="500"/>
      <c r="H4" s="500"/>
      <c r="I4" s="500"/>
      <c r="J4" s="500"/>
      <c r="K4" s="500"/>
      <c r="L4" s="500"/>
      <c r="M4" s="500"/>
      <c r="N4" s="500"/>
      <c r="O4" s="500"/>
      <c r="P4" s="500"/>
      <c r="Q4" s="500"/>
      <c r="R4" s="500"/>
    </row>
    <row r="5" spans="2:19" ht="16">
      <c r="B5" s="500"/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</row>
    <row r="6" spans="2:19" ht="16">
      <c r="B6" s="500"/>
      <c r="C6" s="511"/>
      <c r="D6" s="511"/>
      <c r="E6" s="512"/>
      <c r="F6" s="512"/>
      <c r="G6" s="513" t="s">
        <v>492</v>
      </c>
      <c r="H6" s="513"/>
      <c r="I6" s="513"/>
      <c r="J6" s="513"/>
      <c r="K6" s="513" t="s">
        <v>79</v>
      </c>
      <c r="L6" s="514"/>
      <c r="M6" s="513"/>
      <c r="N6" s="513"/>
      <c r="O6" s="513"/>
      <c r="P6" s="516"/>
      <c r="Q6" s="515" t="s">
        <v>313</v>
      </c>
      <c r="R6" s="500"/>
    </row>
    <row r="7" spans="2:19" ht="16">
      <c r="B7" s="500"/>
      <c r="C7" s="20" t="s">
        <v>456</v>
      </c>
      <c r="D7" s="20"/>
      <c r="E7" s="517" t="s">
        <v>80</v>
      </c>
      <c r="F7" s="517"/>
      <c r="G7" s="341">
        <f>Model!H17</f>
        <v>44561</v>
      </c>
      <c r="H7" s="341">
        <f>Model!I17</f>
        <v>44926</v>
      </c>
      <c r="I7" s="341">
        <f>Model!J17</f>
        <v>45291</v>
      </c>
      <c r="J7" s="341">
        <f>Model!K17</f>
        <v>45657</v>
      </c>
      <c r="K7" s="341">
        <f>Model!L17</f>
        <v>46022</v>
      </c>
      <c r="L7" s="341">
        <f>Model!M17</f>
        <v>46387</v>
      </c>
      <c r="M7" s="341">
        <f>Model!N17</f>
        <v>46752</v>
      </c>
      <c r="N7" s="341">
        <f>Model!O17</f>
        <v>47118</v>
      </c>
      <c r="O7" s="341">
        <f>Model!P17</f>
        <v>47483</v>
      </c>
      <c r="P7" s="516"/>
      <c r="Q7" s="341" t="s">
        <v>457</v>
      </c>
      <c r="R7" s="500"/>
    </row>
    <row r="8" spans="2:19" ht="16">
      <c r="B8" s="500"/>
      <c r="C8" s="518" t="s">
        <v>458</v>
      </c>
      <c r="D8" s="518"/>
      <c r="E8" s="519"/>
      <c r="F8" s="519"/>
      <c r="G8" s="519"/>
      <c r="H8" s="520"/>
      <c r="I8" s="520"/>
      <c r="J8" s="520"/>
      <c r="K8" s="520"/>
      <c r="L8" s="520"/>
      <c r="M8" s="520"/>
      <c r="N8" s="520"/>
      <c r="O8" s="520"/>
      <c r="P8" s="516"/>
      <c r="Q8" s="520"/>
      <c r="R8" s="500"/>
    </row>
    <row r="9" spans="2:19" ht="16">
      <c r="B9" s="500"/>
      <c r="G9" s="521"/>
      <c r="H9" s="521"/>
      <c r="I9" s="521"/>
      <c r="J9" s="521"/>
      <c r="K9" s="521"/>
      <c r="L9" s="521"/>
      <c r="M9" s="521"/>
      <c r="N9" s="521"/>
      <c r="O9" s="521"/>
      <c r="P9" s="500"/>
      <c r="R9" s="500"/>
      <c r="S9" s="522"/>
    </row>
    <row r="10" spans="2:19" ht="16">
      <c r="B10" s="500"/>
      <c r="C10" s="14" t="s">
        <v>113</v>
      </c>
      <c r="E10" s="523" t="s">
        <v>111</v>
      </c>
      <c r="F10" s="523"/>
      <c r="G10" s="524">
        <f>Drivers!H14</f>
        <v>189125</v>
      </c>
      <c r="H10" s="524">
        <f>Drivers!I14</f>
        <v>257250</v>
      </c>
      <c r="I10" s="524">
        <f>Drivers!J14</f>
        <v>371250</v>
      </c>
      <c r="J10" s="524">
        <f>Drivers!K14</f>
        <v>570000</v>
      </c>
      <c r="K10" s="524">
        <f>Drivers!L14</f>
        <v>689412.18652936141</v>
      </c>
      <c r="L10" s="524">
        <f>Drivers!M14</f>
        <v>845017.94164448488</v>
      </c>
      <c r="M10" s="524">
        <f>Drivers!N14</f>
        <v>1037755.9215205284</v>
      </c>
      <c r="N10" s="524">
        <f>Drivers!O14</f>
        <v>1291922.7114272737</v>
      </c>
      <c r="O10" s="524">
        <f>Drivers!P14</f>
        <v>1610941.5516942849</v>
      </c>
      <c r="P10" s="500"/>
      <c r="Q10" s="525">
        <f>(O10/J10)^(1/YEARFRAC(J$7,O$7,))-1</f>
        <v>0.23095162386133405</v>
      </c>
      <c r="R10" s="500"/>
      <c r="S10" s="526"/>
    </row>
    <row r="11" spans="2:19" ht="16">
      <c r="B11" s="500"/>
      <c r="C11" s="14" t="s">
        <v>116</v>
      </c>
      <c r="E11" s="523" t="s">
        <v>93</v>
      </c>
      <c r="F11" s="523"/>
      <c r="G11" s="524">
        <f>Drivers!H36</f>
        <v>31920</v>
      </c>
      <c r="H11" s="524">
        <f>Drivers!I36</f>
        <v>72500</v>
      </c>
      <c r="I11" s="524">
        <f>Drivers!J36</f>
        <v>100000</v>
      </c>
      <c r="J11" s="524">
        <f>Drivers!K36</f>
        <v>145000</v>
      </c>
      <c r="K11" s="524">
        <f>Drivers!L36</f>
        <v>196111.11111111109</v>
      </c>
      <c r="L11" s="524">
        <f>Drivers!M36</f>
        <v>299592.82276132778</v>
      </c>
      <c r="M11" s="524">
        <f>Drivers!N36</f>
        <v>461638.97512961406</v>
      </c>
      <c r="N11" s="524">
        <f>Drivers!O36</f>
        <v>708524.80331653066</v>
      </c>
      <c r="O11" s="524">
        <f>Drivers!P36</f>
        <v>1061635.6103509918</v>
      </c>
      <c r="P11" s="500"/>
      <c r="Q11" s="525">
        <f>(O11/J11)^(1/YEARFRAC(J$7,O$7,))-1</f>
        <v>0.48909187876944715</v>
      </c>
      <c r="R11" s="500"/>
      <c r="S11" s="530"/>
    </row>
    <row r="12" spans="2:19" ht="16">
      <c r="B12" s="500"/>
      <c r="C12" s="14" t="s">
        <v>118</v>
      </c>
      <c r="E12" s="523" t="s">
        <v>111</v>
      </c>
      <c r="F12" s="523"/>
      <c r="G12" s="524">
        <f>Drivers!H50</f>
        <v>36402</v>
      </c>
      <c r="H12" s="524">
        <f>Drivers!I50</f>
        <v>37002</v>
      </c>
      <c r="I12" s="524">
        <f>Drivers!J50</f>
        <v>48516</v>
      </c>
      <c r="J12" s="524">
        <f>Drivers!K50</f>
        <v>49000</v>
      </c>
      <c r="K12" s="524">
        <f>Drivers!L50</f>
        <v>55604.933630675405</v>
      </c>
      <c r="L12" s="524">
        <f>Drivers!M50</f>
        <v>64916.276187818898</v>
      </c>
      <c r="M12" s="524">
        <f>Drivers!N50</f>
        <v>74230.42068952987</v>
      </c>
      <c r="N12" s="524">
        <f>Drivers!O50</f>
        <v>86934.770810936898</v>
      </c>
      <c r="O12" s="524">
        <f>Drivers!P50</f>
        <v>101899.69565934721</v>
      </c>
      <c r="P12" s="500"/>
      <c r="Q12" s="525">
        <f>(O12/J12)^(1/YEARFRAC(J$7,O$7,))-1</f>
        <v>0.15769820887876795</v>
      </c>
      <c r="R12" s="500"/>
      <c r="S12" s="522"/>
    </row>
    <row r="13" spans="2:19" ht="16">
      <c r="B13" s="500"/>
      <c r="C13" s="14"/>
      <c r="E13" s="523"/>
      <c r="F13" s="523"/>
      <c r="G13" s="524"/>
      <c r="H13" s="524"/>
      <c r="I13" s="524"/>
      <c r="J13" s="524"/>
      <c r="K13" s="524"/>
      <c r="L13" s="524"/>
      <c r="M13" s="524"/>
      <c r="N13" s="524"/>
      <c r="O13" s="524"/>
      <c r="P13" s="500"/>
      <c r="Q13" s="525"/>
      <c r="R13" s="500"/>
      <c r="S13" s="522"/>
    </row>
    <row r="14" spans="2:19" ht="16">
      <c r="B14" s="500"/>
      <c r="C14" s="14" t="s">
        <v>115</v>
      </c>
      <c r="E14" s="523" t="s">
        <v>93</v>
      </c>
      <c r="F14" s="523"/>
      <c r="G14" s="524">
        <f>Drivers!H25</f>
        <v>83</v>
      </c>
      <c r="H14" s="524">
        <f>Drivers!I25</f>
        <v>15689</v>
      </c>
      <c r="I14" s="524">
        <f>Drivers!J25</f>
        <v>32601</v>
      </c>
      <c r="J14" s="524">
        <f>Drivers!K25</f>
        <v>8887</v>
      </c>
      <c r="K14" s="524">
        <f>Drivers!L25</f>
        <v>11848</v>
      </c>
      <c r="L14" s="524">
        <f>Drivers!M25</f>
        <v>14810</v>
      </c>
      <c r="M14" s="524">
        <f>Drivers!N25</f>
        <v>19253</v>
      </c>
      <c r="N14" s="524">
        <f>Drivers!O25</f>
        <v>22215</v>
      </c>
      <c r="O14" s="524">
        <f>Drivers!P25</f>
        <v>28139</v>
      </c>
      <c r="P14" s="500"/>
      <c r="Q14" s="525">
        <f>(O14/J14)^(1/YEARFRAC(J$7,O$7,))-1</f>
        <v>0.25924633595997681</v>
      </c>
      <c r="R14" s="500"/>
      <c r="S14" s="522"/>
    </row>
    <row r="15" spans="2:19" ht="16">
      <c r="B15" s="500"/>
      <c r="C15" s="14" t="s">
        <v>117</v>
      </c>
      <c r="E15" s="523" t="s">
        <v>111</v>
      </c>
      <c r="F15" s="523"/>
      <c r="G15" s="524">
        <f>Drivers!H47</f>
        <v>1290</v>
      </c>
      <c r="H15" s="524">
        <f>Drivers!I47</f>
        <v>4982</v>
      </c>
      <c r="I15" s="524">
        <f>Drivers!J47</f>
        <v>3356</v>
      </c>
      <c r="J15" s="524">
        <f>Drivers!K47</f>
        <v>6057</v>
      </c>
      <c r="K15" s="524">
        <f>Drivers!L47</f>
        <v>12980.101668391417</v>
      </c>
      <c r="L15" s="524">
        <f>Drivers!M47</f>
        <v>17388.028331590329</v>
      </c>
      <c r="M15" s="524">
        <f>Drivers!N47</f>
        <v>29814.844855602754</v>
      </c>
      <c r="N15" s="524">
        <f>Drivers!O47</f>
        <v>35945.730030933839</v>
      </c>
      <c r="O15" s="524">
        <f>Drivers!P47</f>
        <v>51362.751028849816</v>
      </c>
      <c r="P15" s="500"/>
      <c r="Q15" s="525">
        <f>(O15/J15)^(1/YEARFRAC(J$7,O$7,))-1</f>
        <v>0.53348008632323163</v>
      </c>
      <c r="R15" s="500"/>
      <c r="S15" s="531"/>
    </row>
    <row r="16" spans="2:19" ht="16">
      <c r="B16" s="500"/>
      <c r="C16" s="14" t="s">
        <v>120</v>
      </c>
      <c r="E16" s="523" t="s">
        <v>93</v>
      </c>
      <c r="F16" s="523"/>
      <c r="G16" s="524">
        <f>Drivers!H55</f>
        <v>931</v>
      </c>
      <c r="H16" s="524">
        <f>Drivers!I55</f>
        <v>1409</v>
      </c>
      <c r="I16" s="524">
        <f>Drivers!J55</f>
        <v>2000</v>
      </c>
      <c r="J16" s="524">
        <f>Drivers!K55</f>
        <v>3174</v>
      </c>
      <c r="K16" s="524">
        <f>Drivers!L55</f>
        <v>4877.6659730417086</v>
      </c>
      <c r="L16" s="524">
        <f>Drivers!M55</f>
        <v>7484.5054643879421</v>
      </c>
      <c r="M16" s="524">
        <f>Drivers!N55</f>
        <v>12044.76533877062</v>
      </c>
      <c r="N16" s="524">
        <f>Drivers!O55</f>
        <v>19154.483777061178</v>
      </c>
      <c r="O16" s="524">
        <f>Drivers!P55</f>
        <v>30514.003808081259</v>
      </c>
      <c r="P16" s="500"/>
      <c r="Q16" s="525">
        <f>(O16/J16)^(1/YEARFRAC(J$7,O$7,))-1</f>
        <v>0.57245582891371161</v>
      </c>
      <c r="R16" s="500"/>
      <c r="S16" s="522"/>
    </row>
    <row r="17" spans="2:19" ht="16">
      <c r="B17" s="500"/>
      <c r="C17" s="14"/>
      <c r="E17" s="523"/>
      <c r="F17" s="523"/>
      <c r="G17" s="528"/>
      <c r="H17" s="528"/>
      <c r="I17" s="528"/>
      <c r="J17" s="528"/>
      <c r="K17" s="528"/>
      <c r="L17" s="528"/>
      <c r="M17" s="528"/>
      <c r="N17" s="528"/>
      <c r="O17" s="529"/>
      <c r="P17" s="500"/>
      <c r="Q17" s="525"/>
      <c r="R17" s="500"/>
      <c r="S17" s="522"/>
    </row>
    <row r="18" spans="2:19" ht="16">
      <c r="B18" s="500"/>
      <c r="C18" s="518" t="s">
        <v>459</v>
      </c>
      <c r="D18" s="518"/>
      <c r="E18" s="519"/>
      <c r="F18" s="519"/>
      <c r="G18" s="519"/>
      <c r="H18" s="520"/>
      <c r="I18" s="520"/>
      <c r="J18" s="520"/>
      <c r="K18" s="520"/>
      <c r="L18" s="520"/>
      <c r="M18" s="520"/>
      <c r="N18" s="520"/>
      <c r="O18" s="520"/>
      <c r="P18" s="500"/>
      <c r="Q18" s="520"/>
      <c r="R18" s="500"/>
    </row>
    <row r="19" spans="2:19" ht="16">
      <c r="B19" s="500"/>
      <c r="C19" s="77"/>
      <c r="D19" s="77"/>
      <c r="E19" s="534"/>
      <c r="F19" s="534"/>
      <c r="G19" s="534"/>
      <c r="H19" s="535"/>
      <c r="I19" s="535"/>
      <c r="J19" s="535"/>
      <c r="K19" s="535"/>
      <c r="L19" s="535"/>
      <c r="M19" s="535"/>
      <c r="N19" s="535"/>
      <c r="O19" s="535"/>
      <c r="P19" s="500"/>
      <c r="Q19" s="535"/>
      <c r="R19" s="500"/>
    </row>
    <row r="20" spans="2:19" ht="16">
      <c r="B20" s="500"/>
      <c r="C20" s="536" t="s">
        <v>255</v>
      </c>
      <c r="D20" s="537"/>
      <c r="E20" s="523" t="s">
        <v>111</v>
      </c>
      <c r="F20" s="523"/>
      <c r="G20" s="538">
        <f>Drivers!H59</f>
        <v>259751</v>
      </c>
      <c r="H20" s="538">
        <f>Drivers!I59</f>
        <v>388832</v>
      </c>
      <c r="I20" s="538">
        <f>Drivers!J59</f>
        <v>557723</v>
      </c>
      <c r="J20" s="538">
        <f>Drivers!K59</f>
        <v>782118</v>
      </c>
      <c r="K20" s="538">
        <f>Drivers!L59</f>
        <v>970833.99891258101</v>
      </c>
      <c r="L20" s="538">
        <f>Drivers!M59</f>
        <v>1249209.57438961</v>
      </c>
      <c r="M20" s="538">
        <f>Drivers!N59</f>
        <v>1634737.9275340459</v>
      </c>
      <c r="N20" s="538">
        <f>Drivers!O59</f>
        <v>2164697.4993627365</v>
      </c>
      <c r="O20" s="538">
        <f>Drivers!P59</f>
        <v>2884492.612541555</v>
      </c>
      <c r="P20" s="500"/>
      <c r="Q20" s="525">
        <f>(O20/J20)^(1/YEARFRAC(J$7,O$7,))-1</f>
        <v>0.29825328447064514</v>
      </c>
      <c r="R20" s="500"/>
    </row>
    <row r="21" spans="2:19" ht="16">
      <c r="B21" s="500"/>
      <c r="C21" s="527" t="s">
        <v>460</v>
      </c>
      <c r="D21" s="532"/>
      <c r="E21" s="523" t="s">
        <v>93</v>
      </c>
      <c r="F21" s="523"/>
      <c r="G21" s="539"/>
      <c r="H21" s="539">
        <f>H20/G20-1</f>
        <v>0.49694130147718396</v>
      </c>
      <c r="I21" s="539">
        <f t="shared" ref="I21:O21" si="0">I20/H20-1</f>
        <v>0.43435468274216116</v>
      </c>
      <c r="J21" s="539">
        <f t="shared" si="0"/>
        <v>0.40234130563021431</v>
      </c>
      <c r="K21" s="539">
        <f t="shared" si="0"/>
        <v>0.24128839754689313</v>
      </c>
      <c r="L21" s="539">
        <f t="shared" si="0"/>
        <v>0.28673859361006504</v>
      </c>
      <c r="M21" s="539">
        <f t="shared" si="0"/>
        <v>0.30861783406744481</v>
      </c>
      <c r="N21" s="539">
        <f t="shared" si="0"/>
        <v>0.32418625817785918</v>
      </c>
      <c r="O21" s="539">
        <f t="shared" si="0"/>
        <v>0.33251533454014637</v>
      </c>
      <c r="P21" s="500"/>
      <c r="Q21" s="500"/>
      <c r="R21" s="500"/>
    </row>
    <row r="22" spans="2:19" ht="16">
      <c r="B22" s="500"/>
      <c r="C22" s="540"/>
      <c r="D22" s="541"/>
      <c r="E22" s="541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00"/>
      <c r="Q22" s="500"/>
      <c r="R22" s="500"/>
    </row>
    <row r="23" spans="2:19" ht="16">
      <c r="B23" s="500"/>
      <c r="C23" s="536" t="s">
        <v>461</v>
      </c>
      <c r="D23" s="537"/>
      <c r="E23" s="523" t="s">
        <v>111</v>
      </c>
      <c r="F23" s="523"/>
      <c r="G23" s="538">
        <f>Model!H68</f>
        <v>114856</v>
      </c>
      <c r="H23" s="538">
        <f>Model!I68</f>
        <v>183615</v>
      </c>
      <c r="I23" s="538">
        <f>Model!J68</f>
        <v>276215</v>
      </c>
      <c r="J23" s="538">
        <f>Model!K68</f>
        <v>391554</v>
      </c>
      <c r="K23" s="538">
        <f>Model!L68</f>
        <v>533958.6994019195</v>
      </c>
      <c r="L23" s="538">
        <f>Model!M68</f>
        <v>724541.55314597383</v>
      </c>
      <c r="M23" s="538">
        <f>Model!N68</f>
        <v>915453.23941906565</v>
      </c>
      <c r="N23" s="538">
        <f>Model!O68</f>
        <v>1168936.6496558776</v>
      </c>
      <c r="O23" s="538">
        <f>Model!P68</f>
        <v>1499936.1585216084</v>
      </c>
      <c r="P23" s="500"/>
      <c r="Q23" s="525">
        <f>(O23/J23)^(1/YEARFRAC(J$7,O$7,))-1</f>
        <v>0.30814601314434253</v>
      </c>
      <c r="R23" s="500"/>
    </row>
    <row r="24" spans="2:19" ht="16">
      <c r="B24" s="500"/>
      <c r="C24" s="527" t="s">
        <v>462</v>
      </c>
      <c r="D24" s="532"/>
      <c r="E24" s="523" t="s">
        <v>93</v>
      </c>
      <c r="F24" s="523"/>
      <c r="G24" s="539"/>
      <c r="H24" s="539">
        <f>H23/H20</f>
        <v>0.47222193646613447</v>
      </c>
      <c r="I24" s="539">
        <f t="shared" ref="I24:O24" si="1">I23/I20</f>
        <v>0.49525481287305706</v>
      </c>
      <c r="J24" s="539">
        <f t="shared" si="1"/>
        <v>0.50063289682631007</v>
      </c>
      <c r="K24" s="539">
        <f t="shared" si="1"/>
        <v>0.54999999999999993</v>
      </c>
      <c r="L24" s="539">
        <f t="shared" si="1"/>
        <v>0.58000000000000007</v>
      </c>
      <c r="M24" s="539">
        <f t="shared" si="1"/>
        <v>0.55999999999999994</v>
      </c>
      <c r="N24" s="539">
        <f t="shared" si="1"/>
        <v>0.53999999999999992</v>
      </c>
      <c r="O24" s="539">
        <f t="shared" si="1"/>
        <v>0.51999999999999991</v>
      </c>
      <c r="P24" s="500"/>
      <c r="Q24" s="500"/>
      <c r="R24" s="500"/>
    </row>
    <row r="25" spans="2:19" ht="16">
      <c r="B25" s="500"/>
      <c r="C25" s="540"/>
      <c r="D25" s="541"/>
      <c r="E25" s="541"/>
      <c r="F25" s="541"/>
      <c r="G25" s="538"/>
      <c r="H25" s="538"/>
      <c r="I25" s="538"/>
      <c r="J25" s="538"/>
      <c r="K25" s="538"/>
      <c r="L25" s="538"/>
      <c r="M25" s="538"/>
      <c r="N25" s="538"/>
      <c r="O25" s="538"/>
      <c r="P25" s="500"/>
      <c r="Q25" s="500"/>
      <c r="R25" s="500"/>
    </row>
    <row r="26" spans="2:19" ht="16">
      <c r="B26" s="500"/>
      <c r="C26" s="536" t="s">
        <v>463</v>
      </c>
      <c r="D26" s="537"/>
      <c r="E26" s="523" t="s">
        <v>111</v>
      </c>
      <c r="F26" s="523"/>
      <c r="G26" s="538">
        <f>Model!H95</f>
        <v>47616</v>
      </c>
      <c r="H26" s="538">
        <f>Model!I95</f>
        <v>-8538</v>
      </c>
      <c r="I26" s="538">
        <f>Model!J95</f>
        <v>86235</v>
      </c>
      <c r="J26" s="538">
        <f>Model!K95</f>
        <v>115969</v>
      </c>
      <c r="K26" s="538">
        <f>Model!L95</f>
        <v>194917.95034674829</v>
      </c>
      <c r="L26" s="538">
        <f>Model!M95</f>
        <v>276757.90526276286</v>
      </c>
      <c r="M26" s="538">
        <f>Model!N95</f>
        <v>338706.22850970208</v>
      </c>
      <c r="N26" s="538">
        <f>Model!O95</f>
        <v>417627.76642176643</v>
      </c>
      <c r="O26" s="538">
        <f>Model!P95</f>
        <v>508802.82760904025</v>
      </c>
      <c r="P26" s="500"/>
      <c r="Q26" s="525">
        <f>(O26/J26)^(1/YEARFRAC(J$7,O$7,))-1</f>
        <v>0.34413076275035359</v>
      </c>
      <c r="R26" s="500"/>
    </row>
    <row r="27" spans="2:19" ht="16">
      <c r="B27" s="500"/>
      <c r="C27" s="561" t="s">
        <v>464</v>
      </c>
      <c r="D27" s="522"/>
      <c r="E27" s="523" t="s">
        <v>465</v>
      </c>
      <c r="F27" s="523"/>
      <c r="G27" s="542">
        <f>Model!H103</f>
        <v>0.82588222193815564</v>
      </c>
      <c r="H27" s="542">
        <f>Model!I103</f>
        <v>-0.14413537177911129</v>
      </c>
      <c r="I27" s="542">
        <f>Model!J103</f>
        <v>1.4333162635147836</v>
      </c>
      <c r="J27" s="542">
        <f>Model!K103</f>
        <v>1.8499473501433215</v>
      </c>
      <c r="K27" s="542">
        <f>Model!L103</f>
        <v>3.1093477199883979</v>
      </c>
      <c r="L27" s="542">
        <f>Model!M103</f>
        <v>4.4148656405769175</v>
      </c>
      <c r="M27" s="542">
        <f>Model!N103</f>
        <v>5.4030705611720524</v>
      </c>
      <c r="N27" s="542">
        <f>Model!O103</f>
        <v>6.6620336455278633</v>
      </c>
      <c r="O27" s="542">
        <f>Model!P103</f>
        <v>8.1164659752241821</v>
      </c>
      <c r="P27" s="500"/>
      <c r="Q27" s="525"/>
      <c r="R27" s="500"/>
    </row>
    <row r="28" spans="2:19" ht="16">
      <c r="B28" s="500"/>
      <c r="C28" s="540"/>
      <c r="D28" s="541"/>
      <c r="E28" s="541"/>
      <c r="F28" s="541"/>
      <c r="G28" s="538"/>
      <c r="H28" s="538"/>
      <c r="I28" s="538"/>
      <c r="J28" s="538"/>
      <c r="K28" s="538"/>
      <c r="L28" s="538"/>
      <c r="M28" s="538"/>
      <c r="N28" s="538"/>
      <c r="O28" s="538"/>
      <c r="P28" s="500"/>
      <c r="Q28" s="500"/>
      <c r="R28" s="500"/>
    </row>
    <row r="29" spans="2:19" ht="16">
      <c r="B29" s="500"/>
      <c r="C29" s="543" t="s">
        <v>466</v>
      </c>
      <c r="D29" s="522"/>
      <c r="E29" s="523" t="s">
        <v>111</v>
      </c>
      <c r="F29" s="523"/>
      <c r="G29" s="538">
        <f>Drivers!H86</f>
        <v>9712</v>
      </c>
      <c r="H29" s="538">
        <f>Drivers!I86</f>
        <v>92520</v>
      </c>
      <c r="I29" s="538">
        <f>Drivers!J86</f>
        <v>64338</v>
      </c>
      <c r="J29" s="538">
        <f>Drivers!K86</f>
        <v>85948</v>
      </c>
      <c r="K29" s="538">
        <f>Drivers!L86</f>
        <v>73894.088209539186</v>
      </c>
      <c r="L29" s="538">
        <f>Drivers!M86</f>
        <v>73516.501318319089</v>
      </c>
      <c r="M29" s="538">
        <f>Drivers!N86</f>
        <v>73998.58981683063</v>
      </c>
      <c r="N29" s="538">
        <f>Drivers!O86</f>
        <v>83578.410540153331</v>
      </c>
      <c r="O29" s="538">
        <f>Drivers!P86</f>
        <v>114420.76131480069</v>
      </c>
      <c r="P29" s="500"/>
      <c r="Q29" s="525">
        <f>(O29/J29)^(1/YEARFRAC(J$7,O$7,))-1</f>
        <v>5.8897228442543303E-2</v>
      </c>
      <c r="R29" s="500"/>
    </row>
    <row r="30" spans="2:19" ht="16">
      <c r="B30" s="500"/>
      <c r="C30" s="532" t="s">
        <v>467</v>
      </c>
      <c r="D30" s="522"/>
      <c r="E30" s="523" t="s">
        <v>93</v>
      </c>
      <c r="F30" s="523"/>
      <c r="G30" s="544"/>
      <c r="H30" s="544"/>
      <c r="I30" s="544"/>
      <c r="J30" s="544"/>
      <c r="K30" s="544"/>
      <c r="L30" s="544"/>
      <c r="M30" s="544"/>
      <c r="N30" s="544"/>
      <c r="O30" s="544"/>
      <c r="P30" s="500"/>
      <c r="Q30" s="525"/>
      <c r="R30" s="500"/>
    </row>
    <row r="31" spans="2:19" ht="16">
      <c r="B31" s="500"/>
      <c r="C31" s="532"/>
      <c r="D31" s="522"/>
      <c r="E31" s="523"/>
      <c r="F31" s="523"/>
      <c r="G31" s="544"/>
      <c r="H31" s="544"/>
      <c r="I31" s="544"/>
      <c r="J31" s="544"/>
      <c r="K31" s="544"/>
      <c r="L31" s="544"/>
      <c r="M31" s="544"/>
      <c r="N31" s="544"/>
      <c r="O31" s="544"/>
      <c r="P31" s="500"/>
      <c r="Q31" s="525"/>
      <c r="R31" s="500"/>
    </row>
    <row r="32" spans="2:19" ht="16">
      <c r="B32" s="500"/>
      <c r="C32" s="557" t="s">
        <v>468</v>
      </c>
      <c r="D32" s="522"/>
      <c r="E32" s="523" t="s">
        <v>111</v>
      </c>
      <c r="F32" s="523"/>
      <c r="G32" s="544">
        <f>Model!H178</f>
        <v>-40093</v>
      </c>
      <c r="H32" s="544">
        <f>Model!I178</f>
        <v>-62194</v>
      </c>
      <c r="I32" s="544">
        <f>Model!J178</f>
        <v>-75323</v>
      </c>
      <c r="J32" s="544">
        <f>Model!K178</f>
        <v>152450</v>
      </c>
      <c r="K32" s="544">
        <f>Model!L178</f>
        <v>206043.47821433542</v>
      </c>
      <c r="L32" s="544">
        <f>Model!M178</f>
        <v>310379.79137765674</v>
      </c>
      <c r="M32" s="544">
        <f>Model!N178</f>
        <v>310325.44686645764</v>
      </c>
      <c r="N32" s="544">
        <f>Model!O178</f>
        <v>377328.40149458568</v>
      </c>
      <c r="O32" s="544">
        <f>Model!P178</f>
        <v>462634.85375784774</v>
      </c>
      <c r="P32" s="500"/>
      <c r="Q32" s="525">
        <f>(O32/J32)^(1/YEARFRAC(J$7,O$7,))-1</f>
        <v>0.24859670332162564</v>
      </c>
      <c r="R32" s="500"/>
    </row>
    <row r="33" spans="2:18" ht="16">
      <c r="B33" s="500"/>
      <c r="C33" s="557" t="s">
        <v>469</v>
      </c>
      <c r="D33" s="522"/>
      <c r="E33" s="523" t="s">
        <v>111</v>
      </c>
      <c r="F33" s="523"/>
      <c r="G33" s="544">
        <f>Model!H185</f>
        <v>-11280</v>
      </c>
      <c r="H33" s="544">
        <f>Model!I185</f>
        <v>-265670</v>
      </c>
      <c r="I33" s="544">
        <f>Model!J185</f>
        <v>1497</v>
      </c>
      <c r="J33" s="544">
        <f>Model!K185</f>
        <v>-11959</v>
      </c>
      <c r="K33" s="544">
        <f>Model!L185</f>
        <v>-86287.128144294053</v>
      </c>
      <c r="L33" s="544">
        <f>Model!M185</f>
        <v>-102443.91865998547</v>
      </c>
      <c r="M33" s="544">
        <f>Model!N185</f>
        <v>-99322.854453604785</v>
      </c>
      <c r="N33" s="544">
        <f>Model!O185</f>
        <v>-127577.5659433715</v>
      </c>
      <c r="O33" s="544">
        <f>Model!P185</f>
        <v>-146692.90508735488</v>
      </c>
      <c r="P33" s="500"/>
      <c r="Q33" s="525">
        <f>(O33/J33)^(1/YEARFRAC(J$7,O$7,))-1</f>
        <v>0.6509839401044053</v>
      </c>
      <c r="R33" s="500"/>
    </row>
    <row r="34" spans="2:18" ht="16">
      <c r="B34" s="500"/>
      <c r="C34" s="557" t="s">
        <v>470</v>
      </c>
      <c r="D34" s="522"/>
      <c r="E34" s="523" t="s">
        <v>111</v>
      </c>
      <c r="F34" s="523"/>
      <c r="G34" s="544">
        <f>Model!H193</f>
        <v>538766</v>
      </c>
      <c r="H34" s="544">
        <f>Model!I193</f>
        <v>45871</v>
      </c>
      <c r="I34" s="544">
        <f>Model!J193</f>
        <v>18530</v>
      </c>
      <c r="J34" s="544">
        <f>Model!K193</f>
        <v>92481</v>
      </c>
      <c r="K34" s="544">
        <f>Model!L193</f>
        <v>11314.978060405047</v>
      </c>
      <c r="L34" s="544">
        <f>Model!M193</f>
        <v>-10531.320483186588</v>
      </c>
      <c r="M34" s="544">
        <f>Model!N193</f>
        <v>-29140.168045016471</v>
      </c>
      <c r="N34" s="544">
        <f>Model!O193</f>
        <v>9650.6271515740009</v>
      </c>
      <c r="O34" s="544">
        <f>Model!P193</f>
        <v>10930.777323506212</v>
      </c>
      <c r="P34" s="500"/>
      <c r="Q34" s="525">
        <f>(O34/J34)^(1/YEARFRAC(J$7,O$7,))-1</f>
        <v>-0.34759135679537689</v>
      </c>
      <c r="R34" s="500"/>
    </row>
    <row r="35" spans="2:18" ht="16">
      <c r="B35" s="500"/>
      <c r="C35" s="532"/>
      <c r="D35" s="522"/>
      <c r="E35" s="523"/>
      <c r="F35" s="523"/>
      <c r="G35" s="544"/>
      <c r="H35" s="544"/>
      <c r="I35" s="544"/>
      <c r="J35" s="544"/>
      <c r="K35" s="544"/>
      <c r="L35" s="544"/>
      <c r="M35" s="544"/>
      <c r="N35" s="544"/>
      <c r="O35" s="544"/>
      <c r="P35" s="500"/>
      <c r="Q35" s="525"/>
      <c r="R35" s="500"/>
    </row>
    <row r="36" spans="2:18" ht="16">
      <c r="B36" s="500"/>
      <c r="C36" s="560" t="s">
        <v>471</v>
      </c>
      <c r="D36" s="522"/>
      <c r="E36" s="523" t="s">
        <v>111</v>
      </c>
      <c r="F36" s="523"/>
      <c r="G36" s="545">
        <f>Model!H120</f>
        <v>1052179</v>
      </c>
      <c r="H36" s="545">
        <f>Model!I120</f>
        <v>1235500</v>
      </c>
      <c r="I36" s="545">
        <f>Model!J120</f>
        <v>1490908</v>
      </c>
      <c r="J36" s="545">
        <f>Model!K120</f>
        <v>1855721</v>
      </c>
      <c r="K36" s="545">
        <f>Model!L120</f>
        <v>2255428.2905952581</v>
      </c>
      <c r="L36" s="545">
        <f>Model!M120</f>
        <v>2822287.9291196438</v>
      </c>
      <c r="M36" s="545">
        <f>Model!N120</f>
        <v>3472027.3919645944</v>
      </c>
      <c r="N36" s="545">
        <f>Model!O120</f>
        <v>4346109.3873700164</v>
      </c>
      <c r="O36" s="545">
        <f>Model!P120</f>
        <v>5462369.7543991618</v>
      </c>
      <c r="P36" s="500"/>
      <c r="Q36" s="525">
        <f>(O36/J36)^(1/YEARFRAC(J$7,O$7,))-1</f>
        <v>0.24100543202981384</v>
      </c>
      <c r="R36" s="500"/>
    </row>
    <row r="37" spans="2:18" ht="16">
      <c r="B37" s="500"/>
      <c r="C37" s="560" t="s">
        <v>472</v>
      </c>
      <c r="D37" s="541"/>
      <c r="E37" s="523" t="s">
        <v>111</v>
      </c>
      <c r="F37" s="523"/>
      <c r="G37" s="545">
        <f>Model!H131</f>
        <v>22957</v>
      </c>
      <c r="H37" s="545">
        <f>Model!I131</f>
        <v>18687</v>
      </c>
      <c r="I37" s="545">
        <f>Model!J131</f>
        <v>53952</v>
      </c>
      <c r="J37" s="545">
        <f>Model!K131</f>
        <v>105525</v>
      </c>
      <c r="K37" s="545">
        <f>Model!L131</f>
        <v>108714.04410476959</v>
      </c>
      <c r="L37" s="545">
        <f>Model!M131</f>
        <v>83500.469698013185</v>
      </c>
      <c r="M37" s="545">
        <f>Model!N131</f>
        <v>92735.752566565978</v>
      </c>
      <c r="N37" s="545">
        <f>Model!O131</f>
        <v>98332.803183880023</v>
      </c>
      <c r="O37" s="545">
        <f>Model!P131</f>
        <v>108411.60197880797</v>
      </c>
      <c r="P37" s="500"/>
      <c r="Q37" s="525">
        <f>(O37/J37)^(1/YEARFRAC(J$7,O$7,))-1</f>
        <v>5.4120366309400314E-3</v>
      </c>
      <c r="R37" s="500"/>
    </row>
    <row r="38" spans="2:18" ht="16">
      <c r="B38" s="500"/>
      <c r="C38" s="560" t="s">
        <v>473</v>
      </c>
      <c r="D38" s="522"/>
      <c r="E38" s="523" t="s">
        <v>111</v>
      </c>
      <c r="F38" s="523"/>
      <c r="G38" s="545">
        <f>Model!H109</f>
        <v>563067</v>
      </c>
      <c r="H38" s="545">
        <f>Model!I109</f>
        <v>248451</v>
      </c>
      <c r="I38" s="545">
        <f>Model!J109</f>
        <v>183173</v>
      </c>
      <c r="J38" s="545">
        <f>Model!K109</f>
        <v>411310</v>
      </c>
      <c r="K38" s="545">
        <f>Model!L109</f>
        <v>533558.82813044637</v>
      </c>
      <c r="L38" s="545">
        <f>Model!M109</f>
        <v>718958.25536493107</v>
      </c>
      <c r="M38" s="545">
        <f>Model!N109</f>
        <v>893970.0234827674</v>
      </c>
      <c r="N38" s="545">
        <f>Model!O109</f>
        <v>1145243.1658730556</v>
      </c>
      <c r="O38" s="545">
        <f>Model!P109</f>
        <v>1463164.2414764296</v>
      </c>
      <c r="P38" s="500"/>
      <c r="Q38" s="525">
        <f>(O38/J38)^(1/YEARFRAC(J$7,O$7,))-1</f>
        <v>0.28891643692202207</v>
      </c>
      <c r="R38" s="500"/>
    </row>
    <row r="39" spans="2:18" ht="16">
      <c r="B39" s="500"/>
      <c r="C39" s="540"/>
      <c r="D39" s="532"/>
      <c r="E39" s="523"/>
      <c r="F39" s="523"/>
      <c r="G39" s="544"/>
      <c r="H39" s="544"/>
      <c r="I39" s="544"/>
      <c r="J39" s="544"/>
      <c r="K39" s="544"/>
      <c r="L39" s="544"/>
      <c r="M39" s="544"/>
      <c r="N39" s="544"/>
      <c r="O39" s="544"/>
      <c r="P39" s="500"/>
      <c r="Q39" s="500"/>
      <c r="R39" s="500"/>
    </row>
    <row r="40" spans="2:18" ht="16">
      <c r="B40" s="500"/>
      <c r="C40" s="133" t="s">
        <v>256</v>
      </c>
      <c r="D40" s="541"/>
      <c r="E40" s="523" t="s">
        <v>111</v>
      </c>
      <c r="F40" s="523"/>
      <c r="G40" s="545">
        <f>Model!H100</f>
        <v>45408</v>
      </c>
      <c r="H40" s="545">
        <f>Model!I100</f>
        <v>72728</v>
      </c>
      <c r="I40" s="545">
        <f>Model!J100</f>
        <v>124308</v>
      </c>
      <c r="J40" s="545">
        <f>Model!K100</f>
        <v>176267</v>
      </c>
      <c r="K40" s="545">
        <f>Model!L100</f>
        <v>267877.87517877895</v>
      </c>
      <c r="L40" s="545">
        <f>Model!M100</f>
        <v>379968.54875773826</v>
      </c>
      <c r="M40" s="545">
        <f>Model!N100</f>
        <v>465364.37585748301</v>
      </c>
      <c r="N40" s="545">
        <f>Model!O100</f>
        <v>573331.77429419884</v>
      </c>
      <c r="O40" s="545">
        <f>Model!P100</f>
        <v>698852.23077888647</v>
      </c>
      <c r="P40" s="500"/>
      <c r="Q40" s="525">
        <f>(O40/J40)^(1/YEARFRAC(J$7,O$7,))-1</f>
        <v>0.31717314795432783</v>
      </c>
      <c r="R40" s="500"/>
    </row>
    <row r="41" spans="2:18" ht="16">
      <c r="B41" s="500"/>
      <c r="C41" s="135" t="s">
        <v>474</v>
      </c>
      <c r="D41" s="522"/>
      <c r="E41" s="523" t="s">
        <v>93</v>
      </c>
      <c r="F41" s="523"/>
      <c r="G41" s="546">
        <f>G40/G20</f>
        <v>0.17481357145882018</v>
      </c>
      <c r="H41" s="546">
        <f t="shared" ref="H41:O41" si="2">H40/H20</f>
        <v>0.18704221874742818</v>
      </c>
      <c r="I41" s="546">
        <f t="shared" si="2"/>
        <v>0.22288483709655152</v>
      </c>
      <c r="J41" s="546">
        <f t="shared" si="2"/>
        <v>0.22537136340040761</v>
      </c>
      <c r="K41" s="546">
        <f t="shared" si="2"/>
        <v>0.27592551917096597</v>
      </c>
      <c r="L41" s="546">
        <f t="shared" si="2"/>
        <v>0.30416717622693445</v>
      </c>
      <c r="M41" s="546">
        <f t="shared" si="2"/>
        <v>0.2846721593836582</v>
      </c>
      <c r="N41" s="546">
        <f t="shared" si="2"/>
        <v>0.26485537792831632</v>
      </c>
      <c r="O41" s="546">
        <f t="shared" si="2"/>
        <v>0.24227908497332598</v>
      </c>
      <c r="P41" s="500"/>
      <c r="Q41" s="525"/>
      <c r="R41" s="500"/>
    </row>
    <row r="42" spans="2:18" ht="16">
      <c r="B42" s="500"/>
      <c r="C42" s="540"/>
      <c r="D42" s="522"/>
      <c r="E42" s="523"/>
      <c r="F42" s="523"/>
      <c r="G42" s="533"/>
      <c r="H42" s="533"/>
      <c r="I42" s="533"/>
      <c r="J42" s="533"/>
      <c r="K42" s="533"/>
      <c r="L42" s="533"/>
      <c r="M42" s="533"/>
      <c r="N42" s="533"/>
      <c r="O42" s="533"/>
      <c r="P42" s="500"/>
      <c r="Q42" s="525"/>
      <c r="R42" s="500"/>
    </row>
    <row r="43" spans="2:18" ht="16">
      <c r="B43" s="500"/>
      <c r="C43" s="511"/>
      <c r="D43" s="511"/>
      <c r="E43" s="512"/>
      <c r="F43" s="512"/>
      <c r="G43" s="513"/>
      <c r="H43" s="513"/>
      <c r="I43" s="513"/>
      <c r="J43" s="547" t="s">
        <v>240</v>
      </c>
      <c r="K43" s="513" t="s">
        <v>79</v>
      </c>
      <c r="L43" s="513"/>
      <c r="M43" s="558"/>
      <c r="N43" s="558"/>
      <c r="O43" s="558"/>
      <c r="P43" s="500"/>
      <c r="Q43" s="500"/>
      <c r="R43" s="500"/>
    </row>
    <row r="44" spans="2:18" ht="16">
      <c r="B44" s="500"/>
      <c r="C44" s="548" t="s">
        <v>475</v>
      </c>
      <c r="D44" s="548"/>
      <c r="E44" s="549" t="s">
        <v>80</v>
      </c>
      <c r="F44" s="549"/>
      <c r="G44" s="295"/>
      <c r="H44" s="295"/>
      <c r="I44" s="295"/>
      <c r="J44" s="550">
        <f>LTM</f>
        <v>45747</v>
      </c>
      <c r="K44" s="295">
        <f>K7</f>
        <v>46022</v>
      </c>
      <c r="L44" s="295">
        <f>L7</f>
        <v>46387</v>
      </c>
      <c r="M44" s="559"/>
      <c r="N44" s="559"/>
      <c r="O44" s="559"/>
      <c r="P44" s="500"/>
      <c r="Q44" s="500"/>
      <c r="R44" s="500"/>
    </row>
    <row r="45" spans="2:18" ht="16">
      <c r="B45" s="500"/>
      <c r="C45" s="522" t="s">
        <v>476</v>
      </c>
      <c r="E45" s="551" t="s">
        <v>477</v>
      </c>
      <c r="F45" s="551"/>
      <c r="G45" s="552"/>
      <c r="H45" s="552"/>
      <c r="I45" s="552"/>
      <c r="J45" s="562" cm="1">
        <f t="array" ref="J45:L45">PubComps!N36:P36</f>
        <v>2.0872792109924663</v>
      </c>
      <c r="K45" s="562">
        <v>1.5860114082567207</v>
      </c>
      <c r="L45" s="562">
        <v>1.4561912610600316</v>
      </c>
      <c r="M45" s="552"/>
      <c r="N45" s="552"/>
      <c r="O45" s="552"/>
      <c r="P45" s="500"/>
      <c r="Q45" s="500"/>
      <c r="R45" s="500"/>
    </row>
    <row r="46" spans="2:18" ht="16">
      <c r="B46" s="500"/>
      <c r="C46" s="522" t="str">
        <f>"EV / Revenue - "&amp;Company_Name&amp;":"</f>
        <v>EV / Revenue - ACM Research, Inc.:</v>
      </c>
      <c r="E46" s="551" t="s">
        <v>477</v>
      </c>
      <c r="F46" s="551"/>
      <c r="G46" s="552"/>
      <c r="H46" s="552"/>
      <c r="I46" s="552"/>
      <c r="J46" s="562" cm="1">
        <f t="array" ref="J46:L46">PubComps!N40:P40</f>
        <v>1.502186269132971</v>
      </c>
      <c r="K46" s="562">
        <v>1.2413800931466143</v>
      </c>
      <c r="L46" s="562">
        <v>0.96474925001185108</v>
      </c>
      <c r="M46" s="552"/>
      <c r="N46" s="552"/>
      <c r="O46" s="552"/>
      <c r="P46" s="500"/>
      <c r="Q46" s="500"/>
      <c r="R46" s="500"/>
    </row>
    <row r="47" spans="2:18" ht="16">
      <c r="B47" s="500"/>
      <c r="C47" s="522" t="s">
        <v>478</v>
      </c>
      <c r="E47" s="523" t="s">
        <v>93</v>
      </c>
      <c r="F47" s="523"/>
      <c r="G47" s="500"/>
      <c r="H47" s="500"/>
      <c r="I47" s="500"/>
      <c r="J47" s="508"/>
      <c r="K47" s="508"/>
      <c r="L47" s="563">
        <f>PubComps!W17</f>
        <v>7.5697211155378419E-2</v>
      </c>
      <c r="M47" s="500"/>
      <c r="N47" s="500"/>
      <c r="O47" s="500"/>
      <c r="P47" s="500"/>
      <c r="Q47" s="500"/>
      <c r="R47" s="500"/>
    </row>
    <row r="48" spans="2:18" ht="16">
      <c r="B48" s="500"/>
      <c r="C48" s="522" t="str">
        <f>"Projected Revenue Growth - "&amp;Company_Name&amp;":"</f>
        <v>Projected Revenue Growth - ACM Research, Inc.:</v>
      </c>
      <c r="E48" s="523" t="s">
        <v>93</v>
      </c>
      <c r="F48" s="523"/>
      <c r="G48" s="500"/>
      <c r="H48" s="500"/>
      <c r="I48" s="500"/>
      <c r="J48" s="508"/>
      <c r="K48" s="508"/>
      <c r="L48" s="563">
        <f>PubComps!W21</f>
        <v>1.8344075359444822E-2</v>
      </c>
      <c r="M48" s="500"/>
      <c r="N48" s="500"/>
      <c r="O48" s="500"/>
      <c r="P48" s="500"/>
      <c r="Q48" s="500"/>
      <c r="R48" s="500"/>
    </row>
    <row r="49" spans="2:18" ht="16">
      <c r="B49" s="500"/>
      <c r="C49" s="500"/>
      <c r="E49" s="500"/>
      <c r="F49" s="500"/>
      <c r="G49" s="500"/>
      <c r="H49" s="500"/>
      <c r="I49" s="500"/>
      <c r="J49" s="508"/>
      <c r="K49" s="508"/>
      <c r="L49" s="508"/>
      <c r="M49" s="500"/>
      <c r="N49" s="500"/>
      <c r="O49" s="500"/>
      <c r="P49" s="500"/>
      <c r="Q49" s="500"/>
      <c r="R49" s="500"/>
    </row>
    <row r="50" spans="2:18" ht="16">
      <c r="B50" s="500"/>
      <c r="C50" s="522" t="s">
        <v>479</v>
      </c>
      <c r="E50" s="551" t="s">
        <v>477</v>
      </c>
      <c r="F50" s="551"/>
      <c r="G50" s="552"/>
      <c r="H50" s="552"/>
      <c r="I50" s="552"/>
      <c r="J50" s="562" cm="1">
        <f t="array" ref="J50:L50">PubComps!Q36:S36</f>
        <v>12.576123218150867</v>
      </c>
      <c r="K50" s="562">
        <v>10.810136407025583</v>
      </c>
      <c r="L50" s="562">
        <v>9.9894581160365057</v>
      </c>
      <c r="M50" s="552"/>
      <c r="N50" s="552"/>
      <c r="O50" s="552"/>
      <c r="P50" s="500"/>
      <c r="Q50" s="500"/>
      <c r="R50" s="500"/>
    </row>
    <row r="51" spans="2:18" ht="16">
      <c r="B51" s="500"/>
      <c r="C51" s="522" t="str">
        <f>"EV / EBITDA - "&amp;Company_Name&amp;":"</f>
        <v>EV / EBITDA - ACM Research, Inc.:</v>
      </c>
      <c r="E51" s="551" t="s">
        <v>477</v>
      </c>
      <c r="F51" s="551"/>
      <c r="G51" s="552"/>
      <c r="H51" s="552"/>
      <c r="I51" s="552"/>
      <c r="J51" s="562" cm="1">
        <f t="array" ref="J51:L51">PubComps!Q40:S40</f>
        <v>7.4384273546475734</v>
      </c>
      <c r="K51" s="562">
        <v>4.4989680435372996</v>
      </c>
      <c r="L51" s="562">
        <v>3.1717730426377981</v>
      </c>
      <c r="M51" s="552"/>
      <c r="N51" s="552"/>
      <c r="O51" s="552"/>
      <c r="P51" s="500"/>
      <c r="Q51" s="500"/>
      <c r="R51" s="500"/>
    </row>
    <row r="52" spans="2:18" ht="16">
      <c r="B52" s="500"/>
      <c r="C52" s="522" t="s">
        <v>480</v>
      </c>
      <c r="E52" s="523" t="s">
        <v>93</v>
      </c>
      <c r="F52" s="523"/>
      <c r="G52" s="500"/>
      <c r="H52" s="500"/>
      <c r="I52" s="500"/>
      <c r="J52" s="508"/>
      <c r="K52" s="508"/>
      <c r="L52" s="563">
        <f>PubComps!X17</f>
        <v>9.259259259259256E-2</v>
      </c>
      <c r="M52" s="500"/>
      <c r="N52" s="500"/>
      <c r="O52" s="500"/>
      <c r="P52" s="500"/>
      <c r="Q52" s="500"/>
      <c r="R52" s="500"/>
    </row>
    <row r="53" spans="2:18" ht="16">
      <c r="B53" s="500"/>
      <c r="C53" s="522" t="str">
        <f>"Projected EBITDA Growth - "&amp;Company_Name&amp;":"</f>
        <v>Projected EBITDA Growth - ACM Research, Inc.:</v>
      </c>
      <c r="E53" s="523" t="s">
        <v>93</v>
      </c>
      <c r="F53" s="523"/>
      <c r="G53" s="500"/>
      <c r="H53" s="500"/>
      <c r="I53" s="500"/>
      <c r="J53" s="508"/>
      <c r="K53" s="508"/>
      <c r="L53" s="563">
        <f>PubComps!X21</f>
        <v>-4.4585987261146487E-2</v>
      </c>
      <c r="M53" s="500"/>
      <c r="N53" s="500"/>
      <c r="O53" s="500"/>
      <c r="P53" s="500"/>
      <c r="Q53" s="500"/>
      <c r="R53" s="500"/>
    </row>
    <row r="54" spans="2:18" ht="16">
      <c r="B54" s="500"/>
      <c r="C54" s="500"/>
      <c r="E54" s="500"/>
      <c r="F54" s="500"/>
      <c r="G54" s="500"/>
      <c r="H54" s="500"/>
      <c r="I54" s="500"/>
      <c r="J54" s="508"/>
      <c r="K54" s="508"/>
      <c r="L54" s="508"/>
      <c r="M54" s="500"/>
      <c r="N54" s="500"/>
      <c r="O54" s="500"/>
      <c r="P54" s="500"/>
      <c r="Q54" s="500"/>
      <c r="R54" s="500"/>
    </row>
    <row r="55" spans="2:18" ht="16">
      <c r="B55" s="500"/>
      <c r="C55" s="522" t="s">
        <v>481</v>
      </c>
      <c r="E55" s="551" t="s">
        <v>477</v>
      </c>
      <c r="F55" s="551"/>
      <c r="G55" s="552"/>
      <c r="H55" s="552"/>
      <c r="I55" s="552"/>
      <c r="J55" s="562" cm="1">
        <f t="array" ref="J55:L55">PubComps!T36:V36</f>
        <v>15.601433501960045</v>
      </c>
      <c r="K55" s="562">
        <v>17.471139357729648</v>
      </c>
      <c r="L55" s="562">
        <v>14.793678239475124</v>
      </c>
      <c r="M55" s="552"/>
      <c r="N55" s="552"/>
      <c r="O55" s="552"/>
      <c r="P55" s="500"/>
      <c r="Q55" s="500"/>
      <c r="R55" s="500"/>
    </row>
    <row r="56" spans="2:18" ht="16">
      <c r="B56" s="500"/>
      <c r="C56" s="522" t="str">
        <f>"P / E - "&amp;Company_Name&amp;":"</f>
        <v>P / E - ACM Research, Inc.:</v>
      </c>
      <c r="E56" s="551" t="s">
        <v>477</v>
      </c>
      <c r="F56" s="551"/>
      <c r="G56" s="552"/>
      <c r="H56" s="552"/>
      <c r="I56" s="552"/>
      <c r="J56" s="562" cm="1">
        <f t="array" ref="J56:L56">PubComps!T40:V40</f>
        <v>12.854344154625636</v>
      </c>
      <c r="K56" s="562">
        <v>6.8008117836169344</v>
      </c>
      <c r="L56" s="562">
        <v>4.7882029498087189</v>
      </c>
      <c r="M56" s="552"/>
      <c r="N56" s="552"/>
      <c r="O56" s="552"/>
      <c r="P56" s="500"/>
      <c r="Q56" s="500"/>
      <c r="R56" s="500"/>
    </row>
    <row r="57" spans="2:18" ht="16">
      <c r="B57" s="500"/>
      <c r="C57" s="500"/>
      <c r="D57" s="500"/>
      <c r="E57" s="500"/>
      <c r="F57" s="500"/>
      <c r="G57" s="500"/>
      <c r="H57" s="500"/>
      <c r="I57" s="500"/>
      <c r="J57" s="500"/>
      <c r="K57" s="500"/>
      <c r="L57" s="500"/>
      <c r="M57" s="500"/>
      <c r="N57" s="500"/>
      <c r="O57" s="500"/>
      <c r="P57" s="500"/>
      <c r="Q57" s="500"/>
      <c r="R57" s="500"/>
    </row>
    <row r="61" spans="2:18" ht="16">
      <c r="C61" s="14"/>
    </row>
    <row r="62" spans="2:18" ht="16">
      <c r="C62" s="14"/>
    </row>
    <row r="63" spans="2:18" ht="16">
      <c r="C63" s="14"/>
    </row>
    <row r="64" spans="2:18" ht="16">
      <c r="C64" s="14"/>
    </row>
    <row r="65" spans="3:3" ht="16">
      <c r="C65" s="14"/>
    </row>
    <row r="66" spans="3:3" ht="16">
      <c r="C66" s="14"/>
    </row>
    <row r="67" spans="3:3" ht="16">
      <c r="C67" s="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E527F-DB42-4A07-ADD3-08AFB721D800}">
  <dimension ref="B2:Q199"/>
  <sheetViews>
    <sheetView showGridLines="0" topLeftCell="A139" zoomScale="67" workbookViewId="0">
      <selection activeCell="H151" sqref="H151"/>
    </sheetView>
  </sheetViews>
  <sheetFormatPr defaultRowHeight="14.5"/>
  <cols>
    <col min="2" max="2" width="3.453125" customWidth="1"/>
    <col min="3" max="3" width="52.453125" customWidth="1"/>
    <col min="5" max="5" width="6.1796875" bestFit="1" customWidth="1"/>
    <col min="7" max="7" width="8.81640625" bestFit="1" customWidth="1"/>
    <col min="8" max="8" width="13.6328125" bestFit="1" customWidth="1"/>
    <col min="9" max="14" width="12" bestFit="1" customWidth="1"/>
    <col min="15" max="16" width="12.81640625" bestFit="1" customWidth="1"/>
    <col min="17" max="17" width="9.26953125" bestFit="1" customWidth="1"/>
  </cols>
  <sheetData>
    <row r="2" spans="2:17" ht="16">
      <c r="B2" s="16"/>
      <c r="C2" s="16"/>
      <c r="D2" s="16"/>
      <c r="E2" s="16"/>
      <c r="F2" s="16"/>
      <c r="G2" s="16"/>
      <c r="H2" s="17"/>
      <c r="I2" s="17"/>
      <c r="J2" s="18" t="s">
        <v>78</v>
      </c>
      <c r="K2" s="17"/>
      <c r="L2" s="19"/>
      <c r="M2" s="17"/>
      <c r="N2" s="18" t="s">
        <v>79</v>
      </c>
      <c r="O2" s="17"/>
      <c r="P2" s="17"/>
      <c r="Q2" s="10"/>
    </row>
    <row r="3" spans="2:17" ht="16">
      <c r="B3" s="20" t="str">
        <f>Company_Name</f>
        <v>ACM Research, Inc.</v>
      </c>
      <c r="C3" s="16"/>
      <c r="D3" s="16"/>
      <c r="E3" s="21" t="s">
        <v>80</v>
      </c>
      <c r="F3" s="22"/>
      <c r="G3" s="22"/>
      <c r="H3" s="23">
        <v>44561</v>
      </c>
      <c r="I3" s="23">
        <f>EOMONTH(H3,12)</f>
        <v>44926</v>
      </c>
      <c r="J3" s="23">
        <f t="shared" ref="J3:P3" si="0">EOMONTH(I3,12)</f>
        <v>45291</v>
      </c>
      <c r="K3" s="23">
        <f t="shared" si="0"/>
        <v>45657</v>
      </c>
      <c r="L3" s="24">
        <f t="shared" si="0"/>
        <v>46022</v>
      </c>
      <c r="M3" s="23">
        <f t="shared" si="0"/>
        <v>46387</v>
      </c>
      <c r="N3" s="25">
        <f t="shared" si="0"/>
        <v>46752</v>
      </c>
      <c r="O3" s="23">
        <f t="shared" si="0"/>
        <v>47118</v>
      </c>
      <c r="P3" s="23">
        <f t="shared" si="0"/>
        <v>47483</v>
      </c>
      <c r="Q3" s="62"/>
    </row>
    <row r="4" spans="2:17" ht="16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2:17" ht="16">
      <c r="B5" s="10"/>
      <c r="C5" s="10" t="s">
        <v>81</v>
      </c>
      <c r="D5" s="10"/>
      <c r="E5" s="26" t="s">
        <v>82</v>
      </c>
      <c r="F5" s="10"/>
      <c r="G5" s="27" t="s">
        <v>103</v>
      </c>
      <c r="H5" s="41"/>
      <c r="I5" s="10"/>
      <c r="J5" s="42" t="s">
        <v>83</v>
      </c>
      <c r="K5" s="43"/>
      <c r="L5" s="44"/>
      <c r="M5" s="44"/>
      <c r="N5" s="28">
        <v>45657</v>
      </c>
      <c r="O5" s="10"/>
      <c r="P5" s="10"/>
      <c r="Q5" s="10"/>
    </row>
    <row r="6" spans="2:17" ht="16">
      <c r="B6" s="10"/>
      <c r="C6" s="10" t="s">
        <v>84</v>
      </c>
      <c r="D6" s="10"/>
      <c r="E6" s="26" t="s">
        <v>82</v>
      </c>
      <c r="F6" s="10"/>
      <c r="G6" s="29" t="s">
        <v>102</v>
      </c>
      <c r="H6" s="10"/>
      <c r="I6" s="10"/>
      <c r="J6" s="42" t="s">
        <v>85</v>
      </c>
      <c r="K6" s="43"/>
      <c r="L6" s="44"/>
      <c r="M6" s="44"/>
      <c r="N6" s="28">
        <f>EOMONTH(N5,12)</f>
        <v>46022</v>
      </c>
      <c r="O6" s="10"/>
      <c r="P6" s="10"/>
      <c r="Q6" s="10"/>
    </row>
    <row r="7" spans="2:17" ht="16">
      <c r="B7" s="10"/>
      <c r="C7" s="10" t="s">
        <v>86</v>
      </c>
      <c r="D7" s="10"/>
      <c r="E7" s="26" t="s">
        <v>87</v>
      </c>
      <c r="F7" s="10"/>
      <c r="G7" s="30">
        <v>21.44</v>
      </c>
      <c r="H7" s="10"/>
      <c r="I7" s="10"/>
      <c r="J7" s="42" t="s">
        <v>88</v>
      </c>
      <c r="K7" s="43"/>
      <c r="L7" s="44"/>
      <c r="M7" s="44"/>
      <c r="N7" s="28">
        <v>45657</v>
      </c>
      <c r="O7" s="10"/>
      <c r="P7" s="10"/>
      <c r="Q7" s="10"/>
    </row>
    <row r="8" spans="2:17" ht="16">
      <c r="B8" s="10"/>
      <c r="C8" s="31" t="s">
        <v>89</v>
      </c>
      <c r="D8" s="10"/>
      <c r="E8" s="26" t="s">
        <v>90</v>
      </c>
      <c r="F8" s="10"/>
      <c r="G8" s="45">
        <v>163.4</v>
      </c>
      <c r="H8" s="10"/>
      <c r="I8" s="10"/>
      <c r="J8" s="42" t="s">
        <v>91</v>
      </c>
      <c r="K8" s="43"/>
      <c r="L8" s="44"/>
      <c r="M8" s="44"/>
      <c r="N8" s="28">
        <v>45811</v>
      </c>
      <c r="O8" s="10"/>
      <c r="P8" s="10"/>
      <c r="Q8" s="10"/>
    </row>
    <row r="9" spans="2:17" ht="16">
      <c r="B9" s="10"/>
      <c r="C9" s="31"/>
      <c r="D9" s="10"/>
      <c r="E9" s="31"/>
      <c r="F9" s="10"/>
      <c r="G9" s="31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2:17" ht="16">
      <c r="B10" s="10"/>
      <c r="C10" s="31" t="s">
        <v>92</v>
      </c>
      <c r="D10" s="10"/>
      <c r="E10" s="26" t="s">
        <v>93</v>
      </c>
      <c r="F10" s="10"/>
      <c r="G10" s="32">
        <f>L32</f>
        <v>0.20887976144737941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pans="2:17" ht="16">
      <c r="B11" s="10"/>
      <c r="C11" s="31" t="s">
        <v>94</v>
      </c>
      <c r="D11" s="10"/>
      <c r="E11" s="26" t="s">
        <v>93</v>
      </c>
      <c r="F11" s="10"/>
      <c r="G11" s="33">
        <f>Discount_Rate</f>
        <v>9.4345893405789027E-2</v>
      </c>
      <c r="H11" s="10"/>
      <c r="I11" s="10"/>
      <c r="J11" s="42" t="s">
        <v>95</v>
      </c>
      <c r="K11" s="43"/>
      <c r="L11" s="44"/>
      <c r="M11" s="44"/>
      <c r="N11" s="28">
        <v>45747</v>
      </c>
      <c r="O11" s="10"/>
      <c r="P11" s="10"/>
      <c r="Q11" s="10"/>
    </row>
    <row r="12" spans="2:17" ht="16">
      <c r="B12" s="10"/>
      <c r="C12" s="31"/>
      <c r="D12" s="10"/>
      <c r="E12" s="31"/>
      <c r="F12" s="10"/>
      <c r="G12" s="31"/>
      <c r="H12" s="10"/>
      <c r="I12" s="10"/>
      <c r="J12" s="42" t="s">
        <v>96</v>
      </c>
      <c r="K12" s="43"/>
      <c r="L12" s="44"/>
      <c r="M12" s="44"/>
      <c r="N12" s="28">
        <f>EOMONTH(N5,12)</f>
        <v>46022</v>
      </c>
      <c r="O12" s="10"/>
      <c r="P12" s="10"/>
      <c r="Q12" s="10"/>
    </row>
    <row r="13" spans="2:17" ht="16">
      <c r="B13" s="10"/>
      <c r="C13" s="31" t="s">
        <v>97</v>
      </c>
      <c r="D13" s="10"/>
      <c r="E13" s="26" t="s">
        <v>98</v>
      </c>
      <c r="F13" s="10"/>
      <c r="G13" s="34">
        <v>1000</v>
      </c>
      <c r="H13" s="10"/>
      <c r="I13" s="10"/>
      <c r="J13" s="42" t="s">
        <v>99</v>
      </c>
      <c r="K13" s="43"/>
      <c r="L13" s="44"/>
      <c r="M13" s="44"/>
      <c r="N13" s="28">
        <f t="shared" ref="N13:N14" si="1">EOMONTH(N12,12)</f>
        <v>46387</v>
      </c>
      <c r="O13" s="10"/>
      <c r="P13" s="10"/>
      <c r="Q13" s="10"/>
    </row>
    <row r="14" spans="2:17" ht="16">
      <c r="B14" s="10"/>
      <c r="C14" s="10"/>
      <c r="D14" s="10"/>
      <c r="E14" s="10"/>
      <c r="F14" s="10"/>
      <c r="G14" s="35"/>
      <c r="H14" s="10"/>
      <c r="I14" s="10"/>
      <c r="J14" s="42" t="s">
        <v>100</v>
      </c>
      <c r="K14" s="43"/>
      <c r="L14" s="43"/>
      <c r="M14" s="43"/>
      <c r="N14" s="28">
        <f t="shared" si="1"/>
        <v>46752</v>
      </c>
      <c r="O14" s="10"/>
      <c r="P14" s="10"/>
      <c r="Q14" s="10"/>
    </row>
    <row r="15" spans="2:17" ht="16">
      <c r="B15" s="10"/>
      <c r="C15" s="10"/>
      <c r="D15" s="10"/>
      <c r="E15" s="10"/>
      <c r="F15" s="10"/>
      <c r="G15" s="35"/>
      <c r="H15" s="10"/>
      <c r="I15" s="10"/>
      <c r="J15" s="42"/>
      <c r="K15" s="43"/>
      <c r="L15" s="43"/>
      <c r="M15" s="43"/>
      <c r="N15" s="36"/>
      <c r="O15" s="10"/>
      <c r="P15" s="10"/>
      <c r="Q15" s="10"/>
    </row>
    <row r="16" spans="2:17" ht="16">
      <c r="B16" s="16"/>
      <c r="C16" s="16"/>
      <c r="D16" s="16"/>
      <c r="E16" s="16"/>
      <c r="F16" s="16"/>
      <c r="G16" s="16"/>
      <c r="H16" s="17"/>
      <c r="I16" s="17"/>
      <c r="J16" s="18" t="s">
        <v>78</v>
      </c>
      <c r="K16" s="17"/>
      <c r="L16" s="19"/>
      <c r="M16" s="17"/>
      <c r="N16" s="18" t="s">
        <v>79</v>
      </c>
      <c r="O16" s="17"/>
      <c r="P16" s="17"/>
      <c r="Q16" s="10"/>
    </row>
    <row r="17" spans="2:17" ht="16">
      <c r="B17" s="20" t="str">
        <f>"Model Drivers - "&amp;Company_Name</f>
        <v>Model Drivers - ACM Research, Inc.</v>
      </c>
      <c r="C17" s="16"/>
      <c r="D17" s="16"/>
      <c r="E17" s="20" t="s">
        <v>80</v>
      </c>
      <c r="F17" s="22"/>
      <c r="G17" s="22"/>
      <c r="H17" s="23">
        <f>H3</f>
        <v>44561</v>
      </c>
      <c r="I17" s="23">
        <f t="shared" ref="I17:P17" si="2">I3</f>
        <v>44926</v>
      </c>
      <c r="J17" s="23">
        <f t="shared" si="2"/>
        <v>45291</v>
      </c>
      <c r="K17" s="23">
        <f t="shared" si="2"/>
        <v>45657</v>
      </c>
      <c r="L17" s="37">
        <f t="shared" si="2"/>
        <v>46022</v>
      </c>
      <c r="M17" s="23">
        <f t="shared" si="2"/>
        <v>46387</v>
      </c>
      <c r="N17" s="23">
        <f t="shared" si="2"/>
        <v>46752</v>
      </c>
      <c r="O17" s="23">
        <f t="shared" si="2"/>
        <v>47118</v>
      </c>
      <c r="P17" s="23">
        <f t="shared" si="2"/>
        <v>47483</v>
      </c>
      <c r="Q17" s="62"/>
    </row>
    <row r="18" spans="2:17" ht="16">
      <c r="B18" s="10"/>
      <c r="C18" s="46" t="s">
        <v>101</v>
      </c>
      <c r="D18" s="47"/>
      <c r="E18" s="47"/>
      <c r="F18" s="47"/>
      <c r="G18" s="38"/>
      <c r="H18" s="47"/>
      <c r="I18" s="47"/>
      <c r="J18" s="48"/>
      <c r="K18" s="49"/>
      <c r="L18" s="49"/>
      <c r="M18" s="49"/>
      <c r="N18" s="39"/>
      <c r="O18" s="47"/>
      <c r="P18" s="47"/>
      <c r="Q18" s="10"/>
    </row>
    <row r="19" spans="2:17" ht="16">
      <c r="B19" s="10"/>
      <c r="C19" s="52"/>
      <c r="D19" s="10"/>
      <c r="E19" s="10"/>
      <c r="F19" s="10"/>
      <c r="G19" s="35"/>
      <c r="H19" s="10"/>
      <c r="I19" s="10"/>
      <c r="J19" s="42"/>
      <c r="K19" s="43"/>
      <c r="L19" s="43"/>
      <c r="M19" s="43"/>
      <c r="N19" s="36"/>
      <c r="O19" s="10"/>
      <c r="P19" s="10"/>
      <c r="Q19" s="10"/>
    </row>
    <row r="20" spans="2:17" ht="16">
      <c r="B20" s="10"/>
      <c r="C20" s="58" t="s">
        <v>176</v>
      </c>
      <c r="D20" s="10"/>
      <c r="E20" s="64" t="s">
        <v>93</v>
      </c>
      <c r="F20" s="10"/>
      <c r="G20" s="35"/>
      <c r="H20" s="167">
        <f>H67/-H66</f>
        <v>0.55782268403201529</v>
      </c>
      <c r="I20" s="167">
        <f t="shared" ref="I20:K20" si="3">I67/-I66</f>
        <v>0.52777806353386547</v>
      </c>
      <c r="J20" s="167">
        <f t="shared" si="3"/>
        <v>0.50474518712694294</v>
      </c>
      <c r="K20" s="167">
        <f t="shared" si="3"/>
        <v>0.49936710317368993</v>
      </c>
      <c r="L20" s="168">
        <v>0.45</v>
      </c>
      <c r="M20" s="168">
        <v>0.42</v>
      </c>
      <c r="N20" s="168">
        <v>0.44</v>
      </c>
      <c r="O20" s="168">
        <f>N20+2%</f>
        <v>0.46</v>
      </c>
      <c r="P20" s="168">
        <f>O20+2%</f>
        <v>0.48000000000000004</v>
      </c>
      <c r="Q20" s="10"/>
    </row>
    <row r="21" spans="2:17" ht="16">
      <c r="B21" s="10"/>
      <c r="C21" s="52"/>
      <c r="D21" s="10"/>
      <c r="E21" s="10"/>
      <c r="F21" s="10"/>
      <c r="G21" s="35"/>
      <c r="H21" s="10"/>
      <c r="I21" s="10"/>
      <c r="J21" s="42"/>
      <c r="K21" s="43"/>
      <c r="L21" s="43"/>
      <c r="M21" s="43"/>
      <c r="N21" s="36"/>
      <c r="O21" s="10"/>
      <c r="P21" s="10"/>
      <c r="Q21" s="10"/>
    </row>
    <row r="22" spans="2:17" ht="16">
      <c r="B22" s="10"/>
      <c r="C22" s="58" t="s">
        <v>177</v>
      </c>
      <c r="D22" s="10"/>
      <c r="E22" s="64" t="s">
        <v>93</v>
      </c>
      <c r="F22" s="10"/>
      <c r="G22" s="35"/>
      <c r="H22" s="167">
        <f>H70/H$66</f>
        <v>0.10291779434920366</v>
      </c>
      <c r="I22" s="167">
        <f t="shared" ref="I22:K22" si="4">I70/I$66</f>
        <v>0.10258672125750967</v>
      </c>
      <c r="J22" s="167">
        <f t="shared" si="4"/>
        <v>8.4305291336380248E-2</v>
      </c>
      <c r="K22" s="167">
        <f t="shared" si="4"/>
        <v>8.3679189073771476E-2</v>
      </c>
      <c r="L22" s="168">
        <f>AVERAGE(H22:K22)</f>
        <v>9.3372249004216271E-2</v>
      </c>
      <c r="M22" s="168">
        <f t="shared" ref="M22:P22" si="5">AVERAGE(I22:L22)</f>
        <v>9.0985862667969417E-2</v>
      </c>
      <c r="N22" s="168">
        <f t="shared" si="5"/>
        <v>8.8085648020584356E-2</v>
      </c>
      <c r="O22" s="168">
        <f t="shared" si="5"/>
        <v>8.9030737191635373E-2</v>
      </c>
      <c r="P22" s="168">
        <f t="shared" si="5"/>
        <v>9.036862422110134E-2</v>
      </c>
      <c r="Q22" s="10"/>
    </row>
    <row r="23" spans="2:17" ht="16">
      <c r="B23" s="10"/>
      <c r="C23" s="58" t="s">
        <v>178</v>
      </c>
      <c r="D23" s="10"/>
      <c r="E23" s="64" t="s">
        <v>93</v>
      </c>
      <c r="F23" s="10"/>
      <c r="G23" s="35"/>
      <c r="H23" s="167">
        <f t="shared" ref="H23:K24" si="6">H71/H$66</f>
        <v>0.13169150455628659</v>
      </c>
      <c r="I23" s="167">
        <f t="shared" si="6"/>
        <v>0.16003312484569171</v>
      </c>
      <c r="J23" s="167">
        <f t="shared" si="6"/>
        <v>0.1662276793318547</v>
      </c>
      <c r="K23" s="167">
        <f t="shared" si="6"/>
        <v>0.13485561002304</v>
      </c>
      <c r="L23" s="168">
        <f>AVERAGE(H23:K23)</f>
        <v>0.14820197968921825</v>
      </c>
      <c r="M23" s="168">
        <f t="shared" ref="M23:P23" si="7">AVERAGE(I23:L23)</f>
        <v>0.15232959847245117</v>
      </c>
      <c r="N23" s="168">
        <f t="shared" si="7"/>
        <v>0.15040371687914103</v>
      </c>
      <c r="O23" s="168">
        <f t="shared" si="7"/>
        <v>0.14644772626596261</v>
      </c>
      <c r="P23" s="168">
        <f t="shared" si="7"/>
        <v>0.14934575532669325</v>
      </c>
      <c r="Q23" s="10"/>
    </row>
    <row r="24" spans="2:17" ht="16">
      <c r="B24" s="10"/>
      <c r="C24" s="58" t="s">
        <v>179</v>
      </c>
      <c r="D24" s="10"/>
      <c r="E24" s="64" t="s">
        <v>93</v>
      </c>
      <c r="F24" s="10"/>
      <c r="G24" s="35"/>
      <c r="H24" s="167">
        <f t="shared" si="6"/>
        <v>5.857147806938183E-2</v>
      </c>
      <c r="I24" s="167">
        <f t="shared" si="6"/>
        <v>5.7775594601267383E-2</v>
      </c>
      <c r="J24" s="167">
        <f t="shared" si="6"/>
        <v>7.288205793915617E-2</v>
      </c>
      <c r="K24" s="167">
        <f t="shared" si="6"/>
        <v>8.9035158377636106E-2</v>
      </c>
      <c r="L24" s="168">
        <f>AVERAGE(H24:K24)</f>
        <v>6.9566072246860372E-2</v>
      </c>
      <c r="M24" s="168">
        <f t="shared" ref="M24:P24" si="8">AVERAGE(I24:L24)</f>
        <v>7.2314720791229997E-2</v>
      </c>
      <c r="N24" s="168">
        <f t="shared" si="8"/>
        <v>7.5949502338720665E-2</v>
      </c>
      <c r="O24" s="168">
        <f t="shared" si="8"/>
        <v>7.6716363438611795E-2</v>
      </c>
      <c r="P24" s="168">
        <f t="shared" si="8"/>
        <v>7.3636664703855714E-2</v>
      </c>
      <c r="Q24" s="10"/>
    </row>
    <row r="25" spans="2:17" ht="16">
      <c r="B25" s="10"/>
      <c r="C25" s="58"/>
      <c r="D25" s="10"/>
      <c r="E25" s="10"/>
      <c r="F25" s="10"/>
      <c r="G25" s="35"/>
      <c r="H25" s="10"/>
      <c r="I25" s="10"/>
      <c r="J25" s="42"/>
      <c r="K25" s="43"/>
      <c r="L25" s="43"/>
      <c r="M25" s="43"/>
      <c r="N25" s="36"/>
      <c r="O25" s="10"/>
      <c r="P25" s="10"/>
      <c r="Q25" s="10"/>
    </row>
    <row r="26" spans="2:17" ht="16">
      <c r="B26" s="10"/>
      <c r="C26" s="58" t="s">
        <v>197</v>
      </c>
      <c r="D26" s="10"/>
      <c r="E26" s="64" t="s">
        <v>93</v>
      </c>
      <c r="F26" s="10"/>
      <c r="G26" s="35"/>
      <c r="H26" s="10"/>
      <c r="I26" s="167">
        <f>I78/H109</f>
        <v>1.5522131469256767E-2</v>
      </c>
      <c r="J26" s="167">
        <f>J78/I109</f>
        <v>3.3624336388261671E-2</v>
      </c>
      <c r="K26" s="167">
        <f>K78/J109</f>
        <v>5.4238342987230653E-2</v>
      </c>
      <c r="L26" s="168">
        <f>AVERAGE(I26:K26)</f>
        <v>3.4461603614916368E-2</v>
      </c>
      <c r="M26" s="168">
        <v>3.459650806465573E-2</v>
      </c>
      <c r="N26" s="168">
        <v>3.459650806465573E-2</v>
      </c>
      <c r="O26" s="168">
        <v>3.459650806465573E-2</v>
      </c>
      <c r="P26" s="168">
        <v>3.459650806465573E-2</v>
      </c>
      <c r="Q26" s="10"/>
    </row>
    <row r="27" spans="2:17" ht="16">
      <c r="B27" s="10"/>
      <c r="C27" s="58"/>
      <c r="D27" s="10"/>
      <c r="E27" s="64"/>
      <c r="F27" s="10"/>
      <c r="G27" s="35"/>
      <c r="H27" s="10"/>
      <c r="I27" s="167"/>
      <c r="J27" s="167"/>
      <c r="K27" s="167"/>
      <c r="L27" s="187"/>
      <c r="M27" s="187"/>
      <c r="N27" s="187"/>
      <c r="O27" s="187"/>
      <c r="P27" s="187"/>
      <c r="Q27" s="10"/>
    </row>
    <row r="28" spans="2:17" ht="16">
      <c r="B28" s="10"/>
      <c r="C28" s="58" t="s">
        <v>221</v>
      </c>
      <c r="D28" s="10"/>
      <c r="E28" s="64" t="s">
        <v>93</v>
      </c>
      <c r="F28" s="10"/>
      <c r="G28" s="35"/>
      <c r="H28" s="144">
        <f>H80/H110</f>
        <v>2.0577666282459828E-2</v>
      </c>
      <c r="I28" s="144">
        <f t="shared" ref="I28:K28" si="9">I80/I110</f>
        <v>-7.4299070572540551E-2</v>
      </c>
      <c r="J28" s="144">
        <f t="shared" si="9"/>
        <v>6.1962370870811891E-2</v>
      </c>
      <c r="K28" s="144">
        <f t="shared" si="9"/>
        <v>7.5334242837653484E-2</v>
      </c>
      <c r="L28" s="168">
        <f>AVERAGE(H28:K28)</f>
        <v>2.0893802354596161E-2</v>
      </c>
      <c r="M28" s="168">
        <v>2.0972836372630244E-2</v>
      </c>
      <c r="N28" s="168">
        <v>2.0972836372630244E-2</v>
      </c>
      <c r="O28" s="168">
        <v>2.0972836372630244E-2</v>
      </c>
      <c r="P28" s="168">
        <v>2.0972836372630244E-2</v>
      </c>
      <c r="Q28" s="10"/>
    </row>
    <row r="29" spans="2:17" ht="16">
      <c r="B29" s="10"/>
      <c r="C29" s="58" t="s">
        <v>222</v>
      </c>
      <c r="D29" s="10"/>
      <c r="E29" s="64" t="s">
        <v>93</v>
      </c>
      <c r="F29" s="10"/>
      <c r="G29" s="35"/>
      <c r="H29" s="144">
        <f>H81/H66</f>
        <v>-2.4292495505310856E-3</v>
      </c>
      <c r="I29" s="144">
        <f t="shared" ref="I29:K29" si="10">I81/I66</f>
        <v>8.5255328779524318E-3</v>
      </c>
      <c r="J29" s="144">
        <f t="shared" si="10"/>
        <v>-2.7935014335073146E-3</v>
      </c>
      <c r="K29" s="144">
        <f t="shared" si="10"/>
        <v>8.0985222178750517E-3</v>
      </c>
      <c r="L29" s="168">
        <v>0.01</v>
      </c>
      <c r="M29" s="168">
        <v>0.01</v>
      </c>
      <c r="N29" s="168">
        <v>0.01</v>
      </c>
      <c r="O29" s="168">
        <v>0.01</v>
      </c>
      <c r="P29" s="168">
        <v>0.01</v>
      </c>
      <c r="Q29" s="10"/>
    </row>
    <row r="30" spans="2:17" ht="16">
      <c r="B30" s="10"/>
      <c r="C30" s="58" t="s">
        <v>223</v>
      </c>
      <c r="D30" s="10"/>
      <c r="E30" s="64" t="s">
        <v>93</v>
      </c>
      <c r="F30" s="10"/>
      <c r="G30" s="35"/>
      <c r="H30" s="144">
        <f>H82/H118</f>
        <v>0.36529068851425872</v>
      </c>
      <c r="I30" s="144">
        <f t="shared" ref="I30:K30" si="11">I82/I118</f>
        <v>3.9073818197043919E-2</v>
      </c>
      <c r="J30" s="144">
        <f t="shared" si="11"/>
        <v>0.14486593496171649</v>
      </c>
      <c r="K30" s="144">
        <f t="shared" si="11"/>
        <v>8.4031944058166799E-3</v>
      </c>
      <c r="L30" s="168">
        <f>AVERAGE(I30:K30)</f>
        <v>6.4114315854859036E-2</v>
      </c>
      <c r="M30" s="168">
        <v>0.05</v>
      </c>
      <c r="N30" s="168">
        <v>0.04</v>
      </c>
      <c r="O30" s="168">
        <v>0.03</v>
      </c>
      <c r="P30" s="168">
        <v>0.03</v>
      </c>
      <c r="Q30" s="10"/>
    </row>
    <row r="31" spans="2:17" ht="16">
      <c r="B31" s="10"/>
      <c r="C31" s="58"/>
      <c r="D31" s="10"/>
      <c r="E31" s="64"/>
      <c r="F31" s="10"/>
      <c r="G31" s="35"/>
      <c r="H31" s="188"/>
      <c r="I31" s="188"/>
      <c r="J31" s="188"/>
      <c r="K31" s="188"/>
      <c r="L31" s="187"/>
      <c r="M31" s="187"/>
      <c r="N31" s="187"/>
      <c r="O31" s="187"/>
      <c r="P31" s="187"/>
      <c r="Q31" s="10"/>
    </row>
    <row r="32" spans="2:17" ht="16">
      <c r="B32" s="10"/>
      <c r="C32" s="58" t="s">
        <v>224</v>
      </c>
      <c r="D32" s="10"/>
      <c r="E32" s="64" t="s">
        <v>93</v>
      </c>
      <c r="F32" s="10"/>
      <c r="G32" s="35"/>
      <c r="H32" s="144">
        <f>-H86/H83</f>
        <v>3.1122982232028801E-3</v>
      </c>
      <c r="I32" s="144">
        <f t="shared" ref="I32:K32" si="12">-I86/I83</f>
        <v>0.24936908049048426</v>
      </c>
      <c r="J32" s="144">
        <f t="shared" si="12"/>
        <v>0.1666207751084188</v>
      </c>
      <c r="K32" s="144">
        <f t="shared" si="12"/>
        <v>0.21064942874323511</v>
      </c>
      <c r="L32" s="168">
        <f>AVERAGE(I32:K32)</f>
        <v>0.20887976144737941</v>
      </c>
      <c r="M32" s="168"/>
      <c r="N32" s="168"/>
      <c r="O32" s="168"/>
      <c r="P32" s="168"/>
      <c r="Q32" s="10"/>
    </row>
    <row r="33" spans="2:17" ht="16">
      <c r="B33" s="10"/>
      <c r="C33" s="58"/>
      <c r="D33" s="10"/>
      <c r="E33" s="64"/>
      <c r="F33" s="10"/>
      <c r="G33" s="35"/>
      <c r="H33" s="188"/>
      <c r="I33" s="188"/>
      <c r="J33" s="188"/>
      <c r="K33" s="188"/>
      <c r="L33" s="187"/>
      <c r="M33" s="187"/>
      <c r="N33" s="187"/>
      <c r="O33" s="187"/>
      <c r="P33" s="187"/>
      <c r="Q33" s="10"/>
    </row>
    <row r="34" spans="2:17" ht="16">
      <c r="B34" s="10"/>
      <c r="C34" s="58" t="s">
        <v>225</v>
      </c>
      <c r="D34" s="10"/>
      <c r="E34" s="64" t="s">
        <v>93</v>
      </c>
      <c r="F34" s="10"/>
      <c r="G34" s="35"/>
      <c r="H34" s="144">
        <f>H89/H87</f>
        <v>0.12031406537592321</v>
      </c>
      <c r="I34" s="144">
        <f t="shared" ref="I34:K34" si="13">I89/I87</f>
        <v>0.2234989320465153</v>
      </c>
      <c r="J34" s="144">
        <f t="shared" si="13"/>
        <v>0.20136909924420765</v>
      </c>
      <c r="K34" s="144">
        <f t="shared" si="13"/>
        <v>0.21057523101417699</v>
      </c>
      <c r="L34" s="168">
        <f>AVERAGE(H34:K34)</f>
        <v>0.18893933192020579</v>
      </c>
      <c r="M34" s="168">
        <f>L34-1%</f>
        <v>0.17893933192020578</v>
      </c>
      <c r="N34" s="168">
        <f t="shared" ref="N34:P34" si="14">M34-1%</f>
        <v>0.16893933192020577</v>
      </c>
      <c r="O34" s="168">
        <f t="shared" si="14"/>
        <v>0.15893933192020576</v>
      </c>
      <c r="P34" s="168">
        <f t="shared" si="14"/>
        <v>0.14893933192020575</v>
      </c>
      <c r="Q34" s="10"/>
    </row>
    <row r="35" spans="2:17" ht="16">
      <c r="B35" s="10"/>
      <c r="C35" s="58"/>
      <c r="D35" s="10"/>
      <c r="E35" s="64"/>
      <c r="F35" s="10"/>
      <c r="G35" s="35"/>
      <c r="H35" s="188"/>
      <c r="I35" s="188"/>
      <c r="J35" s="188"/>
      <c r="K35" s="188"/>
      <c r="L35" s="187"/>
      <c r="M35" s="187"/>
      <c r="N35" s="187"/>
      <c r="O35" s="187"/>
      <c r="P35" s="187"/>
      <c r="Q35" s="10"/>
    </row>
    <row r="36" spans="2:17" ht="16">
      <c r="B36" s="10"/>
      <c r="C36" s="58" t="s">
        <v>57</v>
      </c>
      <c r="D36" s="10"/>
      <c r="E36" s="64" t="s">
        <v>93</v>
      </c>
      <c r="F36" s="10"/>
      <c r="G36" s="35"/>
      <c r="H36" s="144">
        <f>-H93/H92</f>
        <v>-0.10938701335010834</v>
      </c>
      <c r="I36" s="144">
        <f t="shared" ref="I36:K36" si="15">-I93/I92</f>
        <v>1.1688553120797405</v>
      </c>
      <c r="J36" s="144">
        <f t="shared" si="15"/>
        <v>0.10962086482468096</v>
      </c>
      <c r="K36" s="144">
        <f t="shared" si="15"/>
        <v>0.11981503629950711</v>
      </c>
      <c r="L36" s="168">
        <v>7.0000000000000007E-2</v>
      </c>
      <c r="M36" s="168">
        <v>0.05</v>
      </c>
      <c r="N36" s="168">
        <v>0.03</v>
      </c>
      <c r="O36" s="168">
        <v>0.03</v>
      </c>
      <c r="P36" s="168">
        <v>0.03</v>
      </c>
      <c r="Q36" s="10"/>
    </row>
    <row r="37" spans="2:17" ht="16">
      <c r="B37" s="10"/>
      <c r="C37" s="58" t="s">
        <v>58</v>
      </c>
      <c r="D37" s="10"/>
      <c r="E37" s="64" t="s">
        <v>93</v>
      </c>
      <c r="F37" s="10"/>
      <c r="G37" s="35"/>
      <c r="H37" s="144"/>
      <c r="I37" s="144"/>
      <c r="J37" s="144"/>
      <c r="K37" s="144">
        <f>K94/K110</f>
        <v>1.1678035470668485E-2</v>
      </c>
      <c r="L37" s="168">
        <v>1.1678035470668485E-2</v>
      </c>
      <c r="M37" s="168">
        <v>1.1678035470668485E-2</v>
      </c>
      <c r="N37" s="168">
        <v>1.1678035470668485E-2</v>
      </c>
      <c r="O37" s="168">
        <v>1.1678035470668485E-2</v>
      </c>
      <c r="P37" s="168">
        <v>1.1678035470668485E-2</v>
      </c>
      <c r="Q37" s="10"/>
    </row>
    <row r="38" spans="2:17" ht="16">
      <c r="B38" s="10"/>
      <c r="C38" s="58"/>
      <c r="D38" s="10"/>
      <c r="E38" s="64"/>
      <c r="F38" s="10"/>
      <c r="G38" s="35"/>
      <c r="H38" s="188"/>
      <c r="I38" s="188"/>
      <c r="J38" s="188"/>
      <c r="K38" s="188"/>
      <c r="L38" s="187"/>
      <c r="M38" s="187"/>
      <c r="N38" s="187"/>
      <c r="O38" s="187"/>
      <c r="P38" s="187"/>
      <c r="Q38" s="10"/>
    </row>
    <row r="39" spans="2:17" ht="16">
      <c r="B39" s="10"/>
      <c r="C39" s="46" t="s">
        <v>198</v>
      </c>
      <c r="D39" s="47"/>
      <c r="E39" s="47"/>
      <c r="F39" s="47"/>
      <c r="G39" s="38"/>
      <c r="H39" s="47"/>
      <c r="I39" s="47"/>
      <c r="J39" s="48"/>
      <c r="K39" s="49"/>
      <c r="L39" s="49"/>
      <c r="M39" s="49"/>
      <c r="N39" s="39"/>
      <c r="O39" s="47"/>
      <c r="P39" s="47"/>
      <c r="Q39" s="10"/>
    </row>
    <row r="40" spans="2:17" ht="16">
      <c r="B40" s="10"/>
      <c r="C40" s="52"/>
      <c r="D40" s="10"/>
      <c r="E40" s="10"/>
      <c r="F40" s="10"/>
      <c r="G40" s="35"/>
      <c r="H40" s="10"/>
      <c r="I40" s="10"/>
      <c r="J40" s="42"/>
      <c r="K40" s="43"/>
      <c r="L40" s="43"/>
      <c r="M40" s="43"/>
      <c r="N40" s="36"/>
      <c r="O40" s="10"/>
      <c r="P40" s="10"/>
      <c r="Q40" s="10"/>
    </row>
    <row r="41" spans="2:17" ht="16">
      <c r="B41" s="10"/>
      <c r="C41" s="58" t="s">
        <v>211</v>
      </c>
      <c r="D41" s="10"/>
      <c r="E41" s="64" t="s">
        <v>93</v>
      </c>
      <c r="F41" s="10"/>
      <c r="G41" s="35"/>
      <c r="H41" s="167">
        <f>H110/H109</f>
        <v>5.2388081702532736E-2</v>
      </c>
      <c r="I41" s="167">
        <f t="shared" ref="I41:K41" si="16">I110/I109</f>
        <v>0.36506594861763486</v>
      </c>
      <c r="J41" s="167">
        <f t="shared" si="16"/>
        <v>0.55595529908883956</v>
      </c>
      <c r="K41" s="167">
        <f t="shared" si="16"/>
        <v>8.9105540832948388E-2</v>
      </c>
      <c r="L41" s="168">
        <v>0.1</v>
      </c>
      <c r="M41" s="168">
        <v>0.1</v>
      </c>
      <c r="N41" s="168">
        <v>0.1</v>
      </c>
      <c r="O41" s="168">
        <v>0.1</v>
      </c>
      <c r="P41" s="168">
        <v>0.1</v>
      </c>
      <c r="Q41" s="10"/>
    </row>
    <row r="42" spans="2:17" ht="16">
      <c r="B42" s="10"/>
      <c r="C42" s="58" t="s">
        <v>200</v>
      </c>
      <c r="D42" s="10"/>
      <c r="E42" s="183" t="s">
        <v>201</v>
      </c>
      <c r="F42" s="10"/>
      <c r="G42" s="35"/>
      <c r="H42" s="5">
        <f>H111*(H106-EOMONTH(H106,-12))/H66</f>
        <v>148.32222012619778</v>
      </c>
      <c r="I42" s="5">
        <f>I111*(I106-EOMONTH(I106,-12))/I66</f>
        <v>171.72362357007654</v>
      </c>
      <c r="J42" s="5">
        <f>J111*(J106-EOMONTH(J106,-12))/J66</f>
        <v>185.33015493354227</v>
      </c>
      <c r="K42" s="5">
        <f>K111*(K106-EOMONTH(K106,-12))/K66</f>
        <v>181.12160824837173</v>
      </c>
      <c r="L42" s="72">
        <f>AVERAGE(H42:K42)</f>
        <v>171.62440171954711</v>
      </c>
      <c r="M42" s="72">
        <v>165</v>
      </c>
      <c r="N42" s="72">
        <v>160</v>
      </c>
      <c r="O42" s="72">
        <v>155</v>
      </c>
      <c r="P42" s="72">
        <v>150</v>
      </c>
      <c r="Q42" s="10"/>
    </row>
    <row r="43" spans="2:17" ht="16">
      <c r="B43" s="10"/>
      <c r="C43" s="58" t="s">
        <v>205</v>
      </c>
      <c r="D43" s="10"/>
      <c r="E43" s="183" t="s">
        <v>201</v>
      </c>
      <c r="F43" s="10"/>
      <c r="G43" s="35"/>
      <c r="H43" s="5">
        <f>H112*(H106-EOMONTH(H106,-12))/H66</f>
        <v>306.49483543855462</v>
      </c>
      <c r="I43" s="5">
        <f>I112*(I106-EOMONTH(I106,-12))/I66</f>
        <v>369.0739959674101</v>
      </c>
      <c r="J43" s="5">
        <f>J112*(J106-EOMONTH(J106,-12))/J66</f>
        <v>356.93198057100028</v>
      </c>
      <c r="K43" s="5">
        <f>K112*(K106-EOMONTH(K106,-12))/K66</f>
        <v>279.83263906469358</v>
      </c>
      <c r="L43" s="72">
        <v>270</v>
      </c>
      <c r="M43" s="72">
        <v>260</v>
      </c>
      <c r="N43" s="72">
        <v>250</v>
      </c>
      <c r="O43" s="72">
        <v>240</v>
      </c>
      <c r="P43" s="72">
        <v>230</v>
      </c>
      <c r="Q43" s="10"/>
    </row>
    <row r="44" spans="2:17" ht="16">
      <c r="B44" s="10"/>
      <c r="C44" s="58" t="s">
        <v>207</v>
      </c>
      <c r="D44" s="10"/>
      <c r="E44" s="64" t="s">
        <v>93</v>
      </c>
      <c r="F44" s="10"/>
      <c r="G44" s="35"/>
      <c r="H44" s="167">
        <f>H113/H66</f>
        <v>0.14128915769332939</v>
      </c>
      <c r="I44" s="167">
        <f>I113/I66</f>
        <v>0.12485083532219571</v>
      </c>
      <c r="J44" s="167">
        <f>J113/J66</f>
        <v>0.11209865829452972</v>
      </c>
      <c r="K44" s="167">
        <f>K113/K66</f>
        <v>6.4427618338920731E-2</v>
      </c>
      <c r="L44" s="168">
        <v>0.06</v>
      </c>
      <c r="M44" s="168">
        <v>0.05</v>
      </c>
      <c r="N44" s="168">
        <v>0.05</v>
      </c>
      <c r="O44" s="168">
        <v>0.04</v>
      </c>
      <c r="P44" s="168">
        <v>0.04</v>
      </c>
      <c r="Q44" s="10"/>
    </row>
    <row r="45" spans="2:17" ht="16">
      <c r="B45" s="10"/>
      <c r="C45" s="58"/>
      <c r="D45" s="10"/>
      <c r="E45" s="10"/>
      <c r="F45" s="10"/>
      <c r="G45" s="35"/>
      <c r="H45" s="10"/>
      <c r="I45" s="10"/>
      <c r="J45" s="42"/>
      <c r="K45" s="43"/>
      <c r="L45" s="43"/>
      <c r="M45" s="43"/>
      <c r="N45" s="36"/>
      <c r="O45" s="10"/>
      <c r="P45" s="10"/>
      <c r="Q45" s="10"/>
    </row>
    <row r="46" spans="2:17" ht="16">
      <c r="B46" s="10"/>
      <c r="C46" s="58" t="s">
        <v>208</v>
      </c>
      <c r="D46" s="10"/>
      <c r="E46" s="64" t="s">
        <v>93</v>
      </c>
      <c r="F46" s="10"/>
      <c r="G46" s="35"/>
      <c r="H46" s="167">
        <f>H117/H116</f>
        <v>0.28803636614091882</v>
      </c>
      <c r="I46" s="167">
        <f t="shared" ref="I46:K46" si="17">I117/I116</f>
        <v>2.9585165814810414E-2</v>
      </c>
      <c r="J46" s="167">
        <f t="shared" si="17"/>
        <v>7.5313377628604697E-2</v>
      </c>
      <c r="K46" s="167">
        <f t="shared" si="17"/>
        <v>5.1471585763365635E-2</v>
      </c>
      <c r="L46" s="168">
        <f>AVERAGE(I46:K46)</f>
        <v>5.2123376402260245E-2</v>
      </c>
      <c r="M46" s="168">
        <v>0.05</v>
      </c>
      <c r="N46" s="168">
        <v>0.04</v>
      </c>
      <c r="O46" s="168">
        <v>0.04</v>
      </c>
      <c r="P46" s="168">
        <v>0.03</v>
      </c>
      <c r="Q46" s="10"/>
    </row>
    <row r="47" spans="2:17" ht="16">
      <c r="B47" s="10"/>
      <c r="C47" s="58" t="s">
        <v>209</v>
      </c>
      <c r="D47" s="10"/>
      <c r="E47" s="64" t="s">
        <v>93</v>
      </c>
      <c r="F47" s="10"/>
      <c r="G47" s="35"/>
      <c r="H47" s="167">
        <f>H118/H66</f>
        <v>4.8869879230493816E-2</v>
      </c>
      <c r="I47" s="167">
        <f>I118/I66</f>
        <v>0.30711206896551724</v>
      </c>
      <c r="J47" s="167">
        <f>J118/J66</f>
        <v>0.12317584177091495</v>
      </c>
      <c r="K47" s="167">
        <f>K118/K66</f>
        <v>6.4361132207671992E-2</v>
      </c>
      <c r="L47" s="168">
        <v>0.06</v>
      </c>
      <c r="M47" s="168">
        <v>0.06</v>
      </c>
      <c r="N47" s="168">
        <v>0.05</v>
      </c>
      <c r="O47" s="168">
        <v>0.05</v>
      </c>
      <c r="P47" s="168">
        <v>0.04</v>
      </c>
      <c r="Q47" s="10"/>
    </row>
    <row r="48" spans="2:17" ht="16">
      <c r="B48" s="10"/>
      <c r="C48" s="58" t="s">
        <v>210</v>
      </c>
      <c r="D48" s="10"/>
      <c r="E48" s="64" t="s">
        <v>93</v>
      </c>
      <c r="F48" s="10"/>
      <c r="G48" s="35"/>
      <c r="H48" s="167">
        <f>H119/H66</f>
        <v>0.26121169889625062</v>
      </c>
      <c r="I48" s="167">
        <f>I119/I66</f>
        <v>0.16886470249362193</v>
      </c>
      <c r="J48" s="167">
        <f>J119/J66</f>
        <v>4.7193678582378711E-2</v>
      </c>
      <c r="K48" s="167">
        <f>K119/K66</f>
        <v>4.5048189659360867E-2</v>
      </c>
      <c r="L48" s="168">
        <v>0.04</v>
      </c>
      <c r="M48" s="168">
        <v>0.04</v>
      </c>
      <c r="N48" s="168">
        <v>0.03</v>
      </c>
      <c r="O48" s="168">
        <v>0.03</v>
      </c>
      <c r="P48" s="168">
        <v>0.02</v>
      </c>
      <c r="Q48" s="10"/>
    </row>
    <row r="49" spans="2:17" ht="16">
      <c r="B49" s="10"/>
      <c r="C49" s="58"/>
      <c r="D49" s="10"/>
      <c r="E49" s="10"/>
      <c r="F49" s="10"/>
      <c r="G49" s="35"/>
      <c r="H49" s="10"/>
      <c r="I49" s="10"/>
      <c r="J49" s="42"/>
      <c r="K49" s="43"/>
      <c r="L49" s="43"/>
      <c r="M49" s="43"/>
      <c r="N49" s="36"/>
      <c r="O49" s="10"/>
      <c r="P49" s="10"/>
      <c r="Q49" s="10"/>
    </row>
    <row r="50" spans="2:17" ht="16">
      <c r="B50" s="10"/>
      <c r="C50" s="58" t="s">
        <v>212</v>
      </c>
      <c r="D50" s="10"/>
      <c r="E50" s="64" t="s">
        <v>93</v>
      </c>
      <c r="F50" s="10"/>
      <c r="G50" s="35"/>
      <c r="H50" s="167">
        <f>H124/H131</f>
        <v>0.41778106895500283</v>
      </c>
      <c r="I50" s="167">
        <f>I124/I131</f>
        <v>2.9969497511639109</v>
      </c>
      <c r="J50" s="167">
        <f>J124/J131</f>
        <v>0.58079403914590744</v>
      </c>
      <c r="K50" s="167">
        <f>K124/K131</f>
        <v>0.31095948827292114</v>
      </c>
      <c r="L50" s="168">
        <f>AVERAGE(H50,J50:K50)</f>
        <v>0.43651153212461047</v>
      </c>
      <c r="M50" s="168">
        <v>0.4</v>
      </c>
      <c r="N50" s="168">
        <v>0.35</v>
      </c>
      <c r="O50" s="168">
        <v>0.3</v>
      </c>
      <c r="P50" s="168">
        <v>0.25</v>
      </c>
      <c r="Q50" s="10"/>
    </row>
    <row r="51" spans="2:17" ht="16">
      <c r="B51" s="10"/>
      <c r="C51" s="58" t="s">
        <v>214</v>
      </c>
      <c r="D51" s="10"/>
      <c r="E51" s="183" t="s">
        <v>201</v>
      </c>
      <c r="F51" s="10"/>
      <c r="G51" s="35"/>
      <c r="H51" s="5">
        <f>H126*(H106-EOMONTH(H106,-12))/H66</f>
        <v>142.41619859018829</v>
      </c>
      <c r="I51" s="5">
        <f>I126*(I106-EOMONTH(I106,-12))/I66</f>
        <v>109.08077267303102</v>
      </c>
      <c r="J51" s="5">
        <f>J126*(J106-EOMONTH(J106,-12))/J66</f>
        <v>100.2749841767329</v>
      </c>
      <c r="K51" s="5">
        <f>K126*(K106-EOMONTH(K106,-12))/K66</f>
        <v>72.733630986628611</v>
      </c>
      <c r="L51" s="72">
        <v>80</v>
      </c>
      <c r="M51" s="72">
        <f>L51-5</f>
        <v>75</v>
      </c>
      <c r="N51" s="72">
        <f t="shared" ref="N51:P51" si="18">M51-5</f>
        <v>70</v>
      </c>
      <c r="O51" s="72">
        <f t="shared" si="18"/>
        <v>65</v>
      </c>
      <c r="P51" s="72">
        <f t="shared" si="18"/>
        <v>60</v>
      </c>
      <c r="Q51" s="10"/>
    </row>
    <row r="52" spans="2:17" ht="16">
      <c r="B52" s="10"/>
      <c r="C52" s="58" t="s">
        <v>215</v>
      </c>
      <c r="D52" s="10"/>
      <c r="E52" s="64" t="s">
        <v>93</v>
      </c>
      <c r="F52" s="10"/>
      <c r="G52" s="35"/>
      <c r="H52" s="167">
        <f>H127/H66</f>
        <v>0.20336399089897633</v>
      </c>
      <c r="I52" s="167">
        <f>I127/I66</f>
        <v>0.39547413793103448</v>
      </c>
      <c r="J52" s="167">
        <f>J127/J66</f>
        <v>0.32519368934040732</v>
      </c>
      <c r="K52" s="167">
        <f>K127/K66</f>
        <v>0.3119081775384277</v>
      </c>
      <c r="L52" s="168">
        <f>AVERAGE(H52:K52)</f>
        <v>0.30898499892721143</v>
      </c>
      <c r="M52" s="168">
        <f t="shared" ref="M52:P52" si="19">AVERAGE(I52:L52)</f>
        <v>0.33539025093427022</v>
      </c>
      <c r="N52" s="168">
        <f t="shared" si="19"/>
        <v>0.32036927918507918</v>
      </c>
      <c r="O52" s="168">
        <f t="shared" si="19"/>
        <v>0.31916317664624716</v>
      </c>
      <c r="P52" s="168">
        <f t="shared" si="19"/>
        <v>0.32097692642320197</v>
      </c>
      <c r="Q52" s="10"/>
    </row>
    <row r="53" spans="2:17" ht="16">
      <c r="B53" s="10"/>
      <c r="C53" s="58" t="s">
        <v>216</v>
      </c>
      <c r="D53" s="10"/>
      <c r="E53" s="64" t="s">
        <v>93</v>
      </c>
      <c r="F53" s="10"/>
      <c r="G53" s="35"/>
      <c r="H53" s="167">
        <f>H128/H66</f>
        <v>0.14418038814095038</v>
      </c>
      <c r="I53" s="167">
        <f>I128/I66</f>
        <v>0.17110217266068636</v>
      </c>
      <c r="J53" s="167">
        <f>J128/J66</f>
        <v>0.22446268129519492</v>
      </c>
      <c r="K53" s="167">
        <f>K128/K66</f>
        <v>0.20769116680603184</v>
      </c>
      <c r="L53" s="168">
        <f>AVERAGE(H53:K53)</f>
        <v>0.18685910222571586</v>
      </c>
      <c r="M53" s="168">
        <f t="shared" ref="M53:P53" si="20">AVERAGE(I53:L53)</f>
        <v>0.19752878074690725</v>
      </c>
      <c r="N53" s="168">
        <f t="shared" si="20"/>
        <v>0.20413543276846247</v>
      </c>
      <c r="O53" s="168">
        <f t="shared" si="20"/>
        <v>0.19905362063677937</v>
      </c>
      <c r="P53" s="168">
        <f t="shared" si="20"/>
        <v>0.19689423409446624</v>
      </c>
      <c r="Q53" s="10"/>
    </row>
    <row r="54" spans="2:17" ht="16">
      <c r="B54" s="10"/>
      <c r="C54" s="58"/>
      <c r="D54" s="10"/>
      <c r="E54" s="10"/>
      <c r="F54" s="10"/>
      <c r="G54" s="35"/>
      <c r="H54" s="10"/>
      <c r="I54" s="10"/>
      <c r="J54" s="42"/>
      <c r="K54" s="43"/>
      <c r="L54" s="43"/>
      <c r="M54" s="43"/>
      <c r="N54" s="36"/>
      <c r="O54" s="10"/>
      <c r="P54" s="10"/>
      <c r="Q54" s="10"/>
    </row>
    <row r="55" spans="2:17" ht="16">
      <c r="B55" s="10"/>
      <c r="C55" s="58" t="s">
        <v>217</v>
      </c>
      <c r="D55" s="10"/>
      <c r="E55" s="64" t="s">
        <v>93</v>
      </c>
      <c r="F55" s="10"/>
      <c r="G55" s="35"/>
      <c r="H55" s="167">
        <f>H132/H116</f>
        <v>0.28803636614091882</v>
      </c>
      <c r="I55" s="167">
        <f t="shared" ref="I55:K55" si="21">I132/I116</f>
        <v>2.9585165814810414E-2</v>
      </c>
      <c r="J55" s="167">
        <f t="shared" si="21"/>
        <v>3.4376131437574002E-2</v>
      </c>
      <c r="K55" s="167">
        <f t="shared" si="21"/>
        <v>2.1896873498989854E-2</v>
      </c>
      <c r="L55" s="168">
        <f>AVERAGE(I55:K55)</f>
        <v>2.8619390250458093E-2</v>
      </c>
      <c r="M55" s="168">
        <f t="shared" ref="M55:P55" si="22">AVERAGE(J55:L55)</f>
        <v>2.8297465062340651E-2</v>
      </c>
      <c r="N55" s="168">
        <f t="shared" si="22"/>
        <v>2.6271242937262865E-2</v>
      </c>
      <c r="O55" s="168">
        <f t="shared" si="22"/>
        <v>2.7729366083353871E-2</v>
      </c>
      <c r="P55" s="168">
        <f t="shared" si="22"/>
        <v>2.7432691360985795E-2</v>
      </c>
      <c r="Q55" s="10"/>
    </row>
    <row r="56" spans="2:17" ht="16">
      <c r="B56" s="10"/>
      <c r="C56" s="58" t="s">
        <v>218</v>
      </c>
      <c r="D56" s="10"/>
      <c r="E56" s="64" t="s">
        <v>93</v>
      </c>
      <c r="F56" s="10"/>
      <c r="G56" s="35"/>
      <c r="H56" s="167">
        <f>H133/H66</f>
        <v>3.7532098047745724E-2</v>
      </c>
      <c r="I56" s="167">
        <f>I133/I66</f>
        <v>1.8828182865607768E-2</v>
      </c>
      <c r="J56" s="167">
        <f>J133/J66</f>
        <v>1.0530317021173593E-2</v>
      </c>
      <c r="K56" s="167">
        <f>K133/K66</f>
        <v>1.1784666763838705E-2</v>
      </c>
      <c r="L56" s="168">
        <v>0.01</v>
      </c>
      <c r="M56" s="168">
        <v>0.01</v>
      </c>
      <c r="N56" s="168">
        <v>0.01</v>
      </c>
      <c r="O56" s="168">
        <v>0.01</v>
      </c>
      <c r="P56" s="168">
        <v>0.01</v>
      </c>
      <c r="Q56" s="10"/>
    </row>
    <row r="57" spans="2:17" ht="16">
      <c r="B57" s="10"/>
      <c r="C57" s="58"/>
      <c r="D57" s="10"/>
      <c r="E57" s="10"/>
      <c r="F57" s="10"/>
      <c r="G57" s="35"/>
      <c r="H57" s="10"/>
      <c r="I57" s="10"/>
      <c r="J57" s="42"/>
      <c r="K57" s="43"/>
      <c r="L57" s="43"/>
      <c r="M57" s="43"/>
      <c r="N57" s="36"/>
      <c r="O57" s="10"/>
      <c r="P57" s="10"/>
      <c r="Q57" s="10"/>
    </row>
    <row r="58" spans="2:17" ht="16">
      <c r="B58" s="10"/>
      <c r="C58" s="46" t="s">
        <v>219</v>
      </c>
      <c r="D58" s="47"/>
      <c r="E58" s="47"/>
      <c r="F58" s="47"/>
      <c r="G58" s="38"/>
      <c r="H58" s="47"/>
      <c r="I58" s="47"/>
      <c r="J58" s="48"/>
      <c r="K58" s="49"/>
      <c r="L58" s="49"/>
      <c r="M58" s="49"/>
      <c r="N58" s="39"/>
      <c r="O58" s="47"/>
      <c r="P58" s="47"/>
      <c r="Q58" s="10"/>
    </row>
    <row r="59" spans="2:17" ht="16">
      <c r="B59" s="10"/>
      <c r="C59" s="52"/>
      <c r="D59" s="10"/>
      <c r="E59" s="10"/>
      <c r="F59" s="10"/>
      <c r="G59" s="35"/>
      <c r="H59" s="10"/>
      <c r="I59" s="10"/>
      <c r="J59" s="42"/>
      <c r="K59" s="43"/>
      <c r="L59" s="43"/>
      <c r="M59" s="43"/>
      <c r="N59" s="36"/>
      <c r="O59" s="10"/>
      <c r="P59" s="10"/>
      <c r="Q59" s="10"/>
    </row>
    <row r="60" spans="2:17" ht="16">
      <c r="B60" s="10"/>
      <c r="C60" s="58" t="s">
        <v>229</v>
      </c>
      <c r="D60" s="10"/>
      <c r="E60" s="64" t="s">
        <v>93</v>
      </c>
      <c r="F60" s="10"/>
      <c r="G60" s="35"/>
      <c r="H60" s="167">
        <f>H163/H112</f>
        <v>0</v>
      </c>
      <c r="I60" s="167">
        <f t="shared" ref="I60:K60" si="23">I163/I112</f>
        <v>5.7175994221358595E-3</v>
      </c>
      <c r="J60" s="167">
        <f t="shared" si="23"/>
        <v>1.0542817590920343E-3</v>
      </c>
      <c r="K60" s="167">
        <f t="shared" si="23"/>
        <v>4.6757103868999839E-3</v>
      </c>
      <c r="L60" s="168">
        <v>4.6757103868999839E-3</v>
      </c>
      <c r="M60" s="168">
        <v>4.6757103868999839E-3</v>
      </c>
      <c r="N60" s="168">
        <v>4.6757103868999839E-3</v>
      </c>
      <c r="O60" s="168">
        <v>4.6757103868999839E-3</v>
      </c>
      <c r="P60" s="168">
        <v>4.6757103868999839E-3</v>
      </c>
      <c r="Q60" s="10"/>
    </row>
    <row r="61" spans="2:17" ht="16">
      <c r="B61" s="10"/>
      <c r="C61" s="58" t="s">
        <v>230</v>
      </c>
      <c r="D61" s="10"/>
      <c r="E61" s="64" t="s">
        <v>93</v>
      </c>
      <c r="F61" s="10"/>
      <c r="G61" s="35"/>
      <c r="H61" s="167">
        <f>H166/-H73</f>
        <v>6.7192793549912019E-2</v>
      </c>
      <c r="I61" s="167">
        <f t="shared" ref="I61:K61" si="24">I166/-I73</f>
        <v>6.2048482902552576E-2</v>
      </c>
      <c r="J61" s="167">
        <f t="shared" si="24"/>
        <v>0.15156118330598306</v>
      </c>
      <c r="K61" s="167">
        <f t="shared" si="24"/>
        <v>0.20608922662498544</v>
      </c>
      <c r="L61" s="168">
        <v>0.15</v>
      </c>
      <c r="M61" s="168">
        <f t="shared" ref="M61" si="25">AVERAGE(I61:L61)</f>
        <v>0.14242472320838026</v>
      </c>
      <c r="N61" s="168">
        <v>0.13</v>
      </c>
      <c r="O61" s="168">
        <v>0.12</v>
      </c>
      <c r="P61" s="168">
        <v>0.11</v>
      </c>
      <c r="Q61" s="10"/>
    </row>
    <row r="62" spans="2:17" ht="16">
      <c r="B62" s="10"/>
      <c r="C62" s="52"/>
      <c r="D62" s="10"/>
      <c r="E62" s="10"/>
      <c r="F62" s="10"/>
      <c r="G62" s="35"/>
      <c r="H62" s="10"/>
      <c r="I62" s="10"/>
      <c r="J62" s="42"/>
      <c r="K62" s="43"/>
      <c r="L62" s="43"/>
      <c r="M62" s="43"/>
      <c r="N62" s="36"/>
      <c r="O62" s="10"/>
      <c r="P62" s="10"/>
      <c r="Q62" s="10"/>
    </row>
    <row r="63" spans="2:17" ht="16">
      <c r="B63" s="16"/>
      <c r="C63" s="16"/>
      <c r="D63" s="16"/>
      <c r="E63" s="16"/>
      <c r="F63" s="16"/>
      <c r="G63" s="16"/>
      <c r="H63" s="17"/>
      <c r="I63" s="17"/>
      <c r="J63" s="18" t="s">
        <v>78</v>
      </c>
      <c r="K63" s="17"/>
      <c r="L63" s="19"/>
      <c r="M63" s="17"/>
      <c r="N63" s="18" t="s">
        <v>79</v>
      </c>
      <c r="O63" s="17"/>
      <c r="P63" s="17"/>
      <c r="Q63" s="10"/>
    </row>
    <row r="64" spans="2:17" ht="16">
      <c r="B64" s="20" t="str">
        <f>"Income Statement - "&amp;Company_Name</f>
        <v>Income Statement - ACM Research, Inc.</v>
      </c>
      <c r="C64" s="16"/>
      <c r="D64" s="16"/>
      <c r="E64" s="21" t="s">
        <v>80</v>
      </c>
      <c r="F64" s="22"/>
      <c r="G64" s="22"/>
      <c r="H64" s="23">
        <f t="shared" ref="H64:P64" si="26">H17</f>
        <v>44561</v>
      </c>
      <c r="I64" s="23">
        <f t="shared" si="26"/>
        <v>44926</v>
      </c>
      <c r="J64" s="23">
        <f t="shared" si="26"/>
        <v>45291</v>
      </c>
      <c r="K64" s="23">
        <f t="shared" si="26"/>
        <v>45657</v>
      </c>
      <c r="L64" s="37">
        <f t="shared" si="26"/>
        <v>46022</v>
      </c>
      <c r="M64" s="23">
        <f t="shared" si="26"/>
        <v>46387</v>
      </c>
      <c r="N64" s="23">
        <f t="shared" si="26"/>
        <v>46752</v>
      </c>
      <c r="O64" s="23">
        <f t="shared" si="26"/>
        <v>47118</v>
      </c>
      <c r="P64" s="23">
        <f t="shared" si="26"/>
        <v>47483</v>
      </c>
      <c r="Q64" s="62"/>
    </row>
    <row r="65" spans="3:16" ht="16">
      <c r="C65" s="15"/>
      <c r="D65" s="9"/>
      <c r="E65" s="9"/>
      <c r="F65" s="9"/>
      <c r="G65" s="9"/>
    </row>
    <row r="66" spans="3:16" ht="16">
      <c r="C66" s="13" t="s">
        <v>0</v>
      </c>
      <c r="H66" s="40">
        <v>259751</v>
      </c>
      <c r="I66" s="40">
        <v>388832</v>
      </c>
      <c r="J66" s="40">
        <v>557723</v>
      </c>
      <c r="K66" s="40">
        <v>782118</v>
      </c>
      <c r="L66" s="50">
        <f>Drivers!L59</f>
        <v>970833.99891258101</v>
      </c>
      <c r="M66" s="50">
        <f>Drivers!M59</f>
        <v>1249209.57438961</v>
      </c>
      <c r="N66" s="50">
        <f>Drivers!N59</f>
        <v>1634737.9275340459</v>
      </c>
      <c r="O66" s="50">
        <f>Drivers!O59</f>
        <v>2164697.4993627365</v>
      </c>
      <c r="P66" s="50">
        <f>Drivers!P59</f>
        <v>2884492.612541555</v>
      </c>
    </row>
    <row r="67" spans="3:16" ht="16">
      <c r="C67" s="59" t="s">
        <v>43</v>
      </c>
      <c r="E67" s="60" t="s">
        <v>111</v>
      </c>
      <c r="H67" s="181">
        <v>-144895</v>
      </c>
      <c r="I67" s="181">
        <v>-205217</v>
      </c>
      <c r="J67" s="181">
        <v>-281508</v>
      </c>
      <c r="K67" s="181">
        <v>-390564</v>
      </c>
      <c r="L67" s="56">
        <f>L66*-L20</f>
        <v>-436875.29951066145</v>
      </c>
      <c r="M67" s="56">
        <f t="shared" ref="M67:P67" si="27">M66*-M20</f>
        <v>-524668.02124363615</v>
      </c>
      <c r="N67" s="56">
        <f t="shared" si="27"/>
        <v>-719284.68811498024</v>
      </c>
      <c r="O67" s="56">
        <f t="shared" si="27"/>
        <v>-995760.84970685886</v>
      </c>
      <c r="P67" s="56">
        <f t="shared" si="27"/>
        <v>-1384556.4540199465</v>
      </c>
    </row>
    <row r="68" spans="3:16" ht="16">
      <c r="C68" s="14" t="s">
        <v>44</v>
      </c>
      <c r="E68" s="61" t="s">
        <v>111</v>
      </c>
      <c r="H68" s="50">
        <f>SUM(H66:H67)</f>
        <v>114856</v>
      </c>
      <c r="I68" s="50">
        <f t="shared" ref="I68:K68" si="28">SUM(I66:I67)</f>
        <v>183615</v>
      </c>
      <c r="J68" s="50">
        <f t="shared" si="28"/>
        <v>276215</v>
      </c>
      <c r="K68" s="50">
        <f t="shared" si="28"/>
        <v>391554</v>
      </c>
      <c r="L68" s="50">
        <f t="shared" ref="L68" si="29">SUM(L66:L67)</f>
        <v>533958.6994019195</v>
      </c>
      <c r="M68" s="50">
        <f t="shared" ref="M68" si="30">SUM(M66:M67)</f>
        <v>724541.55314597383</v>
      </c>
      <c r="N68" s="50">
        <f t="shared" ref="N68" si="31">SUM(N66:N67)</f>
        <v>915453.23941906565</v>
      </c>
      <c r="O68" s="50">
        <f t="shared" ref="O68" si="32">SUM(O66:O67)</f>
        <v>1168936.6496558776</v>
      </c>
      <c r="P68" s="50">
        <f t="shared" ref="P68" si="33">SUM(P66:P67)</f>
        <v>1499936.1585216084</v>
      </c>
    </row>
    <row r="69" spans="3:16" ht="16">
      <c r="C69" s="10"/>
      <c r="H69" s="8"/>
      <c r="I69" s="8"/>
      <c r="J69" s="8"/>
      <c r="K69" s="8"/>
    </row>
    <row r="70" spans="3:16" ht="16">
      <c r="C70" s="58" t="s">
        <v>45</v>
      </c>
      <c r="E70" s="60" t="s">
        <v>111</v>
      </c>
      <c r="H70" s="182">
        <v>26733</v>
      </c>
      <c r="I70" s="182">
        <v>39889</v>
      </c>
      <c r="J70" s="182">
        <v>47019</v>
      </c>
      <c r="K70" s="182">
        <v>65447</v>
      </c>
      <c r="L70" s="8">
        <f t="shared" ref="L70:P72" si="34">L$66*L22</f>
        <v>90648.95388822454</v>
      </c>
      <c r="M70" s="8">
        <f t="shared" si="34"/>
        <v>113660.41077892558</v>
      </c>
      <c r="N70" s="8">
        <f t="shared" si="34"/>
        <v>143996.94969066349</v>
      </c>
      <c r="O70" s="8">
        <f t="shared" si="34"/>
        <v>192724.61416515408</v>
      </c>
      <c r="P70" s="8">
        <f t="shared" si="34"/>
        <v>260667.62897131065</v>
      </c>
    </row>
    <row r="71" spans="3:16" ht="16">
      <c r="C71" s="58" t="s">
        <v>46</v>
      </c>
      <c r="E71" s="60" t="s">
        <v>111</v>
      </c>
      <c r="H71" s="182">
        <v>34207</v>
      </c>
      <c r="I71" s="182">
        <v>62226</v>
      </c>
      <c r="J71" s="182">
        <v>92709</v>
      </c>
      <c r="K71" s="182">
        <v>105473</v>
      </c>
      <c r="L71" s="8">
        <f t="shared" si="34"/>
        <v>143879.52058844487</v>
      </c>
      <c r="M71" s="8">
        <f t="shared" si="34"/>
        <v>190291.59287471091</v>
      </c>
      <c r="N71" s="8">
        <f t="shared" si="34"/>
        <v>245870.66042442439</v>
      </c>
      <c r="O71" s="8">
        <f t="shared" si="34"/>
        <v>317015.0268352878</v>
      </c>
      <c r="P71" s="8">
        <f t="shared" si="34"/>
        <v>430786.72795428528</v>
      </c>
    </row>
    <row r="72" spans="3:16" ht="16">
      <c r="C72" s="59" t="s">
        <v>47</v>
      </c>
      <c r="E72" s="60" t="s">
        <v>111</v>
      </c>
      <c r="H72" s="181">
        <v>15214</v>
      </c>
      <c r="I72" s="181">
        <v>22465</v>
      </c>
      <c r="J72" s="181">
        <v>40648</v>
      </c>
      <c r="K72" s="181">
        <v>69636</v>
      </c>
      <c r="L72" s="56">
        <f t="shared" si="34"/>
        <v>67537.108108060973</v>
      </c>
      <c r="M72" s="56">
        <f t="shared" si="34"/>
        <v>90336.241581715905</v>
      </c>
      <c r="N72" s="56">
        <f t="shared" si="34"/>
        <v>124157.53205044239</v>
      </c>
      <c r="O72" s="56">
        <f t="shared" si="34"/>
        <v>166067.72009576581</v>
      </c>
      <c r="P72" s="56">
        <f t="shared" si="34"/>
        <v>212404.41535047127</v>
      </c>
    </row>
    <row r="73" spans="3:16" ht="16">
      <c r="C73" s="14" t="s">
        <v>48</v>
      </c>
      <c r="E73" s="61" t="s">
        <v>111</v>
      </c>
      <c r="H73" s="50">
        <f>-SUM(H70:H72)</f>
        <v>-76154</v>
      </c>
      <c r="I73" s="50">
        <f t="shared" ref="I73:K73" si="35">-SUM(I70:I72)</f>
        <v>-124580</v>
      </c>
      <c r="J73" s="50">
        <f t="shared" si="35"/>
        <v>-180376</v>
      </c>
      <c r="K73" s="50">
        <f t="shared" si="35"/>
        <v>-240556</v>
      </c>
      <c r="L73" s="50">
        <f t="shared" ref="L73" si="36">-SUM(L70:L72)</f>
        <v>-302065.58258473035</v>
      </c>
      <c r="M73" s="50">
        <f t="shared" ref="M73" si="37">-SUM(M70:M72)</f>
        <v>-394288.24523535243</v>
      </c>
      <c r="N73" s="50">
        <f t="shared" ref="N73" si="38">-SUM(N70:N72)</f>
        <v>-514025.14216553024</v>
      </c>
      <c r="O73" s="50">
        <f t="shared" ref="O73" si="39">-SUM(O70:O72)</f>
        <v>-675807.36109620763</v>
      </c>
      <c r="P73" s="50">
        <f t="shared" ref="P73" si="40">-SUM(P70:P72)</f>
        <v>-903858.77227606717</v>
      </c>
    </row>
    <row r="74" spans="3:16" ht="16">
      <c r="C74" s="14"/>
      <c r="E74" s="61"/>
      <c r="H74" s="51"/>
      <c r="I74" s="51"/>
      <c r="J74" s="51"/>
      <c r="K74" s="51"/>
    </row>
    <row r="75" spans="3:16" ht="16">
      <c r="C75" s="14" t="s">
        <v>49</v>
      </c>
      <c r="E75" s="61" t="s">
        <v>111</v>
      </c>
      <c r="H75" s="50">
        <f>SUM(H68,H73)</f>
        <v>38702</v>
      </c>
      <c r="I75" s="50">
        <f t="shared" ref="I75:P75" si="41">SUM(I68,I73)</f>
        <v>59035</v>
      </c>
      <c r="J75" s="50">
        <f t="shared" si="41"/>
        <v>95839</v>
      </c>
      <c r="K75" s="50">
        <f t="shared" si="41"/>
        <v>150998</v>
      </c>
      <c r="L75" s="50">
        <f t="shared" si="41"/>
        <v>231893.11681718915</v>
      </c>
      <c r="M75" s="50">
        <f t="shared" si="41"/>
        <v>330253.3079106214</v>
      </c>
      <c r="N75" s="50">
        <f t="shared" si="41"/>
        <v>401428.09725353541</v>
      </c>
      <c r="O75" s="50">
        <f t="shared" si="41"/>
        <v>493129.28855966998</v>
      </c>
      <c r="P75" s="50">
        <f t="shared" si="41"/>
        <v>596077.38624554127</v>
      </c>
    </row>
    <row r="76" spans="3:16" ht="16">
      <c r="C76" s="135" t="s">
        <v>534</v>
      </c>
      <c r="E76" s="61" t="s">
        <v>93</v>
      </c>
      <c r="H76" s="773">
        <f>H75/H66</f>
        <v>0.14899653899311263</v>
      </c>
      <c r="I76" s="773">
        <f t="shared" ref="I76:P76" si="42">I75/I66</f>
        <v>0.15182649576166571</v>
      </c>
      <c r="J76" s="773">
        <f t="shared" si="42"/>
        <v>0.17183978426566593</v>
      </c>
      <c r="K76" s="773">
        <f t="shared" si="42"/>
        <v>0.1930629393518625</v>
      </c>
      <c r="L76" s="773">
        <f t="shared" si="42"/>
        <v>0.23885969905970508</v>
      </c>
      <c r="M76" s="773">
        <f t="shared" si="42"/>
        <v>0.26436981806834942</v>
      </c>
      <c r="N76" s="773">
        <f t="shared" si="42"/>
        <v>0.24556113276155395</v>
      </c>
      <c r="O76" s="773">
        <f t="shared" si="42"/>
        <v>0.2278051731037902</v>
      </c>
      <c r="P76" s="773">
        <f t="shared" si="42"/>
        <v>0.20664895574834966</v>
      </c>
    </row>
    <row r="77" spans="3:16" ht="16">
      <c r="C77" s="135"/>
      <c r="H77" s="8"/>
      <c r="I77" s="8"/>
      <c r="J77" s="8"/>
      <c r="K77" s="8"/>
    </row>
    <row r="78" spans="3:16" ht="16">
      <c r="C78" s="58" t="s">
        <v>50</v>
      </c>
      <c r="E78" s="60" t="s">
        <v>111</v>
      </c>
      <c r="H78" s="182">
        <v>505</v>
      </c>
      <c r="I78" s="182">
        <v>8740</v>
      </c>
      <c r="J78" s="182">
        <v>8354</v>
      </c>
      <c r="K78" s="182">
        <v>9935</v>
      </c>
      <c r="L78" s="8">
        <f>K109*L26</f>
        <v>14174.402182851252</v>
      </c>
      <c r="M78" s="8">
        <f>L109*M26</f>
        <v>18459.272300383247</v>
      </c>
      <c r="N78" s="8">
        <f>M109*N26</f>
        <v>24873.445079883651</v>
      </c>
      <c r="O78" s="8">
        <f>N109*O26</f>
        <v>30928.241126982033</v>
      </c>
      <c r="P78" s="8">
        <f>O109*P26</f>
        <v>39621.41442411903</v>
      </c>
    </row>
    <row r="79" spans="3:16" ht="16">
      <c r="C79" s="58" t="s">
        <v>51</v>
      </c>
      <c r="E79" s="60" t="s">
        <v>111</v>
      </c>
      <c r="H79" s="182">
        <v>-765</v>
      </c>
      <c r="I79" s="182">
        <v>-1655</v>
      </c>
      <c r="J79" s="182">
        <v>-2681</v>
      </c>
      <c r="K79" s="182">
        <v>-4151</v>
      </c>
      <c r="L79" s="8">
        <f>Drivers!L75</f>
        <v>-5732.3876644461589</v>
      </c>
      <c r="M79" s="8">
        <f>Drivers!M75</f>
        <v>-4402.904222351217</v>
      </c>
      <c r="N79" s="8">
        <f>Drivers!N75</f>
        <v>-4889.8723326339123</v>
      </c>
      <c r="O79" s="8">
        <f>Drivers!O75</f>
        <v>-5184.9997479024742</v>
      </c>
      <c r="P79" s="8">
        <f>Drivers!P75</f>
        <v>-5716.4456898343733</v>
      </c>
    </row>
    <row r="80" spans="3:16" ht="16">
      <c r="C80" s="58" t="s">
        <v>220</v>
      </c>
      <c r="E80" s="60" t="s">
        <v>111</v>
      </c>
      <c r="H80" s="182">
        <v>607</v>
      </c>
      <c r="I80" s="182">
        <v>-6739</v>
      </c>
      <c r="J80" s="182">
        <v>6310</v>
      </c>
      <c r="K80" s="182">
        <v>2761</v>
      </c>
      <c r="L80" s="8">
        <f>L28*L110</f>
        <v>859.38298464689467</v>
      </c>
      <c r="M80" s="8">
        <f>M28*M110</f>
        <v>1119.0241997552196</v>
      </c>
      <c r="N80" s="8">
        <f>N28*N110</f>
        <v>1507.8593848520411</v>
      </c>
      <c r="O80" s="8">
        <f>O28*O110</f>
        <v>1874.9087024540499</v>
      </c>
      <c r="P80" s="8">
        <f>P28*P110</f>
        <v>2401.8997524728634</v>
      </c>
    </row>
    <row r="81" spans="3:16" ht="16">
      <c r="C81" s="58" t="s">
        <v>52</v>
      </c>
      <c r="E81" s="60" t="s">
        <v>111</v>
      </c>
      <c r="H81" s="182">
        <v>-631</v>
      </c>
      <c r="I81" s="182">
        <v>3315</v>
      </c>
      <c r="J81" s="182">
        <v>-1558</v>
      </c>
      <c r="K81" s="182">
        <v>6334</v>
      </c>
      <c r="L81" s="8">
        <f>L66*L56</f>
        <v>9708.3399891258105</v>
      </c>
      <c r="M81" s="8">
        <f>M66*M56</f>
        <v>12492.0957438961</v>
      </c>
      <c r="N81" s="8">
        <f>N66*N56</f>
        <v>16347.37927534046</v>
      </c>
      <c r="O81" s="8">
        <f>O66*O56</f>
        <v>21646.974993627366</v>
      </c>
      <c r="P81" s="8">
        <f>P66*P56</f>
        <v>28844.92612541555</v>
      </c>
    </row>
    <row r="82" spans="3:16" ht="16">
      <c r="C82" s="59" t="s">
        <v>35</v>
      </c>
      <c r="E82" s="60" t="s">
        <v>111</v>
      </c>
      <c r="H82" s="181">
        <v>4637</v>
      </c>
      <c r="I82" s="181">
        <v>4666</v>
      </c>
      <c r="J82" s="181">
        <v>9952</v>
      </c>
      <c r="K82" s="181">
        <v>423</v>
      </c>
      <c r="L82" s="56">
        <f>L30*L118</f>
        <v>3734.6614589350256</v>
      </c>
      <c r="M82" s="56">
        <f>M30*M118</f>
        <v>3747.6287231688302</v>
      </c>
      <c r="N82" s="56">
        <f>N30*N118</f>
        <v>3269.4758550680917</v>
      </c>
      <c r="O82" s="56">
        <f>O30*O118</f>
        <v>3247.046249044105</v>
      </c>
      <c r="P82" s="56">
        <f>P30*P118</f>
        <v>3461.3911350498661</v>
      </c>
    </row>
    <row r="83" spans="3:16" ht="16">
      <c r="C83" s="14" t="s">
        <v>53</v>
      </c>
      <c r="E83" s="61" t="s">
        <v>111</v>
      </c>
      <c r="H83" s="50">
        <f>SUM(H75,H78:H82)</f>
        <v>43055</v>
      </c>
      <c r="I83" s="50">
        <f>SUM(I75,I78:I82)</f>
        <v>67362</v>
      </c>
      <c r="J83" s="50">
        <f>SUM(J75,J78:J82)</f>
        <v>116216</v>
      </c>
      <c r="K83" s="50">
        <f>SUM(K75,K78:K82)</f>
        <v>166300</v>
      </c>
      <c r="L83" s="50">
        <f t="shared" ref="L83:P83" si="43">SUM(L75,L78:L82)</f>
        <v>254637.51576830196</v>
      </c>
      <c r="M83" s="50">
        <f t="shared" si="43"/>
        <v>361668.42465547356</v>
      </c>
      <c r="N83" s="50">
        <f t="shared" si="43"/>
        <v>442536.38451604574</v>
      </c>
      <c r="O83" s="50">
        <f t="shared" si="43"/>
        <v>545641.4598838751</v>
      </c>
      <c r="P83" s="50">
        <f t="shared" si="43"/>
        <v>664690.57199276425</v>
      </c>
    </row>
    <row r="84" spans="3:16" ht="16">
      <c r="C84" s="135" t="s">
        <v>534</v>
      </c>
      <c r="E84" s="60" t="s">
        <v>93</v>
      </c>
      <c r="H84" s="773">
        <f>H83/H66</f>
        <v>0.16575489603504895</v>
      </c>
      <c r="I84" s="773">
        <f t="shared" ref="I84:P84" si="44">I83/I66</f>
        <v>0.17324191424574109</v>
      </c>
      <c r="J84" s="773">
        <f t="shared" si="44"/>
        <v>0.20837584248811686</v>
      </c>
      <c r="K84" s="773">
        <f t="shared" si="44"/>
        <v>0.21262776205125059</v>
      </c>
      <c r="L84" s="773">
        <f t="shared" si="44"/>
        <v>0.26228739007236895</v>
      </c>
      <c r="M84" s="773">
        <f t="shared" si="44"/>
        <v>0.28951781355998041</v>
      </c>
      <c r="N84" s="773">
        <f t="shared" si="44"/>
        <v>0.27070784684343802</v>
      </c>
      <c r="O84" s="773">
        <f t="shared" si="44"/>
        <v>0.25206360706034264</v>
      </c>
      <c r="P84" s="773">
        <f t="shared" si="44"/>
        <v>0.23043587253534298</v>
      </c>
    </row>
    <row r="85" spans="3:16" ht="16">
      <c r="C85" s="135"/>
      <c r="E85" s="60"/>
      <c r="H85" s="8"/>
      <c r="I85" s="8"/>
      <c r="J85" s="8"/>
      <c r="K85" s="8"/>
    </row>
    <row r="86" spans="3:16" ht="16">
      <c r="C86" s="59" t="s">
        <v>54</v>
      </c>
      <c r="E86" s="60" t="s">
        <v>111</v>
      </c>
      <c r="H86" s="181">
        <v>-134</v>
      </c>
      <c r="I86" s="181">
        <v>-16798</v>
      </c>
      <c r="J86" s="181">
        <v>-19364</v>
      </c>
      <c r="K86" s="181">
        <v>-35031</v>
      </c>
      <c r="L86" s="56">
        <f>-L83*Tax_Rate</f>
        <v>-53188.623549236225</v>
      </c>
      <c r="M86" s="56">
        <f>-M83*Tax_Rate</f>
        <v>-75545.214265084825</v>
      </c>
      <c r="N86" s="56">
        <f>-N83*Tax_Rate</f>
        <v>-92436.894429497406</v>
      </c>
      <c r="O86" s="56">
        <f>-O83*Tax_Rate</f>
        <v>-113973.45797634368</v>
      </c>
      <c r="P86" s="56">
        <f>-P83*Tax_Rate</f>
        <v>-138840.40811417077</v>
      </c>
    </row>
    <row r="87" spans="3:16" ht="16">
      <c r="C87" s="14" t="s">
        <v>30</v>
      </c>
      <c r="E87" s="61" t="s">
        <v>111</v>
      </c>
      <c r="H87" s="50">
        <f>SUM(H83,H86)</f>
        <v>42921</v>
      </c>
      <c r="I87" s="50">
        <f>SUM(I83,I86)</f>
        <v>50564</v>
      </c>
      <c r="J87" s="50">
        <f>SUM(J83,J86)</f>
        <v>96852</v>
      </c>
      <c r="K87" s="50">
        <f>SUM(K83,K86)</f>
        <v>131269</v>
      </c>
      <c r="L87" s="50">
        <f t="shared" ref="L87:P87" si="45">SUM(L83,L86)</f>
        <v>201448.89221906575</v>
      </c>
      <c r="M87" s="50">
        <f t="shared" si="45"/>
        <v>286123.21039038873</v>
      </c>
      <c r="N87" s="50">
        <f t="shared" si="45"/>
        <v>350099.49008654832</v>
      </c>
      <c r="O87" s="50">
        <f t="shared" si="45"/>
        <v>431668.0019075314</v>
      </c>
      <c r="P87" s="50">
        <f t="shared" si="45"/>
        <v>525850.16387859348</v>
      </c>
    </row>
    <row r="88" spans="3:16" ht="16">
      <c r="C88" s="10"/>
      <c r="H88" s="8"/>
      <c r="I88" s="8"/>
      <c r="J88" s="8"/>
      <c r="K88" s="8"/>
    </row>
    <row r="89" spans="3:16" ht="16">
      <c r="C89" s="59" t="s">
        <v>55</v>
      </c>
      <c r="E89" s="60" t="s">
        <v>111</v>
      </c>
      <c r="H89" s="181">
        <v>5164</v>
      </c>
      <c r="I89" s="181">
        <v>11301</v>
      </c>
      <c r="J89" s="181">
        <v>19503</v>
      </c>
      <c r="K89" s="181">
        <v>27642</v>
      </c>
      <c r="L89" s="56">
        <f>L87*L34</f>
        <v>38061.619111935826</v>
      </c>
      <c r="M89" s="56">
        <f>M87*M34</f>
        <v>51198.696114120641</v>
      </c>
      <c r="N89" s="56">
        <f>N87*N34</f>
        <v>59145.573960826179</v>
      </c>
      <c r="O89" s="56">
        <f>O87*O34</f>
        <v>68609.023834513151</v>
      </c>
      <c r="P89" s="56">
        <f>P87*P34</f>
        <v>78319.772098208428</v>
      </c>
    </row>
    <row r="90" spans="3:16" ht="16">
      <c r="C90" s="14" t="s">
        <v>56</v>
      </c>
      <c r="E90" s="61" t="s">
        <v>111</v>
      </c>
      <c r="H90" s="50">
        <v>37757</v>
      </c>
      <c r="I90" s="50">
        <v>39263</v>
      </c>
      <c r="J90" s="50">
        <v>77349</v>
      </c>
      <c r="K90" s="50">
        <v>103627</v>
      </c>
      <c r="L90" s="50">
        <v>103627</v>
      </c>
      <c r="M90" s="50">
        <v>103627</v>
      </c>
      <c r="N90" s="50">
        <v>103627</v>
      </c>
      <c r="O90" s="50">
        <v>103627</v>
      </c>
      <c r="P90" s="50">
        <v>103627</v>
      </c>
    </row>
    <row r="91" spans="3:16" ht="16">
      <c r="C91" s="14"/>
      <c r="H91" s="8"/>
      <c r="I91" s="8"/>
      <c r="J91" s="8"/>
      <c r="K91" s="8"/>
    </row>
    <row r="92" spans="3:16" ht="16">
      <c r="C92" s="13" t="s">
        <v>30</v>
      </c>
      <c r="E92" s="60" t="s">
        <v>111</v>
      </c>
      <c r="H92" s="182">
        <f>H87</f>
        <v>42921</v>
      </c>
      <c r="I92" s="182">
        <f>I87</f>
        <v>50564</v>
      </c>
      <c r="J92" s="182">
        <f>J87</f>
        <v>96852</v>
      </c>
      <c r="K92" s="182">
        <f>K87</f>
        <v>131269</v>
      </c>
      <c r="L92" s="8">
        <f>L87</f>
        <v>201448.89221906575</v>
      </c>
      <c r="M92" s="8">
        <f t="shared" ref="M92:P92" si="46">M87</f>
        <v>286123.21039038873</v>
      </c>
      <c r="N92" s="8">
        <f t="shared" si="46"/>
        <v>350099.49008654832</v>
      </c>
      <c r="O92" s="8">
        <f t="shared" si="46"/>
        <v>431668.0019075314</v>
      </c>
      <c r="P92" s="8">
        <f t="shared" si="46"/>
        <v>525850.16387859348</v>
      </c>
    </row>
    <row r="93" spans="3:16" ht="16">
      <c r="C93" s="13" t="s">
        <v>57</v>
      </c>
      <c r="E93" s="60" t="s">
        <v>111</v>
      </c>
      <c r="H93" s="182">
        <v>4695</v>
      </c>
      <c r="I93" s="182">
        <v>-59102</v>
      </c>
      <c r="J93" s="182">
        <v>-10617</v>
      </c>
      <c r="K93" s="182">
        <v>-15728</v>
      </c>
      <c r="L93" s="8">
        <f>-L92*L26</f>
        <v>-6942.2518723174544</v>
      </c>
      <c r="M93" s="8">
        <f>-M92*M26</f>
        <v>-9898.8639557562728</v>
      </c>
      <c r="N93" s="8">
        <f>-N92*N26</f>
        <v>-12112.219832211127</v>
      </c>
      <c r="O93" s="8">
        <f>-O92*O26</f>
        <v>-14934.205509247735</v>
      </c>
      <c r="P93" s="8">
        <f>-P92*P26</f>
        <v>-18192.579435426298</v>
      </c>
    </row>
    <row r="94" spans="3:16" ht="16">
      <c r="C94" s="13" t="s">
        <v>58</v>
      </c>
      <c r="E94" s="60" t="s">
        <v>111</v>
      </c>
      <c r="H94" s="181">
        <v>0</v>
      </c>
      <c r="I94" s="181">
        <v>0</v>
      </c>
      <c r="J94" s="181">
        <v>0</v>
      </c>
      <c r="K94" s="181">
        <v>428</v>
      </c>
      <c r="L94" s="56">
        <f>L110*L56</f>
        <v>411.31</v>
      </c>
      <c r="M94" s="56">
        <f>M110*M56</f>
        <v>533.55882813044639</v>
      </c>
      <c r="N94" s="56">
        <f>N110*N56</f>
        <v>718.95825536493112</v>
      </c>
      <c r="O94" s="56">
        <f>O110*O56</f>
        <v>893.97002348276749</v>
      </c>
      <c r="P94" s="56">
        <f>P110*P56</f>
        <v>1145.2431658730557</v>
      </c>
    </row>
    <row r="95" spans="3:16" ht="16">
      <c r="C95" s="14" t="s">
        <v>59</v>
      </c>
      <c r="E95" s="61" t="s">
        <v>111</v>
      </c>
      <c r="H95" s="50">
        <f>SUM(H92:H94)</f>
        <v>47616</v>
      </c>
      <c r="I95" s="50">
        <f t="shared" ref="I95:P95" si="47">SUM(I92:I94)</f>
        <v>-8538</v>
      </c>
      <c r="J95" s="50">
        <f t="shared" si="47"/>
        <v>86235</v>
      </c>
      <c r="K95" s="50">
        <f t="shared" si="47"/>
        <v>115969</v>
      </c>
      <c r="L95" s="50">
        <f t="shared" si="47"/>
        <v>194917.95034674829</v>
      </c>
      <c r="M95" s="50">
        <f t="shared" si="47"/>
        <v>276757.90526276286</v>
      </c>
      <c r="N95" s="50">
        <f t="shared" si="47"/>
        <v>338706.22850970208</v>
      </c>
      <c r="O95" s="50">
        <f t="shared" si="47"/>
        <v>417627.76642176643</v>
      </c>
      <c r="P95" s="50">
        <f t="shared" si="47"/>
        <v>508802.82760904025</v>
      </c>
    </row>
    <row r="96" spans="3:16" ht="16">
      <c r="C96" s="10"/>
      <c r="H96" s="8"/>
      <c r="I96" s="8"/>
      <c r="J96" s="8"/>
      <c r="K96" s="8"/>
    </row>
    <row r="97" spans="2:17" ht="16">
      <c r="C97" s="13" t="s">
        <v>60</v>
      </c>
      <c r="E97" s="60" t="s">
        <v>111</v>
      </c>
      <c r="H97" s="8">
        <v>5607</v>
      </c>
      <c r="I97" s="8">
        <v>1854</v>
      </c>
      <c r="J97" s="8">
        <v>17689</v>
      </c>
      <c r="K97" s="8">
        <v>26365</v>
      </c>
      <c r="L97" s="8">
        <f>L95*L34</f>
        <v>36827.667317770465</v>
      </c>
      <c r="M97" s="8">
        <f>M95*M34</f>
        <v>49522.874671354388</v>
      </c>
      <c r="N97" s="8">
        <f>N95*N34</f>
        <v>57220.803961641621</v>
      </c>
      <c r="O97" s="8">
        <f>O95*O34</f>
        <v>66377.478186403299</v>
      </c>
      <c r="P97" s="8">
        <f>P95*P34</f>
        <v>75780.753223202075</v>
      </c>
    </row>
    <row r="98" spans="2:17" ht="16">
      <c r="C98" s="14" t="s">
        <v>61</v>
      </c>
      <c r="E98" s="61" t="s">
        <v>111</v>
      </c>
      <c r="H98" s="8">
        <v>42009</v>
      </c>
      <c r="I98" s="8">
        <v>-10392</v>
      </c>
      <c r="J98" s="8">
        <v>68546</v>
      </c>
      <c r="K98" s="8">
        <v>89604</v>
      </c>
      <c r="L98" s="8">
        <f>L95-L97</f>
        <v>158090.28302897781</v>
      </c>
      <c r="M98" s="8">
        <f t="shared" ref="M98:P98" si="48">M95-M97</f>
        <v>227235.03059140846</v>
      </c>
      <c r="N98" s="8">
        <f t="shared" si="48"/>
        <v>281485.42454806046</v>
      </c>
      <c r="O98" s="8">
        <f t="shared" si="48"/>
        <v>351250.28823536314</v>
      </c>
      <c r="P98" s="8">
        <f t="shared" si="48"/>
        <v>433022.07438583818</v>
      </c>
    </row>
    <row r="99" spans="2:17" ht="16">
      <c r="C99" s="14"/>
      <c r="H99" s="8"/>
      <c r="I99" s="8"/>
      <c r="J99" s="8"/>
      <c r="K99" s="8"/>
    </row>
    <row r="100" spans="2:17" ht="16">
      <c r="C100" s="14" t="s">
        <v>110</v>
      </c>
      <c r="E100" s="61" t="s">
        <v>111</v>
      </c>
      <c r="H100" s="50">
        <f>H83+H159</f>
        <v>45408</v>
      </c>
      <c r="I100" s="50">
        <f>I83+I159</f>
        <v>72728</v>
      </c>
      <c r="J100" s="50">
        <f>J83+J159</f>
        <v>124308</v>
      </c>
      <c r="K100" s="50">
        <f>K83+K159</f>
        <v>176267</v>
      </c>
      <c r="L100" s="50">
        <f t="shared" ref="L100:P100" si="49">L83+L159</f>
        <v>267877.87517877895</v>
      </c>
      <c r="M100" s="50">
        <f t="shared" si="49"/>
        <v>379968.54875773826</v>
      </c>
      <c r="N100" s="50">
        <f t="shared" si="49"/>
        <v>465364.37585748301</v>
      </c>
      <c r="O100" s="50">
        <f t="shared" si="49"/>
        <v>573331.77429419884</v>
      </c>
      <c r="P100" s="50">
        <f t="shared" si="49"/>
        <v>698852.23077888647</v>
      </c>
    </row>
    <row r="101" spans="2:17" ht="16">
      <c r="C101" s="14"/>
      <c r="H101" s="51"/>
      <c r="I101" s="51"/>
      <c r="J101" s="51"/>
      <c r="K101" s="51"/>
    </row>
    <row r="102" spans="2:17" ht="16">
      <c r="C102" s="13" t="s">
        <v>482</v>
      </c>
      <c r="E102" s="464" t="s">
        <v>98</v>
      </c>
      <c r="H102" s="10">
        <v>57654710</v>
      </c>
      <c r="I102" s="10">
        <v>59235980</v>
      </c>
      <c r="J102" s="10">
        <v>60164670</v>
      </c>
      <c r="K102" s="10">
        <v>62687730</v>
      </c>
      <c r="L102" s="555">
        <v>62687730</v>
      </c>
      <c r="M102" s="555">
        <v>62687730</v>
      </c>
      <c r="N102" s="555">
        <v>62687730</v>
      </c>
      <c r="O102" s="555">
        <v>62687730</v>
      </c>
      <c r="P102" s="555">
        <v>62687730</v>
      </c>
    </row>
    <row r="103" spans="2:17" ht="16">
      <c r="C103" s="13" t="s">
        <v>483</v>
      </c>
      <c r="H103" s="554">
        <f t="shared" ref="H103:P103" si="50">H95*Units/H102</f>
        <v>0.82588222193815564</v>
      </c>
      <c r="I103" s="554">
        <f t="shared" si="50"/>
        <v>-0.14413537177911129</v>
      </c>
      <c r="J103" s="554">
        <f t="shared" si="50"/>
        <v>1.4333162635147836</v>
      </c>
      <c r="K103" s="554">
        <f t="shared" si="50"/>
        <v>1.8499473501433215</v>
      </c>
      <c r="L103" s="556">
        <f t="shared" si="50"/>
        <v>3.1093477199883979</v>
      </c>
      <c r="M103" s="556">
        <f t="shared" si="50"/>
        <v>4.4148656405769175</v>
      </c>
      <c r="N103" s="556">
        <f t="shared" si="50"/>
        <v>5.4030705611720524</v>
      </c>
      <c r="O103" s="556">
        <f t="shared" si="50"/>
        <v>6.6620336455278633</v>
      </c>
      <c r="P103" s="556">
        <f t="shared" si="50"/>
        <v>8.1164659752241821</v>
      </c>
    </row>
    <row r="104" spans="2:17" ht="16">
      <c r="C104" s="14"/>
      <c r="H104" s="8"/>
      <c r="I104" s="553"/>
      <c r="J104" s="8"/>
      <c r="K104" s="8"/>
    </row>
    <row r="105" spans="2:17" ht="16">
      <c r="B105" s="16"/>
      <c r="C105" s="16"/>
      <c r="D105" s="16"/>
      <c r="E105" s="16"/>
      <c r="F105" s="16"/>
      <c r="G105" s="16"/>
      <c r="H105" s="17"/>
      <c r="I105" s="17"/>
      <c r="J105" s="18" t="s">
        <v>78</v>
      </c>
      <c r="K105" s="17"/>
      <c r="L105" s="19"/>
      <c r="M105" s="17"/>
      <c r="N105" s="18" t="s">
        <v>79</v>
      </c>
      <c r="O105" s="17"/>
      <c r="P105" s="17"/>
      <c r="Q105" s="10"/>
    </row>
    <row r="106" spans="2:17" ht="16">
      <c r="B106" s="20" t="str">
        <f>"Balance Sheet - "&amp;Company_Name</f>
        <v>Balance Sheet - ACM Research, Inc.</v>
      </c>
      <c r="C106" s="16"/>
      <c r="D106" s="16"/>
      <c r="E106" s="21" t="s">
        <v>80</v>
      </c>
      <c r="F106" s="22"/>
      <c r="G106" s="22"/>
      <c r="H106" s="23">
        <f t="shared" ref="H106:P106" si="51">H17</f>
        <v>44561</v>
      </c>
      <c r="I106" s="23">
        <f t="shared" si="51"/>
        <v>44926</v>
      </c>
      <c r="J106" s="23">
        <f t="shared" si="51"/>
        <v>45291</v>
      </c>
      <c r="K106" s="23">
        <f t="shared" si="51"/>
        <v>45657</v>
      </c>
      <c r="L106" s="37">
        <f t="shared" si="51"/>
        <v>46022</v>
      </c>
      <c r="M106" s="23">
        <f t="shared" si="51"/>
        <v>46387</v>
      </c>
      <c r="N106" s="23">
        <f t="shared" si="51"/>
        <v>46752</v>
      </c>
      <c r="O106" s="23">
        <f t="shared" si="51"/>
        <v>47118</v>
      </c>
      <c r="P106" s="23">
        <f t="shared" si="51"/>
        <v>47483</v>
      </c>
      <c r="Q106" s="62"/>
    </row>
    <row r="107" spans="2:17" ht="16">
      <c r="C107" s="46" t="s">
        <v>104</v>
      </c>
      <c r="D107" s="53"/>
      <c r="E107" s="53"/>
      <c r="F107" s="53"/>
      <c r="G107" s="53"/>
      <c r="H107" s="54"/>
      <c r="I107" s="54"/>
      <c r="J107" s="54"/>
      <c r="K107" s="54"/>
      <c r="L107" s="53"/>
      <c r="M107" s="53"/>
      <c r="N107" s="53"/>
      <c r="O107" s="53"/>
      <c r="P107" s="53"/>
    </row>
    <row r="108" spans="2:17" ht="16">
      <c r="C108" s="15"/>
      <c r="H108" s="9"/>
      <c r="I108" s="9"/>
      <c r="J108" s="9"/>
      <c r="K108" s="9"/>
    </row>
    <row r="109" spans="2:17" ht="16">
      <c r="C109" s="58" t="s">
        <v>1</v>
      </c>
      <c r="E109" s="60" t="s">
        <v>111</v>
      </c>
      <c r="H109" s="8">
        <v>563067</v>
      </c>
      <c r="I109" s="8">
        <v>248451</v>
      </c>
      <c r="J109" s="8">
        <v>183173</v>
      </c>
      <c r="K109" s="8">
        <v>411310</v>
      </c>
      <c r="L109" s="8">
        <f>L199</f>
        <v>533558.82813044637</v>
      </c>
      <c r="M109" s="8">
        <f t="shared" ref="M109:P109" si="52">M199</f>
        <v>718958.25536493107</v>
      </c>
      <c r="N109" s="8">
        <f t="shared" si="52"/>
        <v>893970.0234827674</v>
      </c>
      <c r="O109" s="8">
        <f t="shared" si="52"/>
        <v>1145243.1658730556</v>
      </c>
      <c r="P109" s="8">
        <f t="shared" si="52"/>
        <v>1463164.2414764296</v>
      </c>
      <c r="Q109" s="4"/>
    </row>
    <row r="110" spans="2:17" ht="16">
      <c r="C110" s="58" t="s">
        <v>199</v>
      </c>
      <c r="E110" s="60" t="s">
        <v>111</v>
      </c>
      <c r="H110" s="8">
        <v>29498</v>
      </c>
      <c r="I110" s="8">
        <v>90701</v>
      </c>
      <c r="J110" s="8">
        <v>101836</v>
      </c>
      <c r="K110" s="8">
        <v>36650</v>
      </c>
      <c r="L110" s="8">
        <f>L41*K109</f>
        <v>41131</v>
      </c>
      <c r="M110" s="8">
        <f>M41*L109</f>
        <v>53355.882813044642</v>
      </c>
      <c r="N110" s="8">
        <f>N41*M109</f>
        <v>71895.82553649311</v>
      </c>
      <c r="O110" s="8">
        <f>O41*N109</f>
        <v>89397.002348276743</v>
      </c>
      <c r="P110" s="8">
        <f>P41*O109</f>
        <v>114524.31658730557</v>
      </c>
      <c r="Q110" s="4"/>
    </row>
    <row r="111" spans="2:17" ht="16">
      <c r="C111" s="58" t="s">
        <v>2</v>
      </c>
      <c r="E111" s="60" t="s">
        <v>111</v>
      </c>
      <c r="H111" s="8">
        <v>105553</v>
      </c>
      <c r="I111" s="8">
        <v>182936</v>
      </c>
      <c r="J111" s="8">
        <v>283186</v>
      </c>
      <c r="K111" s="8">
        <v>387045</v>
      </c>
      <c r="L111" s="8">
        <f>L66/(L64-EOMONTH(L64,-12))*L42</f>
        <v>456489.87460922514</v>
      </c>
      <c r="M111" s="8">
        <f>M66/(M64-EOMONTH(M64,-12))*M42</f>
        <v>564711.17746379634</v>
      </c>
      <c r="N111" s="8">
        <f>N66/(N64-EOMONTH(N64,-12))*N42</f>
        <v>716597.44768615707</v>
      </c>
      <c r="O111" s="8">
        <f>O66/(O64-EOMONTH(O64,-12))*O42</f>
        <v>916743.47650607687</v>
      </c>
      <c r="P111" s="8">
        <f>P66/(P64-EOMONTH(P64,-12))*P42</f>
        <v>1185407.9229622828</v>
      </c>
      <c r="Q111" s="4"/>
    </row>
    <row r="112" spans="2:17" ht="16">
      <c r="C112" s="58" t="s">
        <v>3</v>
      </c>
      <c r="E112" s="60" t="s">
        <v>111</v>
      </c>
      <c r="H112" s="8">
        <v>218116</v>
      </c>
      <c r="I112" s="8">
        <v>393172</v>
      </c>
      <c r="J112" s="8">
        <v>545395</v>
      </c>
      <c r="K112" s="8">
        <v>597984</v>
      </c>
      <c r="L112" s="8">
        <f>L43/(L64-EOMONTH(L64,-12))*L66</f>
        <v>718151.17727779958</v>
      </c>
      <c r="M112" s="8">
        <f>M43/(M64-EOMONTH(M64,-12))*M66</f>
        <v>889847.91600355774</v>
      </c>
      <c r="N112" s="8">
        <f>N43/(N64-EOMONTH(N64,-12))*N66</f>
        <v>1119683.5120096204</v>
      </c>
      <c r="O112" s="8">
        <f>O43/(O64-EOMONTH(O64,-12))*O66</f>
        <v>1419473.7700739254</v>
      </c>
      <c r="P112" s="8">
        <f>P43/(P64-EOMONTH(P64,-12))*P66</f>
        <v>1817625.4818755002</v>
      </c>
      <c r="Q112" s="4"/>
    </row>
    <row r="113" spans="3:17" ht="16">
      <c r="C113" s="59" t="s">
        <v>206</v>
      </c>
      <c r="E113" s="60" t="s">
        <v>111</v>
      </c>
      <c r="H113" s="56">
        <v>36700</v>
      </c>
      <c r="I113" s="56">
        <v>48546</v>
      </c>
      <c r="J113" s="56">
        <v>62520</v>
      </c>
      <c r="K113" s="56">
        <v>50390</v>
      </c>
      <c r="L113" s="56">
        <f>L66*L44</f>
        <v>58250.039934754859</v>
      </c>
      <c r="M113" s="56">
        <f>M66*M44</f>
        <v>62460.478719480503</v>
      </c>
      <c r="N113" s="56">
        <f>N66*N44</f>
        <v>81736.896376702294</v>
      </c>
      <c r="O113" s="56">
        <f>O66*O44</f>
        <v>86587.899974509462</v>
      </c>
      <c r="P113" s="56">
        <f>P66*P44</f>
        <v>115379.7045016622</v>
      </c>
      <c r="Q113" s="4"/>
    </row>
    <row r="114" spans="3:17" ht="16">
      <c r="C114" s="14" t="s">
        <v>4</v>
      </c>
      <c r="E114" s="61" t="s">
        <v>111</v>
      </c>
      <c r="H114" s="50">
        <f>SUM(H109:H113)</f>
        <v>952934</v>
      </c>
      <c r="I114" s="50">
        <f>SUM(I109:I113)</f>
        <v>963806</v>
      </c>
      <c r="J114" s="50">
        <f>SUM(J109:J113)</f>
        <v>1176110</v>
      </c>
      <c r="K114" s="50">
        <f>SUM(K109:K113)</f>
        <v>1483379</v>
      </c>
      <c r="L114" s="50">
        <f t="shared" ref="L114:P114" si="53">SUM(L109:L113)</f>
        <v>1807580.9199522259</v>
      </c>
      <c r="M114" s="50">
        <f t="shared" si="53"/>
        <v>2289333.7103648102</v>
      </c>
      <c r="N114" s="50">
        <f t="shared" si="53"/>
        <v>2883883.7050917405</v>
      </c>
      <c r="O114" s="50">
        <f t="shared" si="53"/>
        <v>3657445.3147758446</v>
      </c>
      <c r="P114" s="50">
        <f t="shared" si="53"/>
        <v>4696101.6674031802</v>
      </c>
      <c r="Q114" s="4"/>
    </row>
    <row r="115" spans="3:17" ht="16">
      <c r="C115" s="10"/>
      <c r="H115" s="8"/>
      <c r="I115" s="8"/>
      <c r="J115" s="8"/>
      <c r="K115" s="8"/>
      <c r="Q115" s="4"/>
    </row>
    <row r="116" spans="3:17" ht="16">
      <c r="C116" s="58" t="s">
        <v>5</v>
      </c>
      <c r="E116" s="60" t="s">
        <v>111</v>
      </c>
      <c r="H116" s="8">
        <v>14519</v>
      </c>
      <c r="I116" s="8">
        <v>84130</v>
      </c>
      <c r="J116" s="8">
        <v>204386</v>
      </c>
      <c r="K116" s="8">
        <v>272733</v>
      </c>
      <c r="L116" s="8">
        <f>Drivers!L89</f>
        <v>333386.7287990622</v>
      </c>
      <c r="M116" s="8">
        <f>Drivers!M89</f>
        <v>388603.10601511662</v>
      </c>
      <c r="N116" s="8">
        <f>Drivers!N89</f>
        <v>439773.70449050999</v>
      </c>
      <c r="O116" s="8">
        <f>Drivers!O89</f>
        <v>495661.80062033952</v>
      </c>
      <c r="P116" s="8">
        <f>Drivers!P89</f>
        <v>575920.90314901806</v>
      </c>
      <c r="Q116" s="4"/>
    </row>
    <row r="117" spans="3:17" ht="16">
      <c r="C117" s="58" t="s">
        <v>6</v>
      </c>
      <c r="E117" s="60" t="s">
        <v>111</v>
      </c>
      <c r="H117" s="8">
        <v>4182</v>
      </c>
      <c r="I117" s="8">
        <v>2489</v>
      </c>
      <c r="J117" s="8">
        <v>15393</v>
      </c>
      <c r="K117" s="8">
        <v>14038</v>
      </c>
      <c r="L117" s="8">
        <f>L116*L46</f>
        <v>17377.241952711775</v>
      </c>
      <c r="M117" s="8">
        <f>M116*M46</f>
        <v>19430.155300755832</v>
      </c>
      <c r="N117" s="8">
        <f>N116*N46</f>
        <v>17590.948179620402</v>
      </c>
      <c r="O117" s="8">
        <f>O116*O46</f>
        <v>19826.472024813582</v>
      </c>
      <c r="P117" s="8">
        <f>P116*P46</f>
        <v>17277.627094470543</v>
      </c>
      <c r="Q117" s="4"/>
    </row>
    <row r="118" spans="3:17" ht="16">
      <c r="C118" s="58" t="s">
        <v>7</v>
      </c>
      <c r="E118" s="60" t="s">
        <v>111</v>
      </c>
      <c r="H118" s="8">
        <v>12694</v>
      </c>
      <c r="I118" s="8">
        <v>119415</v>
      </c>
      <c r="J118" s="8">
        <v>68698</v>
      </c>
      <c r="K118" s="8">
        <v>50338</v>
      </c>
      <c r="L118" s="8">
        <f>L66*L47</f>
        <v>58250.039934754859</v>
      </c>
      <c r="M118" s="8">
        <f>M66*M47</f>
        <v>74952.574463376601</v>
      </c>
      <c r="N118" s="8">
        <f>N66*N47</f>
        <v>81736.896376702294</v>
      </c>
      <c r="O118" s="8">
        <f>O66*O47</f>
        <v>108234.87496813684</v>
      </c>
      <c r="P118" s="8">
        <f>P66*P47</f>
        <v>115379.7045016622</v>
      </c>
      <c r="Q118" s="4"/>
    </row>
    <row r="119" spans="3:17" ht="16">
      <c r="C119" s="59" t="s">
        <v>8</v>
      </c>
      <c r="E119" s="60" t="s">
        <v>111</v>
      </c>
      <c r="H119" s="56">
        <v>67850</v>
      </c>
      <c r="I119" s="56">
        <v>65660</v>
      </c>
      <c r="J119" s="56">
        <v>26321</v>
      </c>
      <c r="K119" s="56">
        <v>35233</v>
      </c>
      <c r="L119" s="56">
        <f>L66*L48</f>
        <v>38833.359956503242</v>
      </c>
      <c r="M119" s="56">
        <f>M66*M48</f>
        <v>49968.382975584398</v>
      </c>
      <c r="N119" s="56">
        <f>N66*N48</f>
        <v>49042.137826021375</v>
      </c>
      <c r="O119" s="56">
        <f>O66*O48</f>
        <v>64940.92498088209</v>
      </c>
      <c r="P119" s="56">
        <f>P66*P48</f>
        <v>57689.8522508311</v>
      </c>
      <c r="Q119" s="4"/>
    </row>
    <row r="120" spans="3:17" ht="16">
      <c r="C120" s="14" t="s">
        <v>9</v>
      </c>
      <c r="E120" s="61" t="s">
        <v>111</v>
      </c>
      <c r="H120" s="50">
        <f>SUM(H116:H119,H114)</f>
        <v>1052179</v>
      </c>
      <c r="I120" s="50">
        <f>SUM(I116:I119,I114)</f>
        <v>1235500</v>
      </c>
      <c r="J120" s="50">
        <f>SUM(J116:J119,J114)</f>
        <v>1490908</v>
      </c>
      <c r="K120" s="50">
        <f>SUM(K116:K119,K114)</f>
        <v>1855721</v>
      </c>
      <c r="L120" s="50">
        <f t="shared" ref="L120:P120" si="54">SUM(L116:L119,L114)</f>
        <v>2255428.2905952581</v>
      </c>
      <c r="M120" s="50">
        <f t="shared" si="54"/>
        <v>2822287.9291196438</v>
      </c>
      <c r="N120" s="50">
        <f t="shared" si="54"/>
        <v>3472027.3919645944</v>
      </c>
      <c r="O120" s="50">
        <f t="shared" si="54"/>
        <v>4346109.3873700164</v>
      </c>
      <c r="P120" s="50">
        <f t="shared" si="54"/>
        <v>5462369.7543991618</v>
      </c>
      <c r="Q120" s="4"/>
    </row>
    <row r="121" spans="3:17" ht="16">
      <c r="C121" s="14"/>
      <c r="H121" s="50"/>
      <c r="I121" s="50"/>
      <c r="J121" s="50"/>
      <c r="K121" s="50"/>
      <c r="Q121" s="4"/>
    </row>
    <row r="122" spans="3:17" ht="16">
      <c r="C122" s="46" t="s">
        <v>105</v>
      </c>
      <c r="D122" s="53"/>
      <c r="E122" s="53"/>
      <c r="F122" s="53"/>
      <c r="G122" s="53"/>
      <c r="H122" s="54"/>
      <c r="I122" s="54"/>
      <c r="J122" s="54"/>
      <c r="K122" s="54"/>
      <c r="L122" s="53"/>
      <c r="M122" s="53"/>
      <c r="N122" s="53"/>
      <c r="O122" s="53"/>
      <c r="P122" s="53"/>
      <c r="Q122" s="4"/>
    </row>
    <row r="123" spans="3:17" ht="16">
      <c r="C123" s="10"/>
      <c r="H123" s="5"/>
      <c r="I123" s="5"/>
      <c r="J123" s="5"/>
      <c r="K123" s="5"/>
      <c r="Q123" s="4"/>
    </row>
    <row r="124" spans="3:17" ht="16">
      <c r="C124" s="58" t="s">
        <v>10</v>
      </c>
      <c r="E124" s="60" t="s">
        <v>111</v>
      </c>
      <c r="H124" s="8">
        <v>9591</v>
      </c>
      <c r="I124" s="8">
        <v>56004</v>
      </c>
      <c r="J124" s="8">
        <v>31335</v>
      </c>
      <c r="K124" s="8">
        <v>32814</v>
      </c>
      <c r="L124" s="8">
        <f>L131*L50</f>
        <v>47454.933955635453</v>
      </c>
      <c r="M124" s="8">
        <f>M131*M50</f>
        <v>33400.187879205274</v>
      </c>
      <c r="N124" s="8">
        <f>N131*N50</f>
        <v>32457.513398298091</v>
      </c>
      <c r="O124" s="8">
        <f>O131*O50</f>
        <v>29499.840955164007</v>
      </c>
      <c r="P124" s="8">
        <f>P131*P50</f>
        <v>27102.900494701993</v>
      </c>
      <c r="Q124" s="4"/>
    </row>
    <row r="125" spans="3:17" ht="16">
      <c r="C125" s="58" t="s">
        <v>11</v>
      </c>
      <c r="E125" s="60" t="s">
        <v>111</v>
      </c>
      <c r="H125" s="8">
        <v>2410</v>
      </c>
      <c r="I125" s="8">
        <v>2322</v>
      </c>
      <c r="J125" s="8">
        <v>6783</v>
      </c>
      <c r="K125" s="8">
        <v>44472</v>
      </c>
      <c r="L125" s="8">
        <f>-Drivers!L69</f>
        <v>33758</v>
      </c>
      <c r="M125" s="8">
        <f>-Drivers!M69</f>
        <v>58296</v>
      </c>
      <c r="N125" s="8">
        <f>-Drivers!N69</f>
        <v>16664.223567337915</v>
      </c>
      <c r="O125" s="8">
        <f>-Drivers!O69</f>
        <v>19476.472544731954</v>
      </c>
      <c r="P125" s="8">
        <f>-Drivers!P69</f>
        <v>18526.391533772232</v>
      </c>
      <c r="Q125" s="4"/>
    </row>
    <row r="126" spans="3:17" ht="16">
      <c r="C126" s="58" t="s">
        <v>12</v>
      </c>
      <c r="E126" s="60" t="s">
        <v>111</v>
      </c>
      <c r="H126" s="8">
        <v>101350</v>
      </c>
      <c r="I126" s="8">
        <v>116203</v>
      </c>
      <c r="J126" s="8">
        <v>153221</v>
      </c>
      <c r="K126" s="8">
        <v>155427</v>
      </c>
      <c r="L126" s="8">
        <f>L51/(L64-EOMONTH(L64,-12))*L66</f>
        <v>212785.53400823692</v>
      </c>
      <c r="M126" s="8">
        <f>M51/(M64-EOMONTH(M64,-12))*M66</f>
        <v>256686.89884718013</v>
      </c>
      <c r="N126" s="8">
        <f>N51/(N64-EOMONTH(N64,-12))*N66</f>
        <v>313511.38336269371</v>
      </c>
      <c r="O126" s="8">
        <f>O51/(O64-EOMONTH(O64,-12))*O66</f>
        <v>384440.81272835482</v>
      </c>
      <c r="P126" s="8">
        <f>P51/(P64-EOMONTH(P64,-12))*P66</f>
        <v>474163.1691849131</v>
      </c>
      <c r="Q126" s="4"/>
    </row>
    <row r="127" spans="3:17" ht="16">
      <c r="C127" s="58" t="s">
        <v>13</v>
      </c>
      <c r="E127" s="60" t="s">
        <v>111</v>
      </c>
      <c r="H127" s="8">
        <v>52824</v>
      </c>
      <c r="I127" s="8">
        <v>153773</v>
      </c>
      <c r="J127" s="8">
        <v>181368</v>
      </c>
      <c r="K127" s="8">
        <v>243949</v>
      </c>
      <c r="L127" s="8">
        <f>L66*L52</f>
        <v>299973.14211250423</v>
      </c>
      <c r="M127" s="8">
        <f>M66*M52</f>
        <v>418972.71262402419</v>
      </c>
      <c r="N127" s="8">
        <f>N66*N52</f>
        <v>523719.81150059251</v>
      </c>
      <c r="O127" s="8">
        <f>O66*O52</f>
        <v>690891.73037479853</v>
      </c>
      <c r="P127" s="8">
        <f>P66*P52</f>
        <v>925855.57306402037</v>
      </c>
      <c r="Q127" s="4"/>
    </row>
    <row r="128" spans="3:17" ht="16">
      <c r="C128" s="59" t="s">
        <v>14</v>
      </c>
      <c r="E128" s="60" t="s">
        <v>111</v>
      </c>
      <c r="H128" s="56">
        <v>37451</v>
      </c>
      <c r="I128" s="56">
        <v>66530</v>
      </c>
      <c r="J128" s="56">
        <v>125188</v>
      </c>
      <c r="K128" s="56">
        <v>162439</v>
      </c>
      <c r="L128" s="56">
        <f>L53*L66</f>
        <v>181409.16944700648</v>
      </c>
      <c r="M128" s="56">
        <f>M53*M66</f>
        <v>246754.84412654259</v>
      </c>
      <c r="N128" s="56">
        <f>N53*N66</f>
        <v>333707.93430018186</v>
      </c>
      <c r="O128" s="56">
        <f>O53*O66</f>
        <v>430890.8748315351</v>
      </c>
      <c r="P128" s="56">
        <f>P53*P66</f>
        <v>567939.96369751543</v>
      </c>
      <c r="Q128" s="4"/>
    </row>
    <row r="129" spans="3:17" ht="16">
      <c r="C129" s="14" t="s">
        <v>15</v>
      </c>
      <c r="E129" s="61" t="s">
        <v>111</v>
      </c>
      <c r="H129" s="50">
        <f>SUM(H124:H128)</f>
        <v>203626</v>
      </c>
      <c r="I129" s="50">
        <f>SUM(I124:I128)</f>
        <v>394832</v>
      </c>
      <c r="J129" s="50">
        <f>SUM(J124:J128)</f>
        <v>497895</v>
      </c>
      <c r="K129" s="50">
        <f>SUM(K124:K128)</f>
        <v>639101</v>
      </c>
      <c r="L129" s="50">
        <f t="shared" ref="L129:P129" si="55">SUM(L124:L128)</f>
        <v>775380.77952338313</v>
      </c>
      <c r="M129" s="50">
        <f t="shared" si="55"/>
        <v>1014110.6434769521</v>
      </c>
      <c r="N129" s="50">
        <f t="shared" si="55"/>
        <v>1220060.866129104</v>
      </c>
      <c r="O129" s="50">
        <f t="shared" si="55"/>
        <v>1555199.7314345844</v>
      </c>
      <c r="P129" s="50">
        <f t="shared" si="55"/>
        <v>2013587.9979749231</v>
      </c>
      <c r="Q129" s="4"/>
    </row>
    <row r="130" spans="3:17" ht="16">
      <c r="C130" s="10"/>
      <c r="H130" s="8"/>
      <c r="I130" s="8"/>
      <c r="J130" s="8"/>
      <c r="K130" s="8"/>
      <c r="Q130" s="4"/>
    </row>
    <row r="131" spans="3:17" ht="16">
      <c r="C131" s="58" t="s">
        <v>16</v>
      </c>
      <c r="E131" s="60" t="s">
        <v>111</v>
      </c>
      <c r="H131" s="8">
        <v>22957</v>
      </c>
      <c r="I131" s="8">
        <v>18687</v>
      </c>
      <c r="J131" s="8">
        <v>53952</v>
      </c>
      <c r="K131" s="8">
        <v>105525</v>
      </c>
      <c r="L131" s="8">
        <f>Drivers!L70</f>
        <v>108714.04410476959</v>
      </c>
      <c r="M131" s="8">
        <f>Drivers!M70</f>
        <v>83500.469698013185</v>
      </c>
      <c r="N131" s="8">
        <f>Drivers!N70</f>
        <v>92735.752566565978</v>
      </c>
      <c r="O131" s="8">
        <f>Drivers!O70</f>
        <v>98332.803183880023</v>
      </c>
      <c r="P131" s="8">
        <f>Drivers!P70</f>
        <v>108411.60197880797</v>
      </c>
      <c r="Q131" s="4"/>
    </row>
    <row r="132" spans="3:17" ht="16">
      <c r="C132" s="58" t="s">
        <v>17</v>
      </c>
      <c r="E132" s="60" t="s">
        <v>111</v>
      </c>
      <c r="H132" s="8">
        <v>4182</v>
      </c>
      <c r="I132" s="8">
        <v>2489</v>
      </c>
      <c r="J132" s="8">
        <v>7026</v>
      </c>
      <c r="K132" s="8">
        <v>5972</v>
      </c>
      <c r="L132" s="8">
        <f>L116*L55</f>
        <v>9541.3248958239965</v>
      </c>
      <c r="M132" s="8">
        <f>M116*M55</f>
        <v>10996.482815579822</v>
      </c>
      <c r="N132" s="8">
        <f>N116*N55</f>
        <v>11553.401828090236</v>
      </c>
      <c r="O132" s="8">
        <f>O116*O55</f>
        <v>13744.387522935751</v>
      </c>
      <c r="P132" s="8">
        <f>P116*P55</f>
        <v>15799.060384427205</v>
      </c>
      <c r="Q132" s="4"/>
    </row>
    <row r="133" spans="3:17" ht="16">
      <c r="C133" s="59" t="s">
        <v>18</v>
      </c>
      <c r="E133" s="60" t="s">
        <v>111</v>
      </c>
      <c r="H133" s="56">
        <v>9749</v>
      </c>
      <c r="I133" s="56">
        <v>7321</v>
      </c>
      <c r="J133" s="56">
        <v>5873</v>
      </c>
      <c r="K133" s="56">
        <v>9217</v>
      </c>
      <c r="L133" s="56">
        <f>L66*L56</f>
        <v>9708.3399891258105</v>
      </c>
      <c r="M133" s="56">
        <f>M66*M56</f>
        <v>12492.0957438961</v>
      </c>
      <c r="N133" s="56">
        <f>N66*N56</f>
        <v>16347.37927534046</v>
      </c>
      <c r="O133" s="56">
        <f>O66*O56</f>
        <v>21646.974993627366</v>
      </c>
      <c r="P133" s="56">
        <f>P66*P56</f>
        <v>28844.92612541555</v>
      </c>
      <c r="Q133" s="4"/>
    </row>
    <row r="134" spans="3:17" ht="16">
      <c r="C134" s="14" t="s">
        <v>19</v>
      </c>
      <c r="E134" s="61" t="s">
        <v>111</v>
      </c>
      <c r="H134" s="50">
        <f>SUM(H131:H133,H129)</f>
        <v>240514</v>
      </c>
      <c r="I134" s="50">
        <f>SUM(I131:I133,I129)</f>
        <v>423329</v>
      </c>
      <c r="J134" s="50">
        <f>SUM(J131:J133,J129)</f>
        <v>564746</v>
      </c>
      <c r="K134" s="50">
        <f>SUM(K131:K133,K129)</f>
        <v>759815</v>
      </c>
      <c r="L134" s="50">
        <f t="shared" ref="L134:P134" si="56">SUM(L131:L133,L129)</f>
        <v>903344.48851310252</v>
      </c>
      <c r="M134" s="50">
        <f t="shared" si="56"/>
        <v>1121099.6917344411</v>
      </c>
      <c r="N134" s="50">
        <f t="shared" si="56"/>
        <v>1340697.3997991008</v>
      </c>
      <c r="O134" s="50">
        <f t="shared" si="56"/>
        <v>1688923.8971350275</v>
      </c>
      <c r="P134" s="50">
        <f t="shared" si="56"/>
        <v>2166643.5864635739</v>
      </c>
      <c r="Q134" s="4"/>
    </row>
    <row r="135" spans="3:17" ht="16">
      <c r="C135" s="14"/>
      <c r="H135" s="50"/>
      <c r="I135" s="50"/>
      <c r="J135" s="50"/>
      <c r="K135" s="50"/>
      <c r="Q135" s="4"/>
    </row>
    <row r="136" spans="3:17" ht="16">
      <c r="C136" s="46" t="s">
        <v>106</v>
      </c>
      <c r="D136" s="53"/>
      <c r="E136" s="53"/>
      <c r="F136" s="53"/>
      <c r="G136" s="53"/>
      <c r="H136" s="54"/>
      <c r="I136" s="54"/>
      <c r="J136" s="54"/>
      <c r="K136" s="54"/>
      <c r="L136" s="53"/>
      <c r="M136" s="53"/>
      <c r="N136" s="53"/>
      <c r="O136" s="53"/>
      <c r="P136" s="53"/>
      <c r="Q136" s="4"/>
    </row>
    <row r="137" spans="3:17" ht="16">
      <c r="C137" s="52"/>
      <c r="H137" s="5"/>
      <c r="I137" s="5"/>
      <c r="J137" s="5"/>
      <c r="K137" s="5"/>
      <c r="Q137" s="4"/>
    </row>
    <row r="138" spans="3:17" ht="16">
      <c r="C138" s="58" t="s">
        <v>20</v>
      </c>
      <c r="H138" s="8">
        <v>5</v>
      </c>
      <c r="I138" s="8">
        <v>5</v>
      </c>
      <c r="J138" s="8">
        <v>6</v>
      </c>
      <c r="K138" s="8">
        <v>6</v>
      </c>
      <c r="L138" s="70">
        <v>6</v>
      </c>
      <c r="M138" s="70">
        <v>6</v>
      </c>
      <c r="N138" s="70">
        <v>6</v>
      </c>
      <c r="O138" s="70">
        <v>6</v>
      </c>
      <c r="P138" s="70">
        <v>6</v>
      </c>
      <c r="Q138" s="4"/>
    </row>
    <row r="139" spans="3:17" ht="16">
      <c r="C139" s="58" t="s">
        <v>21</v>
      </c>
      <c r="H139" s="8">
        <v>1</v>
      </c>
      <c r="I139" s="8">
        <v>1</v>
      </c>
      <c r="J139" s="8">
        <v>1</v>
      </c>
      <c r="K139" s="8">
        <v>1</v>
      </c>
      <c r="L139" s="70">
        <v>1</v>
      </c>
      <c r="M139" s="70">
        <v>1</v>
      </c>
      <c r="N139" s="70">
        <v>1</v>
      </c>
      <c r="O139" s="70">
        <v>1</v>
      </c>
      <c r="P139" s="70">
        <v>1</v>
      </c>
      <c r="Q139" s="4"/>
    </row>
    <row r="140" spans="3:17" ht="16">
      <c r="C140" s="58" t="s">
        <v>22</v>
      </c>
      <c r="E140" s="60" t="s">
        <v>111</v>
      </c>
      <c r="H140" s="8">
        <v>595045</v>
      </c>
      <c r="I140" s="8">
        <v>604089</v>
      </c>
      <c r="J140" s="8">
        <v>629845</v>
      </c>
      <c r="K140" s="8">
        <v>677476</v>
      </c>
      <c r="L140" s="70">
        <v>677476</v>
      </c>
      <c r="M140" s="70">
        <v>677476</v>
      </c>
      <c r="N140" s="70">
        <v>677476</v>
      </c>
      <c r="O140" s="70">
        <v>677476</v>
      </c>
      <c r="P140" s="70">
        <v>677476</v>
      </c>
      <c r="Q140" s="4"/>
    </row>
    <row r="141" spans="3:17" ht="16">
      <c r="C141" s="58" t="s">
        <v>23</v>
      </c>
      <c r="E141" s="60" t="s">
        <v>111</v>
      </c>
      <c r="H141" s="8">
        <v>63732</v>
      </c>
      <c r="I141" s="8">
        <v>94426</v>
      </c>
      <c r="J141" s="8">
        <v>156827</v>
      </c>
      <c r="K141" s="8">
        <v>260000</v>
      </c>
      <c r="L141" s="8">
        <f>SUM(K141,L157,L160:L167,L192,L195)</f>
        <v>516177.8020821556</v>
      </c>
      <c r="M141" s="8">
        <f t="shared" ref="M141:P141" si="57">SUM(L141,M157,M160:M167,M192,M195)</f>
        <v>865282.23738520243</v>
      </c>
      <c r="N141" s="8">
        <f t="shared" si="57"/>
        <v>1295423.9921654935</v>
      </c>
      <c r="O141" s="8">
        <f t="shared" si="57"/>
        <v>1821279.4902349885</v>
      </c>
      <c r="P141" s="8">
        <f t="shared" si="57"/>
        <v>2459820.1679355879</v>
      </c>
      <c r="Q141" s="4"/>
    </row>
    <row r="142" spans="3:17" ht="16">
      <c r="C142" s="58" t="s">
        <v>24</v>
      </c>
      <c r="E142" s="60" t="s">
        <v>111</v>
      </c>
      <c r="H142" s="8">
        <v>8312</v>
      </c>
      <c r="I142" s="8">
        <v>16881</v>
      </c>
      <c r="J142" s="8">
        <v>30060</v>
      </c>
      <c r="K142" s="8">
        <v>30514</v>
      </c>
      <c r="L142" s="70">
        <v>30514</v>
      </c>
      <c r="M142" s="70">
        <v>30514</v>
      </c>
      <c r="N142" s="70">
        <v>30514</v>
      </c>
      <c r="O142" s="70">
        <v>30514</v>
      </c>
      <c r="P142" s="70">
        <v>30514</v>
      </c>
      <c r="Q142" s="4"/>
    </row>
    <row r="143" spans="3:17" ht="16">
      <c r="C143" s="59" t="s">
        <v>25</v>
      </c>
      <c r="E143" s="60" t="s">
        <v>111</v>
      </c>
      <c r="H143" s="56">
        <v>9109</v>
      </c>
      <c r="I143" s="56">
        <v>-40546</v>
      </c>
      <c r="J143" s="56">
        <v>-49349</v>
      </c>
      <c r="K143" s="56">
        <v>-63372</v>
      </c>
      <c r="L143" s="186">
        <v>-63372</v>
      </c>
      <c r="M143" s="186">
        <v>-63372</v>
      </c>
      <c r="N143" s="186">
        <v>-63372</v>
      </c>
      <c r="O143" s="186">
        <v>-63372</v>
      </c>
      <c r="P143" s="186">
        <v>-63372</v>
      </c>
      <c r="Q143" s="4"/>
    </row>
    <row r="144" spans="3:17" ht="16">
      <c r="C144" s="14" t="s">
        <v>26</v>
      </c>
      <c r="E144" s="61" t="s">
        <v>111</v>
      </c>
      <c r="H144" s="50">
        <f>SUM(H138:H143)</f>
        <v>676204</v>
      </c>
      <c r="I144" s="50">
        <f t="shared" ref="I144:P144" si="58">SUM(I138:I143)</f>
        <v>674856</v>
      </c>
      <c r="J144" s="50">
        <f t="shared" si="58"/>
        <v>767390</v>
      </c>
      <c r="K144" s="50">
        <f t="shared" si="58"/>
        <v>904625</v>
      </c>
      <c r="L144" s="50">
        <f t="shared" si="58"/>
        <v>1160802.8020821556</v>
      </c>
      <c r="M144" s="50">
        <f t="shared" si="58"/>
        <v>1509907.2373852024</v>
      </c>
      <c r="N144" s="50">
        <f t="shared" si="58"/>
        <v>1940048.9921654935</v>
      </c>
      <c r="O144" s="50">
        <f t="shared" si="58"/>
        <v>2465904.4902349887</v>
      </c>
      <c r="P144" s="50">
        <f t="shared" si="58"/>
        <v>3104445.1679355879</v>
      </c>
      <c r="Q144" s="4"/>
    </row>
    <row r="145" spans="2:17" ht="16">
      <c r="C145" s="10"/>
      <c r="H145" s="8"/>
      <c r="I145" s="8"/>
      <c r="J145" s="8"/>
      <c r="K145" s="8"/>
      <c r="Q145" s="4"/>
    </row>
    <row r="146" spans="2:17" ht="16">
      <c r="C146" s="59" t="s">
        <v>27</v>
      </c>
      <c r="E146" s="60" t="s">
        <v>111</v>
      </c>
      <c r="H146" s="56">
        <v>135461</v>
      </c>
      <c r="I146" s="56">
        <v>137315</v>
      </c>
      <c r="J146" s="56">
        <v>158772</v>
      </c>
      <c r="K146" s="186">
        <v>191281</v>
      </c>
      <c r="L146" s="186">
        <v>191281</v>
      </c>
      <c r="M146" s="186">
        <v>191281</v>
      </c>
      <c r="N146" s="186">
        <v>191281</v>
      </c>
      <c r="O146" s="186">
        <v>191281</v>
      </c>
      <c r="P146" s="186">
        <v>191281</v>
      </c>
      <c r="Q146" s="4"/>
    </row>
    <row r="147" spans="2:17" ht="16">
      <c r="C147" s="14" t="s">
        <v>28</v>
      </c>
      <c r="E147" s="61" t="s">
        <v>111</v>
      </c>
      <c r="H147" s="50">
        <f>SUM(H146,H144)</f>
        <v>811665</v>
      </c>
      <c r="I147" s="50">
        <f t="shared" ref="I147:P147" si="59">SUM(I146,I144)</f>
        <v>812171</v>
      </c>
      <c r="J147" s="50">
        <f t="shared" si="59"/>
        <v>926162</v>
      </c>
      <c r="K147" s="50">
        <f t="shared" si="59"/>
        <v>1095906</v>
      </c>
      <c r="L147" s="50">
        <f t="shared" si="59"/>
        <v>1352083.8020821556</v>
      </c>
      <c r="M147" s="50">
        <f t="shared" si="59"/>
        <v>1701188.2373852024</v>
      </c>
      <c r="N147" s="50">
        <f t="shared" si="59"/>
        <v>2131329.9921654938</v>
      </c>
      <c r="O147" s="50">
        <f t="shared" si="59"/>
        <v>2657185.4902349887</v>
      </c>
      <c r="P147" s="50">
        <f t="shared" si="59"/>
        <v>3295726.1679355879</v>
      </c>
      <c r="Q147" s="4"/>
    </row>
    <row r="148" spans="2:17" ht="16">
      <c r="C148" s="10"/>
      <c r="H148" s="8"/>
      <c r="I148" s="8"/>
      <c r="J148" s="8"/>
      <c r="K148" s="8"/>
      <c r="Q148" s="4"/>
    </row>
    <row r="149" spans="2:17" ht="16">
      <c r="C149" s="14" t="s">
        <v>29</v>
      </c>
      <c r="H149" s="50">
        <f>SUM(H134,H147)</f>
        <v>1052179</v>
      </c>
      <c r="I149" s="50">
        <f t="shared" ref="I149:P149" si="60">SUM(I134,I147)</f>
        <v>1235500</v>
      </c>
      <c r="J149" s="50">
        <f t="shared" si="60"/>
        <v>1490908</v>
      </c>
      <c r="K149" s="50">
        <f t="shared" si="60"/>
        <v>1855721</v>
      </c>
      <c r="L149" s="50">
        <f t="shared" si="60"/>
        <v>2255428.2905952581</v>
      </c>
      <c r="M149" s="50">
        <f t="shared" si="60"/>
        <v>2822287.9291196438</v>
      </c>
      <c r="N149" s="50">
        <f t="shared" si="60"/>
        <v>3472027.3919645948</v>
      </c>
      <c r="O149" s="50">
        <f t="shared" si="60"/>
        <v>4346109.3873700164</v>
      </c>
      <c r="P149" s="50">
        <f t="shared" si="60"/>
        <v>5462369.7543991618</v>
      </c>
      <c r="Q149" s="4"/>
    </row>
    <row r="150" spans="2:17" ht="16">
      <c r="C150" s="14"/>
      <c r="H150" s="8"/>
      <c r="I150" s="8"/>
      <c r="J150" s="8"/>
      <c r="K150" s="8"/>
      <c r="Q150" s="4"/>
    </row>
    <row r="151" spans="2:17" ht="16">
      <c r="C151" s="14" t="s">
        <v>62</v>
      </c>
      <c r="E151" s="61" t="s">
        <v>112</v>
      </c>
      <c r="H151" s="2">
        <f>H120-H149</f>
        <v>0</v>
      </c>
      <c r="I151" s="2">
        <f>I120-I149</f>
        <v>0</v>
      </c>
      <c r="J151" s="2">
        <f>J120-J149</f>
        <v>0</v>
      </c>
      <c r="K151" s="2">
        <f>K120-K149</f>
        <v>0</v>
      </c>
      <c r="L151" s="2">
        <f t="shared" ref="L151:P151" si="61">L120-L149</f>
        <v>0</v>
      </c>
      <c r="M151" s="2">
        <f t="shared" si="61"/>
        <v>0</v>
      </c>
      <c r="N151" s="2">
        <f t="shared" si="61"/>
        <v>0</v>
      </c>
      <c r="O151" s="2">
        <f t="shared" si="61"/>
        <v>0</v>
      </c>
      <c r="P151" s="2">
        <f t="shared" si="61"/>
        <v>0</v>
      </c>
      <c r="Q151" s="4"/>
    </row>
    <row r="152" spans="2:17" ht="16">
      <c r="C152" s="10"/>
      <c r="H152" s="5"/>
      <c r="I152" s="5"/>
      <c r="J152" s="5"/>
      <c r="K152" s="5"/>
    </row>
    <row r="153" spans="2:17" ht="16">
      <c r="B153" s="16"/>
      <c r="C153" s="16"/>
      <c r="D153" s="16"/>
      <c r="E153" s="16"/>
      <c r="F153" s="16"/>
      <c r="G153" s="16"/>
      <c r="H153" s="17"/>
      <c r="I153" s="17"/>
      <c r="J153" s="18" t="s">
        <v>78</v>
      </c>
      <c r="K153" s="17"/>
      <c r="L153" s="19"/>
      <c r="M153" s="17"/>
      <c r="N153" s="18" t="s">
        <v>79</v>
      </c>
      <c r="O153" s="17"/>
      <c r="P153" s="17"/>
      <c r="Q153" s="10"/>
    </row>
    <row r="154" spans="2:17" ht="16">
      <c r="B154" s="20" t="str">
        <f>"Cash Flow Statement - "&amp;Company_Name</f>
        <v>Cash Flow Statement - ACM Research, Inc.</v>
      </c>
      <c r="C154" s="16"/>
      <c r="D154" s="16"/>
      <c r="E154" s="21" t="s">
        <v>80</v>
      </c>
      <c r="F154" s="22"/>
      <c r="G154" s="22"/>
      <c r="H154" s="23">
        <f t="shared" ref="H154:P154" si="62">H17</f>
        <v>44561</v>
      </c>
      <c r="I154" s="23">
        <f t="shared" si="62"/>
        <v>44926</v>
      </c>
      <c r="J154" s="23">
        <f t="shared" si="62"/>
        <v>45291</v>
      </c>
      <c r="K154" s="23">
        <f t="shared" si="62"/>
        <v>45657</v>
      </c>
      <c r="L154" s="37">
        <f t="shared" si="62"/>
        <v>46022</v>
      </c>
      <c r="M154" s="23">
        <f t="shared" si="62"/>
        <v>46387</v>
      </c>
      <c r="N154" s="23">
        <f t="shared" si="62"/>
        <v>46752</v>
      </c>
      <c r="O154" s="23">
        <f t="shared" si="62"/>
        <v>47118</v>
      </c>
      <c r="P154" s="23">
        <f t="shared" si="62"/>
        <v>47483</v>
      </c>
      <c r="Q154" s="62"/>
    </row>
    <row r="155" spans="2:17" ht="16">
      <c r="C155" s="46" t="s">
        <v>107</v>
      </c>
      <c r="D155" s="53"/>
      <c r="E155" s="53"/>
      <c r="F155" s="53"/>
      <c r="G155" s="53"/>
      <c r="H155" s="54"/>
      <c r="I155" s="54"/>
      <c r="J155" s="54"/>
      <c r="K155" s="54"/>
      <c r="L155" s="53"/>
      <c r="M155" s="53"/>
      <c r="N155" s="53"/>
      <c r="O155" s="53"/>
      <c r="P155" s="53"/>
    </row>
    <row r="156" spans="2:17" ht="16">
      <c r="C156" s="15"/>
      <c r="H156" s="9"/>
      <c r="I156" s="9"/>
      <c r="J156" s="9"/>
      <c r="K156" s="9"/>
    </row>
    <row r="157" spans="2:17" ht="16">
      <c r="C157" s="14" t="s">
        <v>30</v>
      </c>
      <c r="E157" s="61" t="s">
        <v>111</v>
      </c>
      <c r="H157" s="50">
        <f>H87</f>
        <v>42921</v>
      </c>
      <c r="I157" s="50">
        <f>I87</f>
        <v>50564</v>
      </c>
      <c r="J157" s="50">
        <f>J87</f>
        <v>96852</v>
      </c>
      <c r="K157" s="50">
        <f>K87</f>
        <v>131269</v>
      </c>
      <c r="L157" s="50">
        <f t="shared" ref="L157:P157" si="63">L87</f>
        <v>201448.89221906575</v>
      </c>
      <c r="M157" s="50">
        <f t="shared" si="63"/>
        <v>286123.21039038873</v>
      </c>
      <c r="N157" s="50">
        <f t="shared" si="63"/>
        <v>350099.49008654832</v>
      </c>
      <c r="O157" s="50">
        <f t="shared" si="63"/>
        <v>431668.0019075314</v>
      </c>
      <c r="P157" s="50">
        <f t="shared" si="63"/>
        <v>525850.16387859348</v>
      </c>
    </row>
    <row r="158" spans="2:17" ht="16">
      <c r="C158" s="58" t="s">
        <v>32</v>
      </c>
      <c r="E158" s="60" t="s">
        <v>111</v>
      </c>
      <c r="H158" s="8">
        <v>0</v>
      </c>
      <c r="I158" s="8">
        <v>2816</v>
      </c>
      <c r="J158" s="8">
        <v>3580</v>
      </c>
      <c r="K158" s="8">
        <v>3815</v>
      </c>
      <c r="L158" s="8">
        <f>K117-L117</f>
        <v>-3339.2419527117745</v>
      </c>
      <c r="M158" s="8">
        <f t="shared" ref="M158:P158" si="64">L117-M117</f>
        <v>-2052.9133480440578</v>
      </c>
      <c r="N158" s="8">
        <f t="shared" si="64"/>
        <v>1839.2071211354305</v>
      </c>
      <c r="O158" s="8">
        <f t="shared" si="64"/>
        <v>-2235.52384519318</v>
      </c>
      <c r="P158" s="8">
        <f t="shared" si="64"/>
        <v>2548.8449303430389</v>
      </c>
    </row>
    <row r="159" spans="2:17" ht="16">
      <c r="C159" s="58" t="s">
        <v>31</v>
      </c>
      <c r="E159" s="60" t="s">
        <v>111</v>
      </c>
      <c r="H159" s="8">
        <v>2353</v>
      </c>
      <c r="I159" s="8">
        <v>5366</v>
      </c>
      <c r="J159" s="8">
        <v>8092</v>
      </c>
      <c r="K159" s="8">
        <v>9967</v>
      </c>
      <c r="L159" s="8">
        <f>Drivers!L100</f>
        <v>13240.35941047696</v>
      </c>
      <c r="M159" s="8">
        <f>Drivers!M100</f>
        <v>18300.124102264701</v>
      </c>
      <c r="N159" s="8">
        <f>Drivers!N100</f>
        <v>22827.99134143725</v>
      </c>
      <c r="O159" s="8">
        <f>Drivers!O100</f>
        <v>27690.314410323783</v>
      </c>
      <c r="P159" s="8">
        <f>Drivers!P100</f>
        <v>34161.658786122163</v>
      </c>
    </row>
    <row r="160" spans="2:17" ht="16">
      <c r="C160" s="58" t="s">
        <v>33</v>
      </c>
      <c r="E160" s="60" t="s">
        <v>111</v>
      </c>
      <c r="H160" s="8">
        <v>0</v>
      </c>
      <c r="I160" s="8">
        <v>-12</v>
      </c>
      <c r="J160" s="8">
        <v>-2</v>
      </c>
      <c r="K160" s="8">
        <v>945</v>
      </c>
      <c r="L160" s="70">
        <f>AVERAGE(H160:K160)</f>
        <v>232.75</v>
      </c>
      <c r="M160" s="70">
        <f t="shared" ref="M160:P160" si="65">AVERAGE(I160:L160)</f>
        <v>290.9375</v>
      </c>
      <c r="N160" s="70">
        <f t="shared" si="65"/>
        <v>366.671875</v>
      </c>
      <c r="O160" s="70">
        <f t="shared" si="65"/>
        <v>458.83984375</v>
      </c>
      <c r="P160" s="70">
        <f t="shared" si="65"/>
        <v>337.2998046875</v>
      </c>
    </row>
    <row r="161" spans="3:16" ht="16">
      <c r="C161" s="58" t="s">
        <v>34</v>
      </c>
      <c r="E161" s="60" t="s">
        <v>111</v>
      </c>
      <c r="H161" s="8">
        <v>-607</v>
      </c>
      <c r="I161" s="8">
        <v>6739</v>
      </c>
      <c r="J161" s="8">
        <v>-6310</v>
      </c>
      <c r="K161" s="8">
        <v>-2761</v>
      </c>
      <c r="L161" s="8">
        <f>-L80</f>
        <v>-859.38298464689467</v>
      </c>
      <c r="M161" s="8">
        <f t="shared" ref="M161:P161" si="66">-M80</f>
        <v>-1119.0241997552196</v>
      </c>
      <c r="N161" s="8">
        <f t="shared" si="66"/>
        <v>-1507.8593848520411</v>
      </c>
      <c r="O161" s="8">
        <f t="shared" si="66"/>
        <v>-1874.9087024540499</v>
      </c>
      <c r="P161" s="8">
        <f t="shared" si="66"/>
        <v>-2401.8997524728634</v>
      </c>
    </row>
    <row r="162" spans="3:16" ht="16">
      <c r="C162" s="58" t="s">
        <v>35</v>
      </c>
      <c r="E162" s="60" t="s">
        <v>111</v>
      </c>
      <c r="H162" s="8">
        <v>-4637</v>
      </c>
      <c r="I162" s="8">
        <v>-4666</v>
      </c>
      <c r="J162" s="8">
        <v>-9952</v>
      </c>
      <c r="K162" s="8">
        <v>-423</v>
      </c>
      <c r="L162" s="8">
        <f>-L82</f>
        <v>-3734.6614589350256</v>
      </c>
      <c r="M162" s="8">
        <f t="shared" ref="M162:P162" si="67">-M82</f>
        <v>-3747.6287231688302</v>
      </c>
      <c r="N162" s="8">
        <f t="shared" si="67"/>
        <v>-3269.4758550680917</v>
      </c>
      <c r="O162" s="8">
        <f t="shared" si="67"/>
        <v>-3247.046249044105</v>
      </c>
      <c r="P162" s="8">
        <f t="shared" si="67"/>
        <v>-3461.3911350498661</v>
      </c>
    </row>
    <row r="163" spans="3:16" ht="16">
      <c r="C163" s="58" t="s">
        <v>36</v>
      </c>
      <c r="E163" s="60" t="s">
        <v>111</v>
      </c>
      <c r="H163" s="8"/>
      <c r="I163" s="8">
        <v>2248</v>
      </c>
      <c r="J163" s="8">
        <v>575</v>
      </c>
      <c r="K163" s="8">
        <v>2796</v>
      </c>
      <c r="L163" s="8">
        <f>L112*L60</f>
        <v>3357.8669189622592</v>
      </c>
      <c r="M163" s="8">
        <f>M112*M60</f>
        <v>4160.671143619139</v>
      </c>
      <c r="N163" s="8">
        <f>N112*N60</f>
        <v>5235.3158271440352</v>
      </c>
      <c r="O163" s="8">
        <f>O112*O60</f>
        <v>6637.0482506667322</v>
      </c>
      <c r="P163" s="8">
        <f>P112*P60</f>
        <v>8498.690345099365</v>
      </c>
    </row>
    <row r="164" spans="3:16" ht="16">
      <c r="C164" s="58" t="s">
        <v>37</v>
      </c>
      <c r="E164" s="60" t="s">
        <v>111</v>
      </c>
      <c r="H164" s="5"/>
      <c r="I164" s="8">
        <v>0</v>
      </c>
      <c r="J164" s="8">
        <v>2741</v>
      </c>
      <c r="K164" s="8">
        <v>13517</v>
      </c>
      <c r="L164" s="70">
        <v>13517</v>
      </c>
      <c r="M164" s="70">
        <v>13517</v>
      </c>
      <c r="N164" s="70">
        <v>13517</v>
      </c>
      <c r="O164" s="70">
        <v>13517</v>
      </c>
      <c r="P164" s="70">
        <v>13517</v>
      </c>
    </row>
    <row r="165" spans="3:16" ht="16">
      <c r="C165" s="58" t="s">
        <v>38</v>
      </c>
      <c r="E165" s="60" t="s">
        <v>111</v>
      </c>
      <c r="H165" s="8">
        <v>-1840</v>
      </c>
      <c r="I165" s="8">
        <v>4027</v>
      </c>
      <c r="J165" s="8">
        <v>-13647</v>
      </c>
      <c r="K165" s="8">
        <v>5286</v>
      </c>
      <c r="L165" s="70">
        <v>0</v>
      </c>
      <c r="M165" s="70">
        <v>0</v>
      </c>
      <c r="N165" s="70">
        <v>0</v>
      </c>
      <c r="O165" s="70">
        <v>0</v>
      </c>
      <c r="P165" s="70">
        <v>0</v>
      </c>
    </row>
    <row r="166" spans="3:16" ht="16">
      <c r="C166" s="58" t="s">
        <v>39</v>
      </c>
      <c r="E166" s="60" t="s">
        <v>111</v>
      </c>
      <c r="H166" s="8">
        <v>5117</v>
      </c>
      <c r="I166" s="8">
        <v>7730</v>
      </c>
      <c r="J166" s="8">
        <v>27338</v>
      </c>
      <c r="K166" s="8">
        <v>49576</v>
      </c>
      <c r="L166" s="8">
        <f>L61*-L73</f>
        <v>45309.837387709551</v>
      </c>
      <c r="M166" s="8">
        <f>M61*-M73</f>
        <v>56156.394191963023</v>
      </c>
      <c r="N166" s="8">
        <f>N61*-N73</f>
        <v>66823.268481518928</v>
      </c>
      <c r="O166" s="8">
        <f>O61*-O73</f>
        <v>81096.883331544916</v>
      </c>
      <c r="P166" s="8">
        <f>P61*-P73</f>
        <v>99424.464950367386</v>
      </c>
    </row>
    <row r="167" spans="3:16" ht="16">
      <c r="C167" s="58" t="s">
        <v>40</v>
      </c>
      <c r="E167" s="60" t="s">
        <v>111</v>
      </c>
      <c r="H167" s="8">
        <v>0</v>
      </c>
      <c r="I167" s="8">
        <v>0</v>
      </c>
      <c r="J167" s="8">
        <v>0</v>
      </c>
      <c r="K167" s="8">
        <v>1529</v>
      </c>
      <c r="L167" s="70">
        <v>1529</v>
      </c>
      <c r="M167" s="70">
        <v>1529</v>
      </c>
      <c r="N167" s="70">
        <v>1529</v>
      </c>
      <c r="O167" s="70">
        <v>1529</v>
      </c>
      <c r="P167" s="70">
        <v>1529</v>
      </c>
    </row>
    <row r="168" spans="3:16" ht="16">
      <c r="C168" s="58" t="s">
        <v>63</v>
      </c>
      <c r="E168" s="60"/>
      <c r="H168" s="8"/>
      <c r="I168" s="8"/>
      <c r="J168" s="8"/>
      <c r="K168" s="8"/>
      <c r="L168" s="8"/>
      <c r="M168" s="8"/>
      <c r="N168" s="8"/>
      <c r="O168" s="8"/>
      <c r="P168" s="8"/>
    </row>
    <row r="169" spans="3:16" ht="16">
      <c r="C169" s="13" t="s">
        <v>64</v>
      </c>
      <c r="E169" s="60" t="s">
        <v>111</v>
      </c>
      <c r="H169" s="8">
        <v>-47624</v>
      </c>
      <c r="I169" s="8">
        <v>-88655</v>
      </c>
      <c r="J169" s="8">
        <v>-108749</v>
      </c>
      <c r="K169" s="8">
        <v>-123277</v>
      </c>
      <c r="L169" s="8">
        <f>K111-L111</f>
        <v>-69444.874609225139</v>
      </c>
      <c r="M169" s="8">
        <f t="shared" ref="M169:P169" si="68">L111-M111</f>
        <v>-108221.3028545712</v>
      </c>
      <c r="N169" s="8">
        <f t="shared" si="68"/>
        <v>-151886.27022236073</v>
      </c>
      <c r="O169" s="8">
        <f t="shared" si="68"/>
        <v>-200146.0288199198</v>
      </c>
      <c r="P169" s="8">
        <f t="shared" si="68"/>
        <v>-268664.44645620591</v>
      </c>
    </row>
    <row r="170" spans="3:16" ht="16">
      <c r="C170" s="13" t="s">
        <v>65</v>
      </c>
      <c r="E170" s="60" t="s">
        <v>111</v>
      </c>
      <c r="H170" s="8">
        <v>-127656</v>
      </c>
      <c r="I170" s="8">
        <v>-195562</v>
      </c>
      <c r="J170" s="8">
        <v>-164027</v>
      </c>
      <c r="K170" s="8">
        <v>-64135</v>
      </c>
      <c r="L170" s="8">
        <f>K112-L112</f>
        <v>-120167.17727779958</v>
      </c>
      <c r="M170" s="8">
        <f t="shared" ref="M170:P170" si="69">L112-M112</f>
        <v>-171696.73872575816</v>
      </c>
      <c r="N170" s="8">
        <f t="shared" si="69"/>
        <v>-229835.5960060627</v>
      </c>
      <c r="O170" s="8">
        <f t="shared" si="69"/>
        <v>-299790.25806430494</v>
      </c>
      <c r="P170" s="8">
        <f t="shared" si="69"/>
        <v>-398151.7118015748</v>
      </c>
    </row>
    <row r="171" spans="3:16" ht="16">
      <c r="C171" s="58" t="s">
        <v>206</v>
      </c>
      <c r="E171" s="60" t="s">
        <v>111</v>
      </c>
      <c r="H171" s="8">
        <v>-20108</v>
      </c>
      <c r="I171" s="8">
        <v>-11965</v>
      </c>
      <c r="J171" s="8">
        <v>-8398</v>
      </c>
      <c r="K171" s="8">
        <v>9507</v>
      </c>
      <c r="L171" s="8">
        <f>K113-L113</f>
        <v>-7860.0399347548591</v>
      </c>
      <c r="M171" s="8">
        <f t="shared" ref="M171:P171" si="70">L113-M113</f>
        <v>-4210.4387847256439</v>
      </c>
      <c r="N171" s="8">
        <f t="shared" si="70"/>
        <v>-19276.417657221791</v>
      </c>
      <c r="O171" s="8">
        <f t="shared" si="70"/>
        <v>-4851.0035978071683</v>
      </c>
      <c r="P171" s="8">
        <f t="shared" si="70"/>
        <v>-28791.804527152737</v>
      </c>
    </row>
    <row r="172" spans="3:16" ht="16">
      <c r="C172" s="13" t="s">
        <v>66</v>
      </c>
      <c r="E172" s="60" t="s">
        <v>111</v>
      </c>
      <c r="H172" s="8">
        <v>-4521</v>
      </c>
      <c r="I172" s="8">
        <v>3986</v>
      </c>
      <c r="J172" s="8">
        <v>0</v>
      </c>
      <c r="K172" s="8">
        <v>0</v>
      </c>
      <c r="L172" s="8">
        <f>K119-L119</f>
        <v>-3600.3599565032418</v>
      </c>
      <c r="M172" s="8">
        <f t="shared" ref="M172:P172" si="71">L119-M119</f>
        <v>-11135.023019081156</v>
      </c>
      <c r="N172" s="8">
        <f t="shared" si="71"/>
        <v>926.24514956302301</v>
      </c>
      <c r="O172" s="8">
        <f t="shared" si="71"/>
        <v>-15898.787154860715</v>
      </c>
      <c r="P172" s="8">
        <f t="shared" si="71"/>
        <v>7251.0727300509898</v>
      </c>
    </row>
    <row r="173" spans="3:16" ht="16">
      <c r="C173" s="13" t="s">
        <v>67</v>
      </c>
      <c r="E173" s="60" t="s">
        <v>111</v>
      </c>
      <c r="H173" s="8">
        <v>65211</v>
      </c>
      <c r="I173" s="8">
        <v>24070</v>
      </c>
      <c r="J173" s="8">
        <v>39282</v>
      </c>
      <c r="K173" s="8">
        <v>6166</v>
      </c>
      <c r="L173" s="8">
        <f>L126-K126</f>
        <v>57358.534008236922</v>
      </c>
      <c r="M173" s="8">
        <f t="shared" ref="M173:P173" si="72">M126-L126</f>
        <v>43901.364838943206</v>
      </c>
      <c r="N173" s="8">
        <f t="shared" si="72"/>
        <v>56824.484515513584</v>
      </c>
      <c r="O173" s="8">
        <f t="shared" si="72"/>
        <v>70929.429365661112</v>
      </c>
      <c r="P173" s="8">
        <f t="shared" si="72"/>
        <v>89722.356456558278</v>
      </c>
    </row>
    <row r="174" spans="3:16" ht="16">
      <c r="C174" s="13" t="s">
        <v>68</v>
      </c>
      <c r="E174" s="60" t="s">
        <v>111</v>
      </c>
      <c r="H174" s="8">
        <v>34831</v>
      </c>
      <c r="I174" s="8">
        <v>104258</v>
      </c>
      <c r="J174" s="8">
        <v>29974</v>
      </c>
      <c r="K174" s="8">
        <v>67050</v>
      </c>
      <c r="L174" s="8">
        <f>L127-K127</f>
        <v>56024.142112504225</v>
      </c>
      <c r="M174" s="8">
        <f t="shared" ref="M174:P174" si="73">M127-L127</f>
        <v>118999.57051151997</v>
      </c>
      <c r="N174" s="8">
        <f t="shared" si="73"/>
        <v>104747.09887656831</v>
      </c>
      <c r="O174" s="8">
        <f t="shared" si="73"/>
        <v>167171.91887420602</v>
      </c>
      <c r="P174" s="8">
        <f t="shared" si="73"/>
        <v>234963.84268922184</v>
      </c>
    </row>
    <row r="175" spans="3:16" ht="16">
      <c r="C175" s="13" t="s">
        <v>69</v>
      </c>
      <c r="E175" s="60" t="s">
        <v>111</v>
      </c>
      <c r="H175" s="8">
        <v>16157</v>
      </c>
      <c r="I175" s="8">
        <v>32040</v>
      </c>
      <c r="J175" s="8">
        <v>32540</v>
      </c>
      <c r="K175" s="8">
        <v>41793</v>
      </c>
      <c r="L175" s="8">
        <f>L128-K128</f>
        <v>18970.169447006483</v>
      </c>
      <c r="M175" s="8">
        <f t="shared" ref="M175:P175" si="74">M128-L128</f>
        <v>65345.67467953611</v>
      </c>
      <c r="N175" s="8">
        <f t="shared" si="74"/>
        <v>86953.09017363927</v>
      </c>
      <c r="O175" s="8">
        <f t="shared" si="74"/>
        <v>97182.940531353233</v>
      </c>
      <c r="P175" s="8">
        <f t="shared" si="74"/>
        <v>137049.08886598033</v>
      </c>
    </row>
    <row r="176" spans="3:16" ht="16">
      <c r="C176" s="13" t="s">
        <v>70</v>
      </c>
      <c r="E176" s="60" t="s">
        <v>111</v>
      </c>
      <c r="H176" s="8">
        <v>0</v>
      </c>
      <c r="I176" s="8">
        <v>-2816</v>
      </c>
      <c r="J176" s="8">
        <v>-3580</v>
      </c>
      <c r="K176" s="8">
        <v>-3514</v>
      </c>
      <c r="L176" s="8">
        <f>L132-K132</f>
        <v>3569.3248958239965</v>
      </c>
      <c r="M176" s="8">
        <f t="shared" ref="M176:P176" si="75">M132-L132</f>
        <v>1455.1579197558258</v>
      </c>
      <c r="N176" s="8">
        <f t="shared" si="75"/>
        <v>556.91901251041418</v>
      </c>
      <c r="O176" s="8">
        <f t="shared" si="75"/>
        <v>2190.9856948455144</v>
      </c>
      <c r="P176" s="8">
        <f t="shared" si="75"/>
        <v>2054.6728614914537</v>
      </c>
    </row>
    <row r="177" spans="3:17" ht="16">
      <c r="C177" s="57" t="s">
        <v>71</v>
      </c>
      <c r="E177" s="60" t="s">
        <v>111</v>
      </c>
      <c r="H177" s="56">
        <v>310</v>
      </c>
      <c r="I177" s="56">
        <v>-2362</v>
      </c>
      <c r="J177" s="56">
        <v>-1632</v>
      </c>
      <c r="K177" s="56">
        <v>3344</v>
      </c>
      <c r="L177" s="56">
        <f>L133-K133</f>
        <v>491.33998912581046</v>
      </c>
      <c r="M177" s="56">
        <f t="shared" ref="M177:P177" si="76">M133-L133</f>
        <v>2783.7557547702891</v>
      </c>
      <c r="N177" s="56">
        <f t="shared" si="76"/>
        <v>3855.2835314443601</v>
      </c>
      <c r="O177" s="56">
        <f t="shared" si="76"/>
        <v>5299.595718286906</v>
      </c>
      <c r="P177" s="56">
        <f t="shared" si="76"/>
        <v>7197.9511317881843</v>
      </c>
    </row>
    <row r="178" spans="3:17" ht="16">
      <c r="C178" s="14" t="s">
        <v>41</v>
      </c>
      <c r="E178" s="61" t="s">
        <v>111</v>
      </c>
      <c r="H178" s="50">
        <f>SUM(H157:H177)</f>
        <v>-40093</v>
      </c>
      <c r="I178" s="50">
        <f>SUM(I157:I177)</f>
        <v>-62194</v>
      </c>
      <c r="J178" s="50">
        <f>SUM(J157:J177)</f>
        <v>-75323</v>
      </c>
      <c r="K178" s="50">
        <f>SUM(K157:K177)</f>
        <v>152450</v>
      </c>
      <c r="L178" s="50">
        <f t="shared" ref="L178:P178" si="77">SUM(L157:L177)</f>
        <v>206043.47821433542</v>
      </c>
      <c r="M178" s="50">
        <f t="shared" si="77"/>
        <v>310379.79137765674</v>
      </c>
      <c r="N178" s="50">
        <f t="shared" si="77"/>
        <v>310325.44686645764</v>
      </c>
      <c r="O178" s="50">
        <f t="shared" si="77"/>
        <v>377328.40149458568</v>
      </c>
      <c r="P178" s="50">
        <f t="shared" si="77"/>
        <v>462634.85375784774</v>
      </c>
    </row>
    <row r="179" spans="3:17" ht="16">
      <c r="C179" s="14"/>
      <c r="H179" s="50"/>
      <c r="I179" s="50"/>
      <c r="J179" s="50"/>
      <c r="K179" s="50"/>
    </row>
    <row r="180" spans="3:17" ht="16">
      <c r="C180" s="46" t="s">
        <v>109</v>
      </c>
      <c r="D180" s="53"/>
      <c r="E180" s="53"/>
      <c r="F180" s="53"/>
      <c r="G180" s="53"/>
      <c r="H180" s="54"/>
      <c r="I180" s="54"/>
      <c r="J180" s="54"/>
      <c r="K180" s="54"/>
      <c r="L180" s="53"/>
      <c r="M180" s="53"/>
      <c r="N180" s="53"/>
      <c r="O180" s="53"/>
      <c r="P180" s="53"/>
    </row>
    <row r="181" spans="3:17" ht="16">
      <c r="C181" s="15"/>
      <c r="H181" s="9"/>
      <c r="I181" s="9"/>
      <c r="J181" s="9"/>
      <c r="K181" s="9"/>
    </row>
    <row r="182" spans="3:17" ht="16">
      <c r="C182" s="58" t="s">
        <v>72</v>
      </c>
      <c r="E182" s="60" t="s">
        <v>111</v>
      </c>
      <c r="H182" s="8">
        <v>-9712</v>
      </c>
      <c r="I182" s="8">
        <v>-92520</v>
      </c>
      <c r="J182" s="8">
        <v>-64338</v>
      </c>
      <c r="K182" s="8">
        <v>-85948</v>
      </c>
      <c r="L182" s="8">
        <f>-Drivers!L86</f>
        <v>-73894.088209539186</v>
      </c>
      <c r="M182" s="8">
        <f>-Drivers!M86</f>
        <v>-73516.501318319089</v>
      </c>
      <c r="N182" s="8">
        <f>-Drivers!N86</f>
        <v>-73998.58981683063</v>
      </c>
      <c r="O182" s="8">
        <f>-Drivers!O86</f>
        <v>-83578.410540153331</v>
      </c>
      <c r="P182" s="8">
        <f>-Drivers!P86</f>
        <v>-114420.76131480069</v>
      </c>
      <c r="Q182" s="4"/>
    </row>
    <row r="183" spans="3:17" ht="16">
      <c r="C183" s="58" t="s">
        <v>226</v>
      </c>
      <c r="E183" s="60"/>
      <c r="H183" s="8">
        <v>0</v>
      </c>
      <c r="I183" s="8">
        <v>-172150</v>
      </c>
      <c r="J183" s="8">
        <v>56859</v>
      </c>
      <c r="K183" s="8">
        <v>98862</v>
      </c>
      <c r="L183" s="8">
        <f>K110-L110</f>
        <v>-4481</v>
      </c>
      <c r="M183" s="8">
        <f>L110-M110</f>
        <v>-12224.882813044642</v>
      </c>
      <c r="N183" s="8">
        <f>M110-N110</f>
        <v>-18539.942723448468</v>
      </c>
      <c r="O183" s="8">
        <f>N110-O110</f>
        <v>-17501.176811783633</v>
      </c>
      <c r="P183" s="8">
        <f>O110-P110</f>
        <v>-25127.314239028827</v>
      </c>
    </row>
    <row r="184" spans="3:17" ht="16">
      <c r="C184" s="59" t="s">
        <v>227</v>
      </c>
      <c r="E184" s="60" t="s">
        <v>111</v>
      </c>
      <c r="H184" s="56">
        <v>-1568</v>
      </c>
      <c r="I184" s="56">
        <v>-1000</v>
      </c>
      <c r="J184" s="56">
        <v>8976</v>
      </c>
      <c r="K184" s="56">
        <v>-24873</v>
      </c>
      <c r="L184" s="56">
        <f>K118-L118</f>
        <v>-7912.0399347548591</v>
      </c>
      <c r="M184" s="56">
        <f>L118-M118</f>
        <v>-16702.534528621742</v>
      </c>
      <c r="N184" s="56">
        <f>M118-N118</f>
        <v>-6784.3219133256935</v>
      </c>
      <c r="O184" s="56">
        <f>N118-O118</f>
        <v>-26497.978591434541</v>
      </c>
      <c r="P184" s="56">
        <f>O118-P118</f>
        <v>-7144.8295335253642</v>
      </c>
    </row>
    <row r="185" spans="3:17" ht="16">
      <c r="C185" s="14" t="s">
        <v>42</v>
      </c>
      <c r="E185" s="61" t="s">
        <v>111</v>
      </c>
      <c r="H185" s="50">
        <f>SUM(H182:H184)</f>
        <v>-11280</v>
      </c>
      <c r="I185" s="50">
        <f>SUM(I182:I184)</f>
        <v>-265670</v>
      </c>
      <c r="J185" s="50">
        <f>SUM(J182:J184)</f>
        <v>1497</v>
      </c>
      <c r="K185" s="50">
        <f>SUM(K182:K184)</f>
        <v>-11959</v>
      </c>
      <c r="L185" s="50">
        <f t="shared" ref="L185:P185" si="78">SUM(L182:L184)</f>
        <v>-86287.128144294053</v>
      </c>
      <c r="M185" s="50">
        <f t="shared" si="78"/>
        <v>-102443.91865998547</v>
      </c>
      <c r="N185" s="50">
        <f t="shared" si="78"/>
        <v>-99322.854453604785</v>
      </c>
      <c r="O185" s="50">
        <f t="shared" si="78"/>
        <v>-127577.5659433715</v>
      </c>
      <c r="P185" s="50">
        <f t="shared" si="78"/>
        <v>-146692.90508735488</v>
      </c>
    </row>
    <row r="186" spans="3:17" ht="16">
      <c r="C186" s="14"/>
      <c r="H186" s="50"/>
      <c r="I186" s="50"/>
      <c r="J186" s="50"/>
      <c r="K186" s="50"/>
    </row>
    <row r="187" spans="3:17" ht="16">
      <c r="C187" s="46" t="s">
        <v>108</v>
      </c>
      <c r="D187" s="53"/>
      <c r="E187" s="53"/>
      <c r="F187" s="53"/>
      <c r="G187" s="53"/>
      <c r="H187" s="54"/>
      <c r="I187" s="54"/>
      <c r="J187" s="54"/>
      <c r="K187" s="54"/>
      <c r="L187" s="53"/>
      <c r="M187" s="53"/>
      <c r="N187" s="53"/>
      <c r="O187" s="53"/>
      <c r="P187" s="53"/>
    </row>
    <row r="188" spans="3:17" ht="16">
      <c r="C188" s="15"/>
      <c r="H188" s="9"/>
      <c r="I188" s="9"/>
      <c r="J188" s="9"/>
      <c r="K188" s="9"/>
    </row>
    <row r="189" spans="3:17" ht="16">
      <c r="C189" s="58" t="s">
        <v>203</v>
      </c>
      <c r="E189" s="60" t="s">
        <v>111</v>
      </c>
      <c r="H189" s="8">
        <v>-16925</v>
      </c>
      <c r="I189" s="8">
        <v>46780</v>
      </c>
      <c r="J189" s="8">
        <v>-23734</v>
      </c>
      <c r="K189" s="8">
        <v>968</v>
      </c>
      <c r="L189" s="8">
        <f>L124-K124</f>
        <v>14640.933955635453</v>
      </c>
      <c r="M189" s="8">
        <f>M124-L124</f>
        <v>-14054.74607643018</v>
      </c>
      <c r="N189" s="8">
        <f>N124-M124</f>
        <v>-942.67448090718244</v>
      </c>
      <c r="O189" s="8">
        <f>O124-N124</f>
        <v>-2957.6724431340845</v>
      </c>
      <c r="P189" s="8">
        <f>P124-O124</f>
        <v>-2396.940460462014</v>
      </c>
    </row>
    <row r="190" spans="3:17" ht="16">
      <c r="C190" s="58" t="s">
        <v>231</v>
      </c>
      <c r="E190" s="60"/>
      <c r="H190" s="8"/>
      <c r="I190" s="8"/>
      <c r="J190" s="8"/>
      <c r="K190" s="8"/>
      <c r="L190" s="8">
        <f>L125-K125</f>
        <v>-10714</v>
      </c>
      <c r="M190" s="8">
        <f t="shared" ref="M190:P190" si="79">M125-L125</f>
        <v>24538</v>
      </c>
      <c r="N190" s="8">
        <f t="shared" si="79"/>
        <v>-41631.776432662082</v>
      </c>
      <c r="O190" s="8">
        <f t="shared" si="79"/>
        <v>2812.2489773940397</v>
      </c>
      <c r="P190" s="8">
        <f t="shared" si="79"/>
        <v>-950.08101095972233</v>
      </c>
    </row>
    <row r="191" spans="3:17" ht="16">
      <c r="C191" s="58" t="s">
        <v>204</v>
      </c>
      <c r="E191" s="60" t="s">
        <v>111</v>
      </c>
      <c r="H191" s="8">
        <v>4929</v>
      </c>
      <c r="I191" s="8">
        <v>-2223</v>
      </c>
      <c r="J191" s="8">
        <v>40077</v>
      </c>
      <c r="K191" s="8">
        <v>87314</v>
      </c>
      <c r="L191" s="8">
        <f>L131-K131</f>
        <v>3189.0441047695931</v>
      </c>
      <c r="M191" s="8">
        <f>M131-L131</f>
        <v>-25213.574406756408</v>
      </c>
      <c r="N191" s="8">
        <f>N131-M131</f>
        <v>9235.2828685527929</v>
      </c>
      <c r="O191" s="8">
        <f>O131-N131</f>
        <v>5597.0506173140457</v>
      </c>
      <c r="P191" s="8">
        <f>P131-O131</f>
        <v>10078.798794927949</v>
      </c>
    </row>
    <row r="192" spans="3:17" ht="16">
      <c r="C192" s="59" t="s">
        <v>228</v>
      </c>
      <c r="E192" s="60" t="s">
        <v>111</v>
      </c>
      <c r="H192" s="56">
        <v>550762</v>
      </c>
      <c r="I192" s="56">
        <v>1314</v>
      </c>
      <c r="J192" s="56">
        <v>2187</v>
      </c>
      <c r="K192" s="56">
        <v>4199</v>
      </c>
      <c r="L192" s="186">
        <v>4199</v>
      </c>
      <c r="M192" s="186">
        <v>4199</v>
      </c>
      <c r="N192" s="186">
        <v>4199</v>
      </c>
      <c r="O192" s="186">
        <v>4199</v>
      </c>
      <c r="P192" s="186">
        <v>4199</v>
      </c>
    </row>
    <row r="193" spans="3:16" ht="16">
      <c r="C193" s="14" t="s">
        <v>73</v>
      </c>
      <c r="E193" s="61" t="s">
        <v>111</v>
      </c>
      <c r="H193" s="50">
        <f>SUM(H189:H192)</f>
        <v>538766</v>
      </c>
      <c r="I193" s="50">
        <f>SUM(I189:I192)</f>
        <v>45871</v>
      </c>
      <c r="J193" s="50">
        <f>SUM(J189:J192)</f>
        <v>18530</v>
      </c>
      <c r="K193" s="50">
        <f>SUM(K189:K192)</f>
        <v>92481</v>
      </c>
      <c r="L193" s="50">
        <f t="shared" ref="L193:P193" si="80">SUM(L189:L192)</f>
        <v>11314.978060405047</v>
      </c>
      <c r="M193" s="50">
        <f t="shared" si="80"/>
        <v>-10531.320483186588</v>
      </c>
      <c r="N193" s="50">
        <f t="shared" si="80"/>
        <v>-29140.168045016471</v>
      </c>
      <c r="O193" s="50">
        <f t="shared" si="80"/>
        <v>9650.6271515740009</v>
      </c>
      <c r="P193" s="50">
        <f t="shared" si="80"/>
        <v>10930.777323506212</v>
      </c>
    </row>
    <row r="194" spans="3:16" ht="16">
      <c r="C194" s="10"/>
      <c r="H194" s="8"/>
      <c r="I194" s="8"/>
      <c r="J194" s="8"/>
      <c r="K194" s="8"/>
    </row>
    <row r="195" spans="3:16" ht="16">
      <c r="C195" s="58" t="s">
        <v>75</v>
      </c>
      <c r="E195" s="60" t="s">
        <v>111</v>
      </c>
      <c r="H195" s="8">
        <v>3908</v>
      </c>
      <c r="I195" s="8">
        <v>-32623</v>
      </c>
      <c r="J195" s="8">
        <v>-1740</v>
      </c>
      <c r="K195" s="8">
        <v>-4835</v>
      </c>
      <c r="L195" s="8">
        <f>AVERAGE(H195:K195)</f>
        <v>-8822.5</v>
      </c>
      <c r="M195" s="8">
        <f t="shared" ref="M195:P195" si="81">AVERAGE(I195:L195)</f>
        <v>-12005.125</v>
      </c>
      <c r="N195" s="8">
        <f t="shared" si="81"/>
        <v>-6850.65625</v>
      </c>
      <c r="O195" s="8">
        <f t="shared" si="81"/>
        <v>-8128.3203125</v>
      </c>
      <c r="P195" s="8">
        <f t="shared" si="81"/>
        <v>-8951.650390625</v>
      </c>
    </row>
    <row r="196" spans="3:16" ht="16">
      <c r="C196" s="13"/>
      <c r="H196" s="8"/>
      <c r="I196" s="8"/>
      <c r="J196" s="8"/>
      <c r="K196" s="8"/>
    </row>
    <row r="197" spans="3:16" ht="16">
      <c r="C197" s="58" t="s">
        <v>76</v>
      </c>
      <c r="E197" s="60" t="s">
        <v>111</v>
      </c>
      <c r="H197" s="8">
        <f>SUM(H178,H185,H193,H195)</f>
        <v>491301</v>
      </c>
      <c r="I197" s="8">
        <f>SUM(I178,I185,I193,I195)</f>
        <v>-314616</v>
      </c>
      <c r="J197" s="8">
        <f>SUM(J178,J185,J193,J195)</f>
        <v>-57036</v>
      </c>
      <c r="K197" s="8">
        <f>SUM(K178,K185,K193,K195)</f>
        <v>228137</v>
      </c>
      <c r="L197" s="8">
        <f t="shared" ref="L197:P197" si="82">SUM(L178,L185,L193,L195)</f>
        <v>122248.82813044642</v>
      </c>
      <c r="M197" s="8">
        <f t="shared" si="82"/>
        <v>185399.4272344847</v>
      </c>
      <c r="N197" s="8">
        <f t="shared" si="82"/>
        <v>175011.76811783639</v>
      </c>
      <c r="O197" s="8">
        <f t="shared" si="82"/>
        <v>251273.14239028818</v>
      </c>
      <c r="P197" s="8">
        <f t="shared" si="82"/>
        <v>317921.07560337405</v>
      </c>
    </row>
    <row r="198" spans="3:16" ht="16">
      <c r="C198" s="59" t="s">
        <v>74</v>
      </c>
      <c r="E198" s="60" t="s">
        <v>111</v>
      </c>
      <c r="H198" s="55">
        <v>29088</v>
      </c>
      <c r="I198" s="56">
        <f>H199</f>
        <v>563067</v>
      </c>
      <c r="J198" s="56">
        <f t="shared" ref="J198:K198" si="83">I199</f>
        <v>248451</v>
      </c>
      <c r="K198" s="56">
        <f t="shared" si="83"/>
        <v>183173</v>
      </c>
      <c r="L198" s="56">
        <f>K199</f>
        <v>411310</v>
      </c>
      <c r="M198" s="56">
        <f t="shared" ref="M198:P198" si="84">L199</f>
        <v>533558.82813044637</v>
      </c>
      <c r="N198" s="56">
        <f t="shared" si="84"/>
        <v>718958.25536493107</v>
      </c>
      <c r="O198" s="56">
        <f t="shared" si="84"/>
        <v>893970.0234827674</v>
      </c>
      <c r="P198" s="56">
        <f t="shared" si="84"/>
        <v>1145243.1658730556</v>
      </c>
    </row>
    <row r="199" spans="3:16" ht="16">
      <c r="C199" s="14" t="s">
        <v>77</v>
      </c>
      <c r="E199" s="61" t="s">
        <v>111</v>
      </c>
      <c r="H199" s="40">
        <v>563067</v>
      </c>
      <c r="I199" s="40">
        <v>248451</v>
      </c>
      <c r="J199" s="40">
        <v>183173</v>
      </c>
      <c r="K199" s="40">
        <v>411310</v>
      </c>
      <c r="L199" s="50">
        <f>SUM(L197:L198)</f>
        <v>533558.82813044637</v>
      </c>
      <c r="M199" s="50">
        <f t="shared" ref="M199:P199" si="85">SUM(M197:M198)</f>
        <v>718958.25536493107</v>
      </c>
      <c r="N199" s="50">
        <f t="shared" si="85"/>
        <v>893970.0234827674</v>
      </c>
      <c r="O199" s="50">
        <f t="shared" si="85"/>
        <v>1145243.1658730556</v>
      </c>
      <c r="P199" s="50">
        <f t="shared" si="85"/>
        <v>1463164.2414764296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EFCD8-9C72-4903-8551-9155ED7A2555}">
  <dimension ref="B1:S131"/>
  <sheetViews>
    <sheetView showGridLines="0" tabSelected="1" zoomScale="61" workbookViewId="0">
      <selection activeCell="P3" sqref="B2:P3"/>
    </sheetView>
  </sheetViews>
  <sheetFormatPr defaultRowHeight="14.5"/>
  <cols>
    <col min="2" max="2" width="5.7265625" customWidth="1"/>
    <col min="3" max="3" width="42.6328125" customWidth="1"/>
    <col min="7" max="7" width="10.453125" customWidth="1"/>
    <col min="8" max="8" width="11.08984375" style="464" bestFit="1" customWidth="1"/>
    <col min="9" max="11" width="11.08984375" style="464" customWidth="1"/>
    <col min="12" max="12" width="12.7265625" style="464" bestFit="1" customWidth="1"/>
    <col min="13" max="13" width="12" style="464" bestFit="1" customWidth="1"/>
    <col min="14" max="14" width="12" bestFit="1" customWidth="1"/>
    <col min="15" max="19" width="12.81640625" bestFit="1" customWidth="1"/>
    <col min="20" max="20" width="10.08984375" customWidth="1"/>
  </cols>
  <sheetData>
    <row r="1" spans="2:17">
      <c r="H1"/>
      <c r="I1"/>
      <c r="J1"/>
      <c r="K1"/>
      <c r="L1"/>
      <c r="M1"/>
    </row>
    <row r="2" spans="2:17" ht="16">
      <c r="B2" s="16"/>
      <c r="C2" s="16"/>
      <c r="D2" s="16"/>
      <c r="E2" s="16"/>
      <c r="F2" s="16"/>
      <c r="G2" s="16"/>
      <c r="H2" s="17"/>
      <c r="I2" s="17"/>
      <c r="J2" s="18" t="s">
        <v>78</v>
      </c>
      <c r="K2" s="17"/>
      <c r="L2" s="19"/>
      <c r="M2" s="17"/>
      <c r="N2" s="18" t="s">
        <v>79</v>
      </c>
      <c r="O2" s="17"/>
      <c r="P2" s="17"/>
      <c r="Q2" s="10"/>
    </row>
    <row r="3" spans="2:17" ht="16">
      <c r="B3" s="20" t="str">
        <f>"Revenue Drivers - "&amp;Company_Name</f>
        <v>Revenue Drivers - ACM Research, Inc.</v>
      </c>
      <c r="C3" s="16"/>
      <c r="D3" s="16"/>
      <c r="E3" s="21" t="s">
        <v>80</v>
      </c>
      <c r="F3" s="22"/>
      <c r="G3" s="22"/>
      <c r="H3" s="23">
        <v>44561</v>
      </c>
      <c r="I3" s="23">
        <v>44926</v>
      </c>
      <c r="J3" s="23">
        <v>45291</v>
      </c>
      <c r="K3" s="23">
        <v>45657</v>
      </c>
      <c r="L3" s="37">
        <v>46022</v>
      </c>
      <c r="M3" s="23">
        <v>46387</v>
      </c>
      <c r="N3" s="23">
        <v>46752</v>
      </c>
      <c r="O3" s="23">
        <v>47118</v>
      </c>
      <c r="P3" s="23">
        <v>47483</v>
      </c>
      <c r="Q3" s="62"/>
    </row>
    <row r="4" spans="2:17">
      <c r="H4"/>
      <c r="I4"/>
      <c r="J4"/>
      <c r="K4"/>
      <c r="L4"/>
      <c r="M4"/>
    </row>
    <row r="5" spans="2:17" ht="16">
      <c r="C5" s="14" t="s">
        <v>113</v>
      </c>
      <c r="D5" s="10"/>
      <c r="E5" s="10"/>
      <c r="F5" s="10"/>
      <c r="G5" s="10"/>
      <c r="H5" s="13"/>
      <c r="I5" s="13"/>
      <c r="J5" s="13"/>
      <c r="K5" s="13"/>
      <c r="L5"/>
      <c r="M5"/>
    </row>
    <row r="6" spans="2:17" ht="16">
      <c r="C6" s="13" t="s">
        <v>114</v>
      </c>
      <c r="D6" s="10"/>
      <c r="E6" s="64" t="s">
        <v>98</v>
      </c>
      <c r="F6" s="10"/>
      <c r="G6" s="10"/>
      <c r="H6" s="8">
        <v>85</v>
      </c>
      <c r="I6" s="8">
        <v>105</v>
      </c>
      <c r="J6" s="8">
        <v>135</v>
      </c>
      <c r="K6" s="8">
        <v>190</v>
      </c>
      <c r="L6" s="72">
        <f>IF(Platform="Yes",INDEX($L$7:$P$9,MATCH(Scenario,$C$7:$C$9,0),1)+L10,INDEX($L$7:$P$9,MATCH(Scenario,$C$7:$C$9,0),1))</f>
        <v>208</v>
      </c>
      <c r="M6" s="72">
        <f>IF(Platform="Yes",INDEX($L$7:$P$9,MATCH(Scenario,$C$7:$C$9,0),2)+M10,INDEX($L$7:$P$9,MATCH(Scenario,$C$7:$C$9,0),2))</f>
        <v>230.49999999999997</v>
      </c>
      <c r="N6" s="72">
        <f>IF(Platform="Yes",INDEX($L$7:$P$9,MATCH(Scenario,$C$7:$C$9,0),3)+N10,INDEX($L$7:$P$9,MATCH(Scenario,$C$7:$C$9,0),3))</f>
        <v>257.2</v>
      </c>
      <c r="O6" s="72">
        <f>IF(Platform="Yes",INDEX($L$7:$P$9,MATCH(Scenario,$C$7:$C$9,0),4)+O10,INDEX($L$7:$P$9,MATCH(Scenario,$C$7:$C$9,0),4))</f>
        <v>290.07499999999993</v>
      </c>
      <c r="P6" s="72">
        <f>IF(Platform="Yes",INDEX($L$7:$P$9,MATCH(Scenario,$C$7:$C$9,0),5)+P10,INDEX($L$7:$P$9,MATCH(Scenario,$C$7:$C$9,0),5))</f>
        <v>327.78</v>
      </c>
    </row>
    <row r="7" spans="2:17" ht="16">
      <c r="C7" s="65" t="s">
        <v>124</v>
      </c>
      <c r="D7" s="10"/>
      <c r="E7" s="64" t="s">
        <v>98</v>
      </c>
      <c r="F7" s="10"/>
      <c r="G7" s="10"/>
      <c r="H7" s="8"/>
      <c r="I7" s="8"/>
      <c r="J7" s="8"/>
      <c r="K7" s="8"/>
      <c r="L7" s="72">
        <f>L8*(1+0.1)</f>
        <v>223.3</v>
      </c>
      <c r="M7" s="72">
        <f t="shared" ref="M7:P7" si="0">M8*(1+0.1)</f>
        <v>240.35</v>
      </c>
      <c r="N7" s="72">
        <f t="shared" si="0"/>
        <v>263.12</v>
      </c>
      <c r="O7" s="72">
        <f t="shared" si="0"/>
        <v>291.58249999999992</v>
      </c>
      <c r="P7" s="72">
        <f t="shared" si="0"/>
        <v>325.358</v>
      </c>
    </row>
    <row r="8" spans="2:17" ht="16">
      <c r="C8" s="65" t="s">
        <v>125</v>
      </c>
      <c r="D8" s="10"/>
      <c r="E8" s="64" t="s">
        <v>98</v>
      </c>
      <c r="F8" s="10"/>
      <c r="G8" s="10"/>
      <c r="H8" s="8"/>
      <c r="I8" s="8"/>
      <c r="J8" s="8"/>
      <c r="K8" s="8"/>
      <c r="L8" s="72">
        <v>203</v>
      </c>
      <c r="M8" s="72">
        <f>K6*(1+M11)</f>
        <v>218.49999999999997</v>
      </c>
      <c r="N8" s="72">
        <f t="shared" ref="N8:P8" si="1">L6*(1+N11)</f>
        <v>239.2</v>
      </c>
      <c r="O8" s="72">
        <f t="shared" si="1"/>
        <v>265.07499999999993</v>
      </c>
      <c r="P8" s="72">
        <f t="shared" si="1"/>
        <v>295.77999999999997</v>
      </c>
    </row>
    <row r="9" spans="2:17" ht="16">
      <c r="C9" s="65" t="s">
        <v>126</v>
      </c>
      <c r="D9" s="10"/>
      <c r="E9" s="64" t="s">
        <v>98</v>
      </c>
      <c r="F9" s="10"/>
      <c r="G9" s="10"/>
      <c r="H9" s="8"/>
      <c r="I9" s="8"/>
      <c r="J9" s="8"/>
      <c r="K9" s="8"/>
      <c r="L9" s="72">
        <f>L8*(1-0.1)</f>
        <v>182.70000000000002</v>
      </c>
      <c r="M9" s="72">
        <f t="shared" ref="M9:P9" si="2">M8*(1-0.1)</f>
        <v>196.64999999999998</v>
      </c>
      <c r="N9" s="72">
        <f t="shared" si="2"/>
        <v>215.28</v>
      </c>
      <c r="O9" s="72">
        <f t="shared" si="2"/>
        <v>238.56749999999994</v>
      </c>
      <c r="P9" s="72">
        <f t="shared" si="2"/>
        <v>266.202</v>
      </c>
    </row>
    <row r="10" spans="2:17" ht="16">
      <c r="C10" s="13" t="s">
        <v>530</v>
      </c>
      <c r="D10" s="10"/>
      <c r="E10" s="64" t="s">
        <v>98</v>
      </c>
      <c r="F10" s="10"/>
      <c r="G10" s="10"/>
      <c r="H10" s="8"/>
      <c r="I10" s="8"/>
      <c r="J10" s="8"/>
      <c r="L10" s="72">
        <v>5</v>
      </c>
      <c r="M10" s="72">
        <v>12</v>
      </c>
      <c r="N10" s="72">
        <v>18</v>
      </c>
      <c r="O10" s="72">
        <v>25</v>
      </c>
      <c r="P10" s="72">
        <v>32</v>
      </c>
    </row>
    <row r="11" spans="2:17" ht="16">
      <c r="C11" s="65" t="s">
        <v>123</v>
      </c>
      <c r="D11" s="10"/>
      <c r="E11" s="64" t="s">
        <v>93</v>
      </c>
      <c r="F11" s="10"/>
      <c r="G11" s="10"/>
      <c r="H11" s="13"/>
      <c r="I11" s="66">
        <f>I6/H6-1</f>
        <v>0.23529411764705888</v>
      </c>
      <c r="J11" s="66">
        <f t="shared" ref="J11:L11" si="3">J6/I6-1</f>
        <v>0.28571428571428581</v>
      </c>
      <c r="K11" s="66">
        <f t="shared" si="3"/>
        <v>0.40740740740740744</v>
      </c>
      <c r="L11" s="66">
        <f t="shared" si="3"/>
        <v>9.473684210526323E-2</v>
      </c>
      <c r="M11" s="73">
        <v>0.15</v>
      </c>
      <c r="N11" s="73">
        <v>0.15</v>
      </c>
      <c r="O11" s="73">
        <v>0.15</v>
      </c>
      <c r="P11" s="73">
        <v>0.15</v>
      </c>
    </row>
    <row r="12" spans="2:17" ht="16">
      <c r="C12" s="13" t="s">
        <v>122</v>
      </c>
      <c r="D12" s="10"/>
      <c r="E12" s="64" t="s">
        <v>111</v>
      </c>
      <c r="F12" s="10"/>
      <c r="G12" s="10"/>
      <c r="H12" s="8">
        <v>2225</v>
      </c>
      <c r="I12" s="8">
        <v>2450</v>
      </c>
      <c r="J12" s="8">
        <v>2750</v>
      </c>
      <c r="K12" s="8">
        <v>3000</v>
      </c>
      <c r="L12" s="72">
        <f>K12*(1+L13)</f>
        <v>3314.4816660065453</v>
      </c>
      <c r="M12" s="72">
        <f t="shared" ref="M12:P12" si="4">L12*(1+M13)</f>
        <v>3666.021438804707</v>
      </c>
      <c r="N12" s="72">
        <f t="shared" si="4"/>
        <v>4034.8208457252272</v>
      </c>
      <c r="O12" s="72">
        <f t="shared" si="4"/>
        <v>4453.7540685246022</v>
      </c>
      <c r="P12" s="72">
        <f t="shared" si="4"/>
        <v>4914.7036173478709</v>
      </c>
    </row>
    <row r="13" spans="2:17" ht="16">
      <c r="C13" s="65" t="s">
        <v>123</v>
      </c>
      <c r="D13" s="10"/>
      <c r="E13" s="64" t="s">
        <v>93</v>
      </c>
      <c r="F13" s="10"/>
      <c r="G13" s="10"/>
      <c r="H13" s="8"/>
      <c r="I13" s="66">
        <f>I12/H12-1</f>
        <v>0.101123595505618</v>
      </c>
      <c r="J13" s="66">
        <f t="shared" ref="J13" si="5">J12/I12-1</f>
        <v>0.12244897959183665</v>
      </c>
      <c r="K13" s="66">
        <f t="shared" ref="K13" si="6">K12/J12-1</f>
        <v>9.0909090909090828E-2</v>
      </c>
      <c r="L13" s="73">
        <f>AVERAGE(I13:K13)</f>
        <v>0.10482722200218182</v>
      </c>
      <c r="M13" s="73">
        <f t="shared" ref="M13:P13" si="7">AVERAGE(J13:L13)</f>
        <v>0.10606176416770309</v>
      </c>
      <c r="N13" s="73">
        <f t="shared" si="7"/>
        <v>0.10059935902632523</v>
      </c>
      <c r="O13" s="73">
        <f t="shared" si="7"/>
        <v>0.10382944839873672</v>
      </c>
      <c r="P13" s="73">
        <f t="shared" si="7"/>
        <v>0.10349685719758835</v>
      </c>
    </row>
    <row r="14" spans="2:17" ht="16">
      <c r="C14" s="13" t="s">
        <v>0</v>
      </c>
      <c r="D14" s="10"/>
      <c r="E14" s="64" t="s">
        <v>111</v>
      </c>
      <c r="F14" s="10"/>
      <c r="G14" s="10"/>
      <c r="H14" s="8">
        <v>189125</v>
      </c>
      <c r="I14" s="8">
        <v>257250</v>
      </c>
      <c r="J14" s="8">
        <v>371250</v>
      </c>
      <c r="K14" s="8">
        <v>570000</v>
      </c>
      <c r="L14" s="70">
        <f>L6*L12</f>
        <v>689412.18652936141</v>
      </c>
      <c r="M14" s="70">
        <f t="shared" ref="M14:P14" si="8">M6*M12</f>
        <v>845017.94164448488</v>
      </c>
      <c r="N14" s="70">
        <f t="shared" si="8"/>
        <v>1037755.9215205284</v>
      </c>
      <c r="O14" s="70">
        <f t="shared" si="8"/>
        <v>1291922.7114272737</v>
      </c>
      <c r="P14" s="70">
        <f t="shared" si="8"/>
        <v>1610941.5516942849</v>
      </c>
    </row>
    <row r="15" spans="2:17" ht="16">
      <c r="C15" s="13"/>
      <c r="D15" s="10"/>
      <c r="E15" s="10"/>
      <c r="F15" s="10"/>
      <c r="G15" s="10"/>
      <c r="H15" s="63"/>
      <c r="I15" s="63"/>
      <c r="J15" s="63"/>
      <c r="K15" s="63"/>
      <c r="L15" s="10"/>
      <c r="M15" s="10"/>
      <c r="N15" s="10"/>
      <c r="O15" s="10"/>
      <c r="P15" s="10"/>
    </row>
    <row r="16" spans="2:17" ht="16">
      <c r="C16" s="14" t="s">
        <v>115</v>
      </c>
      <c r="D16" s="10"/>
      <c r="E16" s="10"/>
      <c r="F16" s="10"/>
      <c r="G16" s="10"/>
      <c r="H16" s="13"/>
      <c r="I16" s="13"/>
      <c r="J16" s="13"/>
      <c r="K16" s="13"/>
      <c r="L16" s="10"/>
      <c r="M16" s="10"/>
      <c r="N16" s="10"/>
      <c r="O16" s="10"/>
      <c r="P16" s="10"/>
    </row>
    <row r="17" spans="3:16" ht="16">
      <c r="C17" s="13" t="s">
        <v>114</v>
      </c>
      <c r="D17" s="10"/>
      <c r="E17" s="64" t="s">
        <v>98</v>
      </c>
      <c r="F17" s="10"/>
      <c r="G17" s="10"/>
      <c r="H17" s="67">
        <v>0.5</v>
      </c>
      <c r="I17" s="8">
        <v>5</v>
      </c>
      <c r="J17" s="8">
        <v>6</v>
      </c>
      <c r="K17" s="8">
        <v>6</v>
      </c>
      <c r="L17" s="72">
        <f>IF(Platform="Yes",INDEX($L$18:$P$20,MATCH(Scenario,$C$18:$C$20,0),1)+L21,INDEX($L$18:$P$20,MATCH(Scenario,$C$18:$C$20,0),1))</f>
        <v>8</v>
      </c>
      <c r="M17" s="72">
        <f>IF(Platform="Yes",INDEX($L$18:$P$20,MATCH(Scenario,$C$18:$C$20,0),2)+M21,INDEX($L$18:$P$20,MATCH(Scenario,$C$18:$C$20,0),2))</f>
        <v>10</v>
      </c>
      <c r="N17" s="72">
        <f>IF(Platform="Yes",INDEX($L$18:$P$20,MATCH(Scenario,$C$18:$C$20,0),3)+N21,INDEX($L$18:$P$20,MATCH(Scenario,$C$18:$C$20,0),3))</f>
        <v>13</v>
      </c>
      <c r="O17" s="72">
        <f>IF(Platform="Yes",INDEX($L$18:$P$20,MATCH(Scenario,$C$18:$C$20,0),4)+O21,INDEX($L$18:$P$20,MATCH(Scenario,$C$18:$C$20,0),4))</f>
        <v>15</v>
      </c>
      <c r="P17" s="72">
        <f>IF(Platform="Yes",INDEX($L$18:$P$20,MATCH(Scenario,$C$18:$C$20,0),5)+P21,INDEX($L$18:$P$20,MATCH(Scenario,$C$18:$C$20,0),5))</f>
        <v>19</v>
      </c>
    </row>
    <row r="18" spans="3:16" ht="16">
      <c r="C18" s="65" t="s">
        <v>124</v>
      </c>
      <c r="D18" s="10"/>
      <c r="E18" s="64" t="s">
        <v>98</v>
      </c>
      <c r="F18" s="10"/>
      <c r="G18" s="10"/>
      <c r="H18" s="67"/>
      <c r="I18" s="8"/>
      <c r="J18" s="8"/>
      <c r="K18" s="8"/>
      <c r="L18" s="72">
        <f>L19*(1+0.1)</f>
        <v>7.7000000000000011</v>
      </c>
      <c r="M18" s="72">
        <f t="shared" ref="M18:P18" si="9">M19*(1+0.1)</f>
        <v>7.7000000000000011</v>
      </c>
      <c r="N18" s="72">
        <f t="shared" si="9"/>
        <v>8.8000000000000007</v>
      </c>
      <c r="O18" s="72">
        <f t="shared" si="9"/>
        <v>8.8000000000000007</v>
      </c>
      <c r="P18" s="72">
        <f t="shared" si="9"/>
        <v>9.9</v>
      </c>
    </row>
    <row r="19" spans="3:16" ht="16">
      <c r="C19" s="65" t="s">
        <v>125</v>
      </c>
      <c r="D19" s="10"/>
      <c r="E19" s="64" t="s">
        <v>98</v>
      </c>
      <c r="F19" s="10"/>
      <c r="G19" s="10"/>
      <c r="H19" s="67"/>
      <c r="I19" s="8"/>
      <c r="J19" s="8"/>
      <c r="K19" s="8"/>
      <c r="L19" s="72">
        <v>7</v>
      </c>
      <c r="M19" s="72">
        <v>7</v>
      </c>
      <c r="N19" s="72">
        <v>8</v>
      </c>
      <c r="O19" s="72">
        <v>8</v>
      </c>
      <c r="P19" s="72">
        <v>9</v>
      </c>
    </row>
    <row r="20" spans="3:16" ht="16">
      <c r="C20" s="65" t="s">
        <v>126</v>
      </c>
      <c r="D20" s="10"/>
      <c r="E20" s="64" t="s">
        <v>98</v>
      </c>
      <c r="F20" s="10"/>
      <c r="G20" s="10"/>
      <c r="H20" s="67"/>
      <c r="I20" s="8"/>
      <c r="J20" s="8"/>
      <c r="K20" s="8"/>
      <c r="L20" s="72">
        <f>L19*(1-0.1)</f>
        <v>6.3</v>
      </c>
      <c r="M20" s="72">
        <f t="shared" ref="M20:P20" si="10">M19*(1-0.1)</f>
        <v>6.3</v>
      </c>
      <c r="N20" s="72">
        <f t="shared" si="10"/>
        <v>7.2</v>
      </c>
      <c r="O20" s="72">
        <f t="shared" si="10"/>
        <v>7.2</v>
      </c>
      <c r="P20" s="72">
        <f t="shared" si="10"/>
        <v>8.1</v>
      </c>
    </row>
    <row r="21" spans="3:16" ht="16">
      <c r="C21" s="13" t="s">
        <v>530</v>
      </c>
      <c r="D21" s="10"/>
      <c r="E21" s="64" t="s">
        <v>98</v>
      </c>
      <c r="F21" s="10"/>
      <c r="G21" s="10"/>
      <c r="H21" s="67"/>
      <c r="I21" s="8"/>
      <c r="J21" s="8"/>
      <c r="K21" s="8"/>
      <c r="L21" s="72">
        <v>1</v>
      </c>
      <c r="M21" s="72">
        <v>3</v>
      </c>
      <c r="N21" s="72">
        <v>5</v>
      </c>
      <c r="O21" s="72">
        <v>7</v>
      </c>
      <c r="P21" s="72">
        <v>10</v>
      </c>
    </row>
    <row r="22" spans="3:16" ht="16">
      <c r="C22" s="65" t="s">
        <v>123</v>
      </c>
      <c r="D22" s="10"/>
      <c r="E22" s="64" t="s">
        <v>93</v>
      </c>
      <c r="F22" s="10"/>
      <c r="G22" s="10"/>
      <c r="H22" s="13"/>
      <c r="I22" s="66">
        <f>I17/H17-1</f>
        <v>9</v>
      </c>
      <c r="J22" s="66">
        <f t="shared" ref="J22" si="11">J17/I17-1</f>
        <v>0.19999999999999996</v>
      </c>
      <c r="K22" s="66">
        <f t="shared" ref="K22" si="12">K17/J17-1</f>
        <v>0</v>
      </c>
      <c r="L22" s="71">
        <f t="shared" ref="L22" si="13">L17/K17-1</f>
        <v>0.33333333333333326</v>
      </c>
      <c r="M22" s="71">
        <f t="shared" ref="M22" si="14">M17/L17-1</f>
        <v>0.25</v>
      </c>
      <c r="N22" s="71">
        <f t="shared" ref="N22" si="15">N17/M17-1</f>
        <v>0.30000000000000004</v>
      </c>
      <c r="O22" s="71">
        <f t="shared" ref="O22" si="16">O17/N17-1</f>
        <v>0.15384615384615374</v>
      </c>
      <c r="P22" s="71">
        <f t="shared" ref="P22" si="17">P17/O17-1</f>
        <v>0.26666666666666661</v>
      </c>
    </row>
    <row r="23" spans="3:16" ht="16">
      <c r="C23" s="13" t="s">
        <v>122</v>
      </c>
      <c r="D23" s="10"/>
      <c r="E23" s="64" t="s">
        <v>111</v>
      </c>
      <c r="F23" s="10"/>
      <c r="G23" s="10"/>
      <c r="H23" s="8">
        <v>166</v>
      </c>
      <c r="I23" s="8">
        <v>3138</v>
      </c>
      <c r="J23" s="8">
        <v>5434</v>
      </c>
      <c r="K23" s="8">
        <v>1481</v>
      </c>
      <c r="L23" s="72">
        <f>K23*(1+L24)</f>
        <v>1481</v>
      </c>
      <c r="M23" s="72">
        <f t="shared" ref="M23" si="18">L23*(1+M24)</f>
        <v>1481</v>
      </c>
      <c r="N23" s="72">
        <f t="shared" ref="N23" si="19">M23*(1+N24)</f>
        <v>1481</v>
      </c>
      <c r="O23" s="72">
        <f t="shared" ref="O23" si="20">N23*(1+O24)</f>
        <v>1481</v>
      </c>
      <c r="P23" s="72">
        <f t="shared" ref="P23" si="21">O23*(1+P24)</f>
        <v>1481</v>
      </c>
    </row>
    <row r="24" spans="3:16" ht="16">
      <c r="C24" s="65" t="s">
        <v>123</v>
      </c>
      <c r="D24" s="10"/>
      <c r="E24" s="64" t="s">
        <v>93</v>
      </c>
      <c r="F24" s="10"/>
      <c r="G24" s="10"/>
      <c r="H24" s="8"/>
      <c r="I24" s="66">
        <f>I23/H23-1</f>
        <v>17.903614457831324</v>
      </c>
      <c r="J24" s="66">
        <f t="shared" ref="J24" si="22">J23/I23-1</f>
        <v>0.73167622689611211</v>
      </c>
      <c r="K24" s="66">
        <f t="shared" ref="K24" si="23">K23/J23-1</f>
        <v>-0.72745675377254326</v>
      </c>
      <c r="L24" s="73"/>
      <c r="M24" s="73"/>
      <c r="N24" s="73"/>
      <c r="O24" s="73"/>
      <c r="P24" s="73"/>
    </row>
    <row r="25" spans="3:16" ht="16">
      <c r="C25" s="13" t="s">
        <v>0</v>
      </c>
      <c r="D25" s="10"/>
      <c r="E25" s="64" t="s">
        <v>111</v>
      </c>
      <c r="F25" s="10"/>
      <c r="G25" s="10"/>
      <c r="H25" s="8">
        <v>83</v>
      </c>
      <c r="I25" s="8">
        <v>15689</v>
      </c>
      <c r="J25" s="8">
        <v>32601</v>
      </c>
      <c r="K25" s="8">
        <v>8887</v>
      </c>
      <c r="L25" s="70">
        <f>L17*L23</f>
        <v>11848</v>
      </c>
      <c r="M25" s="70">
        <f t="shared" ref="M25:P25" si="24">M17*M23</f>
        <v>14810</v>
      </c>
      <c r="N25" s="70">
        <f t="shared" si="24"/>
        <v>19253</v>
      </c>
      <c r="O25" s="70">
        <f t="shared" si="24"/>
        <v>22215</v>
      </c>
      <c r="P25" s="70">
        <f t="shared" si="24"/>
        <v>28139</v>
      </c>
    </row>
    <row r="26" spans="3:16" ht="16">
      <c r="C26" s="13"/>
      <c r="D26" s="10"/>
      <c r="E26" s="10"/>
      <c r="F26" s="10"/>
      <c r="G26" s="10"/>
      <c r="H26" s="13"/>
      <c r="I26" s="63"/>
      <c r="J26" s="63"/>
      <c r="K26" s="63"/>
      <c r="L26" s="10"/>
      <c r="M26" s="10"/>
      <c r="N26" s="10"/>
      <c r="O26" s="10"/>
      <c r="P26" s="10"/>
    </row>
    <row r="27" spans="3:16" ht="16">
      <c r="C27" s="14" t="s">
        <v>116</v>
      </c>
      <c r="D27" s="10"/>
      <c r="E27" s="10"/>
      <c r="F27" s="10"/>
      <c r="G27" s="10"/>
      <c r="H27" s="13"/>
      <c r="I27" s="13"/>
      <c r="J27" s="13"/>
      <c r="K27" s="13"/>
      <c r="L27" s="10"/>
      <c r="M27" s="10"/>
      <c r="N27" s="10"/>
      <c r="O27" s="10"/>
      <c r="P27" s="10"/>
    </row>
    <row r="28" spans="3:16" ht="16">
      <c r="C28" s="13" t="s">
        <v>114</v>
      </c>
      <c r="D28" s="10"/>
      <c r="E28" s="64" t="s">
        <v>98</v>
      </c>
      <c r="F28" s="10"/>
      <c r="G28" s="10"/>
      <c r="H28" s="13">
        <v>14</v>
      </c>
      <c r="I28" s="13">
        <v>29</v>
      </c>
      <c r="J28" s="13">
        <v>40</v>
      </c>
      <c r="K28" s="13">
        <v>58</v>
      </c>
      <c r="L28" s="166">
        <f>IF(Platform="Yes",INDEX($L$29:$P$31,MATCH(Scenario,$C$29:$C$31,0),1)+L32,INDEX($L$29:$P$31,MATCH(Scenario,$C$29:$C$31,0),1))</f>
        <v>76</v>
      </c>
      <c r="M28" s="166">
        <f>IF(Platform="Yes",INDEX($L$29:$P$31,MATCH(Scenario,$C$29:$C$31,0),2)+M32,INDEX($L$29:$P$31,MATCH(Scenario,$C$29:$C$31,0),2))</f>
        <v>114.8712643678161</v>
      </c>
      <c r="N28" s="166">
        <f>IF(Platform="Yes",INDEX($L$29:$P$31,MATCH(Scenario,$C$29:$C$31,0),3)+N32,INDEX($L$29:$P$31,MATCH(Scenario,$C$29:$C$31,0),3))</f>
        <v>174.50914123398073</v>
      </c>
      <c r="O28" s="166">
        <f>IF(Platform="Yes",INDEX($L$29:$P$31,MATCH(Scenario,$C$29:$C$31,0),4)+O32,INDEX($L$29:$P$31,MATCH(Scenario,$C$29:$C$31,0),4))</f>
        <v>262.82762953338863</v>
      </c>
      <c r="P28" s="166">
        <f>IF(Platform="Yes",INDEX($L$29:$P$31,MATCH(Scenario,$C$29:$C$31,0),5)+P32,INDEX($L$29:$P$31,MATCH(Scenario,$C$29:$C$31,0),5))</f>
        <v>388.11208588685457</v>
      </c>
    </row>
    <row r="29" spans="3:16" ht="16">
      <c r="C29" s="65" t="s">
        <v>124</v>
      </c>
      <c r="D29" s="10"/>
      <c r="E29" s="64" t="s">
        <v>98</v>
      </c>
      <c r="F29" s="10"/>
      <c r="G29" s="10"/>
      <c r="H29" s="13"/>
      <c r="I29" s="13"/>
      <c r="J29" s="13"/>
      <c r="K29" s="13"/>
      <c r="L29" s="72">
        <f>L30*(1+0.1)</f>
        <v>79.2</v>
      </c>
      <c r="M29" s="72">
        <f t="shared" ref="M29:P29" si="25">M30*(1+0.1)</f>
        <v>115.35839080459772</v>
      </c>
      <c r="N29" s="72">
        <f t="shared" si="25"/>
        <v>174.36005535737883</v>
      </c>
      <c r="O29" s="72">
        <f t="shared" si="25"/>
        <v>264.91039248672752</v>
      </c>
      <c r="P29" s="72">
        <f t="shared" si="25"/>
        <v>393.92329447554005</v>
      </c>
    </row>
    <row r="30" spans="3:16" ht="16">
      <c r="C30" s="65" t="s">
        <v>125</v>
      </c>
      <c r="D30" s="10"/>
      <c r="E30" s="64" t="s">
        <v>98</v>
      </c>
      <c r="F30" s="10"/>
      <c r="G30" s="10"/>
      <c r="H30" s="13"/>
      <c r="I30" s="13"/>
      <c r="J30" s="13"/>
      <c r="K30" s="13"/>
      <c r="L30" s="72">
        <v>72</v>
      </c>
      <c r="M30" s="72">
        <f>L28*(1+M33)</f>
        <v>104.8712643678161</v>
      </c>
      <c r="N30" s="72">
        <f t="shared" ref="N30:P30" si="26">M28*(1+N33)</f>
        <v>158.50914123398073</v>
      </c>
      <c r="O30" s="72">
        <f t="shared" si="26"/>
        <v>240.82762953338863</v>
      </c>
      <c r="P30" s="72">
        <f t="shared" si="26"/>
        <v>358.11208588685457</v>
      </c>
    </row>
    <row r="31" spans="3:16" ht="16">
      <c r="C31" s="65" t="s">
        <v>126</v>
      </c>
      <c r="D31" s="10"/>
      <c r="E31" s="64" t="s">
        <v>98</v>
      </c>
      <c r="F31" s="10"/>
      <c r="G31" s="10"/>
      <c r="H31" s="13"/>
      <c r="I31" s="13"/>
      <c r="J31" s="13"/>
      <c r="K31" s="13"/>
      <c r="L31" s="72">
        <f>L30*(1-0.1)</f>
        <v>64.8</v>
      </c>
      <c r="M31" s="72">
        <f t="shared" ref="M31:P31" si="27">M30*(1-0.1)</f>
        <v>94.384137931034488</v>
      </c>
      <c r="N31" s="72">
        <f t="shared" si="27"/>
        <v>142.65822711058266</v>
      </c>
      <c r="O31" s="72">
        <f t="shared" si="27"/>
        <v>216.74486658004977</v>
      </c>
      <c r="P31" s="72">
        <f t="shared" si="27"/>
        <v>322.3008772981691</v>
      </c>
    </row>
    <row r="32" spans="3:16" ht="16">
      <c r="C32" s="13" t="s">
        <v>530</v>
      </c>
      <c r="D32" s="10"/>
      <c r="E32" s="64" t="s">
        <v>98</v>
      </c>
      <c r="F32" s="10"/>
      <c r="G32" s="10"/>
      <c r="H32" s="13"/>
      <c r="I32" s="13"/>
      <c r="J32" s="13"/>
      <c r="K32" s="13"/>
      <c r="L32" s="72">
        <v>4</v>
      </c>
      <c r="M32" s="72">
        <v>10</v>
      </c>
      <c r="N32" s="72">
        <v>16</v>
      </c>
      <c r="O32" s="72">
        <v>22</v>
      </c>
      <c r="P32" s="72">
        <v>30</v>
      </c>
    </row>
    <row r="33" spans="3:16" ht="16">
      <c r="C33" s="65" t="s">
        <v>123</v>
      </c>
      <c r="D33" s="10"/>
      <c r="E33" s="64" t="s">
        <v>93</v>
      </c>
      <c r="F33" s="10"/>
      <c r="G33" s="10"/>
      <c r="H33" s="13"/>
      <c r="I33" s="66">
        <f>I28/H28-1</f>
        <v>1.0714285714285716</v>
      </c>
      <c r="J33" s="66">
        <f t="shared" ref="J33" si="28">J28/I28-1</f>
        <v>0.3793103448275863</v>
      </c>
      <c r="K33" s="66">
        <f t="shared" ref="K33:L33" si="29">K28/J28-1</f>
        <v>0.44999999999999996</v>
      </c>
      <c r="L33" s="66">
        <f t="shared" si="29"/>
        <v>0.31034482758620685</v>
      </c>
      <c r="M33" s="73">
        <f>AVERAGE(J33:L33)</f>
        <v>0.37988505747126439</v>
      </c>
      <c r="N33" s="73">
        <f t="shared" ref="N33:P33" si="30">AVERAGE(J33:M33)</f>
        <v>0.37988505747126439</v>
      </c>
      <c r="O33" s="73">
        <f t="shared" si="30"/>
        <v>0.38002873563218392</v>
      </c>
      <c r="P33" s="73">
        <f t="shared" si="30"/>
        <v>0.3625359195402299</v>
      </c>
    </row>
    <row r="34" spans="3:16" ht="16">
      <c r="C34" s="13" t="s">
        <v>122</v>
      </c>
      <c r="D34" s="10"/>
      <c r="E34" s="64" t="s">
        <v>111</v>
      </c>
      <c r="F34" s="10"/>
      <c r="G34" s="10"/>
      <c r="H34" s="8">
        <v>2280</v>
      </c>
      <c r="I34" s="8">
        <v>2500</v>
      </c>
      <c r="J34" s="8">
        <v>2500</v>
      </c>
      <c r="K34" s="8">
        <v>2500</v>
      </c>
      <c r="L34" s="72">
        <f>K34*(1+L35)</f>
        <v>2580.4093567251462</v>
      </c>
      <c r="M34" s="72">
        <f t="shared" ref="M34" si="31">L34*(1+M35)</f>
        <v>2608.0745642533889</v>
      </c>
      <c r="N34" s="72">
        <f t="shared" ref="N34" si="32">M34*(1+N35)</f>
        <v>2645.3569816761146</v>
      </c>
      <c r="O34" s="72">
        <f t="shared" ref="O34" si="33">N34*(1+O35)</f>
        <v>2695.7774742876582</v>
      </c>
      <c r="P34" s="72">
        <f t="shared" ref="P34" si="34">O34*(1+P35)</f>
        <v>2735.3840525865203</v>
      </c>
    </row>
    <row r="35" spans="3:16" ht="16">
      <c r="C35" s="65" t="s">
        <v>123</v>
      </c>
      <c r="D35" s="10"/>
      <c r="E35" s="64" t="s">
        <v>93</v>
      </c>
      <c r="F35" s="10"/>
      <c r="G35" s="10"/>
      <c r="H35" s="8"/>
      <c r="I35" s="66">
        <f>I34/H34-1</f>
        <v>9.6491228070175517E-2</v>
      </c>
      <c r="J35" s="66">
        <f t="shared" ref="J35" si="35">J34/I34-1</f>
        <v>0</v>
      </c>
      <c r="K35" s="66">
        <f t="shared" ref="K35" si="36">K34/J34-1</f>
        <v>0</v>
      </c>
      <c r="L35" s="73">
        <f>AVERAGE(I35:K35)</f>
        <v>3.2163742690058506E-2</v>
      </c>
      <c r="M35" s="73">
        <f t="shared" ref="M35" si="37">AVERAGE(J35:L35)</f>
        <v>1.0721247563352835E-2</v>
      </c>
      <c r="N35" s="73">
        <f t="shared" ref="N35" si="38">AVERAGE(K35:M35)</f>
        <v>1.4294996751137113E-2</v>
      </c>
      <c r="O35" s="73">
        <f t="shared" ref="O35" si="39">AVERAGE(L35:N35)</f>
        <v>1.9059995668182818E-2</v>
      </c>
      <c r="P35" s="73">
        <f t="shared" ref="P35" si="40">AVERAGE(M35:O35)</f>
        <v>1.4692079994224255E-2</v>
      </c>
    </row>
    <row r="36" spans="3:16" ht="16">
      <c r="C36" s="13" t="s">
        <v>0</v>
      </c>
      <c r="D36" s="10"/>
      <c r="E36" s="64" t="s">
        <v>111</v>
      </c>
      <c r="F36" s="10"/>
      <c r="G36" s="10"/>
      <c r="H36" s="8">
        <v>31920</v>
      </c>
      <c r="I36" s="8">
        <v>72500</v>
      </c>
      <c r="J36" s="8">
        <v>100000</v>
      </c>
      <c r="K36" s="8">
        <v>145000</v>
      </c>
      <c r="L36" s="70">
        <f>L28*L34</f>
        <v>196111.11111111109</v>
      </c>
      <c r="M36" s="70">
        <f t="shared" ref="M36:P36" si="41">M28*M34</f>
        <v>299592.82276132778</v>
      </c>
      <c r="N36" s="70">
        <f t="shared" si="41"/>
        <v>461638.97512961406</v>
      </c>
      <c r="O36" s="70">
        <f t="shared" si="41"/>
        <v>708524.80331653066</v>
      </c>
      <c r="P36" s="70">
        <f t="shared" si="41"/>
        <v>1061635.6103509918</v>
      </c>
    </row>
    <row r="37" spans="3:16" ht="16">
      <c r="C37" s="13"/>
      <c r="D37" s="10"/>
      <c r="E37" s="10"/>
      <c r="F37" s="10"/>
      <c r="G37" s="10"/>
      <c r="H37" s="63"/>
      <c r="I37" s="63"/>
      <c r="J37" s="63"/>
      <c r="K37" s="63"/>
      <c r="L37" s="10"/>
      <c r="M37" s="10"/>
      <c r="N37" s="10"/>
      <c r="O37" s="10"/>
      <c r="P37" s="10"/>
    </row>
    <row r="38" spans="3:16" ht="16">
      <c r="C38" s="14" t="s">
        <v>117</v>
      </c>
      <c r="D38" s="10"/>
      <c r="E38" s="10"/>
      <c r="F38" s="10"/>
      <c r="G38" s="10"/>
      <c r="H38" s="13"/>
      <c r="I38" s="13"/>
      <c r="J38" s="13"/>
      <c r="K38" s="13"/>
      <c r="L38" s="10"/>
      <c r="M38" s="10"/>
      <c r="N38" s="10"/>
      <c r="O38" s="10"/>
      <c r="P38" s="10"/>
    </row>
    <row r="39" spans="3:16" ht="16">
      <c r="C39" s="14" t="s">
        <v>114</v>
      </c>
      <c r="D39" s="10"/>
      <c r="E39" s="74" t="s">
        <v>98</v>
      </c>
      <c r="F39" s="10"/>
      <c r="G39" s="10"/>
      <c r="H39" s="14">
        <v>0.5</v>
      </c>
      <c r="I39" s="14">
        <v>2</v>
      </c>
      <c r="J39" s="14">
        <v>1</v>
      </c>
      <c r="K39" s="14">
        <v>2</v>
      </c>
      <c r="L39" s="166">
        <f>IF(Platform="Yes",INDEX($L$40:$P$42,MATCH(Scenario,$C$40:$C$42,0),1)+L43,INDEX($L$40:$P$42,MATCH(Scenario,$C$40:$C$42,0),1))</f>
        <v>4</v>
      </c>
      <c r="M39" s="166">
        <f>IF(Platform="Yes",INDEX($L$40:$P$42,MATCH(Scenario,$C$40:$C$42,0),2)+M43,INDEX($L$40:$P$42,MATCH(Scenario,$C$40:$C$42,0),2))</f>
        <v>5</v>
      </c>
      <c r="N39" s="166">
        <f>IF(Platform="Yes",INDEX($L$40:$P$42,MATCH(Scenario,$C$40:$C$42,0),3)+N43,INDEX($L$40:$P$42,MATCH(Scenario,$C$40:$C$42,0),3))</f>
        <v>8</v>
      </c>
      <c r="O39" s="166">
        <f>IF(Platform="Yes",INDEX($L$40:$P$42,MATCH(Scenario,$C$40:$C$42,0),4)+O43,INDEX($L$40:$P$42,MATCH(Scenario,$C$40:$C$42,0),4))</f>
        <v>9</v>
      </c>
      <c r="P39" s="166">
        <f>IF(Platform="Yes",INDEX($L$40:$P$42,MATCH(Scenario,$C$40:$C$42,0),5)+P43,INDEX($L$40:$P$42,MATCH(Scenario,$C$40:$C$42,0),5))</f>
        <v>12</v>
      </c>
    </row>
    <row r="40" spans="3:16" ht="16">
      <c r="C40" s="65" t="s">
        <v>124</v>
      </c>
      <c r="D40" s="10"/>
      <c r="E40" s="64" t="s">
        <v>98</v>
      </c>
      <c r="F40" s="10"/>
      <c r="G40" s="10"/>
      <c r="H40" s="13"/>
      <c r="I40" s="13"/>
      <c r="J40" s="13"/>
      <c r="K40" s="13"/>
      <c r="L40" s="72">
        <v>3</v>
      </c>
      <c r="M40" s="72">
        <v>4</v>
      </c>
      <c r="N40" s="72">
        <v>4</v>
      </c>
      <c r="O40" s="72">
        <v>5</v>
      </c>
      <c r="P40" s="72">
        <v>6</v>
      </c>
    </row>
    <row r="41" spans="3:16" ht="16">
      <c r="C41" s="65" t="s">
        <v>125</v>
      </c>
      <c r="D41" s="10"/>
      <c r="E41" s="64" t="s">
        <v>98</v>
      </c>
      <c r="F41" s="10"/>
      <c r="G41" s="10"/>
      <c r="H41" s="13"/>
      <c r="I41" s="13"/>
      <c r="J41" s="13"/>
      <c r="K41" s="13"/>
      <c r="L41" s="72">
        <v>3</v>
      </c>
      <c r="M41" s="72">
        <v>3</v>
      </c>
      <c r="N41" s="72">
        <v>4</v>
      </c>
      <c r="O41" s="72">
        <v>4</v>
      </c>
      <c r="P41" s="72">
        <v>5</v>
      </c>
    </row>
    <row r="42" spans="3:16" ht="16">
      <c r="C42" s="65" t="s">
        <v>126</v>
      </c>
      <c r="D42" s="10"/>
      <c r="E42" s="64" t="s">
        <v>98</v>
      </c>
      <c r="F42" s="10"/>
      <c r="G42" s="10"/>
      <c r="H42" s="13"/>
      <c r="I42" s="13"/>
      <c r="J42" s="13"/>
      <c r="K42" s="13"/>
      <c r="L42" s="72">
        <v>2</v>
      </c>
      <c r="M42" s="72">
        <v>3</v>
      </c>
      <c r="N42" s="72">
        <v>3</v>
      </c>
      <c r="O42" s="72">
        <v>4</v>
      </c>
      <c r="P42" s="72">
        <v>4</v>
      </c>
    </row>
    <row r="43" spans="3:16" ht="16">
      <c r="C43" s="13" t="s">
        <v>530</v>
      </c>
      <c r="D43" s="10"/>
      <c r="E43" s="64" t="s">
        <v>98</v>
      </c>
      <c r="F43" s="10"/>
      <c r="G43" s="10"/>
      <c r="H43" s="13"/>
      <c r="I43" s="13"/>
      <c r="J43" s="13"/>
      <c r="K43" s="13"/>
      <c r="L43" s="72">
        <v>1</v>
      </c>
      <c r="M43" s="72">
        <v>2</v>
      </c>
      <c r="N43" s="72">
        <v>4</v>
      </c>
      <c r="O43" s="72">
        <v>5</v>
      </c>
      <c r="P43" s="72">
        <v>7</v>
      </c>
    </row>
    <row r="44" spans="3:16" ht="16">
      <c r="C44" s="65" t="s">
        <v>123</v>
      </c>
      <c r="D44" s="10"/>
      <c r="E44" s="64" t="s">
        <v>93</v>
      </c>
      <c r="F44" s="10"/>
      <c r="G44" s="10"/>
      <c r="H44" s="13"/>
      <c r="I44" s="66">
        <f>I39/H39-1</f>
        <v>3</v>
      </c>
      <c r="J44" s="66">
        <f t="shared" ref="J44" si="42">J39/I39-1</f>
        <v>-0.5</v>
      </c>
      <c r="K44" s="66">
        <f t="shared" ref="K44" si="43">K39/J39-1</f>
        <v>1</v>
      </c>
      <c r="L44" s="73">
        <f>AVERAGE(I44:K44)</f>
        <v>1.1666666666666667</v>
      </c>
      <c r="M44" s="73">
        <f t="shared" ref="M44" si="44">AVERAGE(J44:L44)</f>
        <v>0.55555555555555558</v>
      </c>
      <c r="N44" s="73">
        <f t="shared" ref="N44" si="45">AVERAGE(K44:M44)</f>
        <v>0.90740740740740744</v>
      </c>
      <c r="O44" s="73">
        <f t="shared" ref="O44" si="46">AVERAGE(L44:N44)</f>
        <v>0.87654320987654322</v>
      </c>
      <c r="P44" s="73">
        <f t="shared" ref="P44" si="47">AVERAGE(M44:O44)</f>
        <v>0.77983539094650212</v>
      </c>
    </row>
    <row r="45" spans="3:16" ht="16">
      <c r="C45" s="13" t="s">
        <v>122</v>
      </c>
      <c r="D45" s="10"/>
      <c r="E45" s="64" t="s">
        <v>111</v>
      </c>
      <c r="F45" s="10"/>
      <c r="G45" s="10"/>
      <c r="H45" s="8">
        <v>2580</v>
      </c>
      <c r="I45" s="8">
        <v>2491</v>
      </c>
      <c r="J45" s="8">
        <v>3356</v>
      </c>
      <c r="K45" s="8">
        <v>3028</v>
      </c>
      <c r="L45" s="72">
        <f>K45*(1+L46)</f>
        <v>3245.0254170978542</v>
      </c>
      <c r="M45" s="72">
        <f t="shared" ref="M45" si="48">L45*(1+M46)</f>
        <v>3477.6056663180657</v>
      </c>
      <c r="N45" s="72">
        <f t="shared" ref="N45" si="49">M45*(1+N46)</f>
        <v>3726.8556069503443</v>
      </c>
      <c r="O45" s="72">
        <f t="shared" ref="O45" si="50">N45*(1+O46)</f>
        <v>3993.9700034370931</v>
      </c>
      <c r="P45" s="72">
        <f t="shared" ref="P45" si="51">O45*(1+P46)</f>
        <v>4280.2292524041513</v>
      </c>
    </row>
    <row r="46" spans="3:16" ht="16">
      <c r="C46" s="65" t="s">
        <v>123</v>
      </c>
      <c r="D46" s="10"/>
      <c r="E46" s="64" t="s">
        <v>93</v>
      </c>
      <c r="F46" s="10"/>
      <c r="G46" s="10"/>
      <c r="H46" s="8"/>
      <c r="I46" s="66">
        <f>I45/H45-1</f>
        <v>-3.4496124031007769E-2</v>
      </c>
      <c r="J46" s="66">
        <f t="shared" ref="J46" si="52">J45/I45-1</f>
        <v>0.34725010036130066</v>
      </c>
      <c r="K46" s="66">
        <f t="shared" ref="K46" si="53">K45/J45-1</f>
        <v>-9.7735399284862967E-2</v>
      </c>
      <c r="L46" s="73">
        <f>AVERAGE(I46:K46)</f>
        <v>7.1672859015143309E-2</v>
      </c>
      <c r="M46" s="73">
        <v>7.1672859015143309E-2</v>
      </c>
      <c r="N46" s="73">
        <v>7.1672859015143309E-2</v>
      </c>
      <c r="O46" s="73">
        <v>7.1672859015143309E-2</v>
      </c>
      <c r="P46" s="73">
        <v>7.1672859015143309E-2</v>
      </c>
    </row>
    <row r="47" spans="3:16" ht="16">
      <c r="C47" s="13" t="s">
        <v>0</v>
      </c>
      <c r="D47" s="10"/>
      <c r="E47" s="64" t="s">
        <v>111</v>
      </c>
      <c r="F47" s="10"/>
      <c r="G47" s="10"/>
      <c r="H47" s="8">
        <v>1290</v>
      </c>
      <c r="I47" s="8">
        <v>4982</v>
      </c>
      <c r="J47" s="8">
        <v>3356</v>
      </c>
      <c r="K47" s="8">
        <v>6057</v>
      </c>
      <c r="L47" s="70">
        <f>L39*L45</f>
        <v>12980.101668391417</v>
      </c>
      <c r="M47" s="70">
        <f t="shared" ref="M47:P47" si="54">M39*M45</f>
        <v>17388.028331590329</v>
      </c>
      <c r="N47" s="70">
        <f t="shared" si="54"/>
        <v>29814.844855602754</v>
      </c>
      <c r="O47" s="70">
        <f t="shared" si="54"/>
        <v>35945.730030933839</v>
      </c>
      <c r="P47" s="70">
        <f t="shared" si="54"/>
        <v>51362.751028849816</v>
      </c>
    </row>
    <row r="48" spans="3:16" ht="16">
      <c r="C48" s="13"/>
      <c r="D48" s="10"/>
      <c r="E48" s="10"/>
      <c r="F48" s="10"/>
      <c r="G48" s="10"/>
      <c r="H48" s="63"/>
      <c r="I48" s="63"/>
      <c r="J48" s="63"/>
      <c r="K48" s="63"/>
      <c r="L48"/>
      <c r="M48"/>
    </row>
    <row r="49" spans="2:16" ht="16">
      <c r="C49" s="14" t="s">
        <v>118</v>
      </c>
      <c r="D49" s="10"/>
      <c r="E49" s="10"/>
      <c r="F49" s="10"/>
      <c r="G49" s="10"/>
      <c r="H49" s="13"/>
      <c r="I49" s="13"/>
      <c r="J49" s="13"/>
      <c r="K49" s="13"/>
      <c r="L49">
        <v>59000</v>
      </c>
      <c r="M49">
        <v>87000</v>
      </c>
    </row>
    <row r="50" spans="2:16" ht="16">
      <c r="C50" s="13" t="s">
        <v>119</v>
      </c>
      <c r="D50" s="10"/>
      <c r="E50" s="64" t="s">
        <v>111</v>
      </c>
      <c r="F50" s="10"/>
      <c r="G50" s="10"/>
      <c r="H50" s="8">
        <v>36402</v>
      </c>
      <c r="I50" s="8">
        <v>37002</v>
      </c>
      <c r="J50" s="8">
        <v>48516</v>
      </c>
      <c r="K50" s="8">
        <v>49000</v>
      </c>
      <c r="L50" s="69">
        <f>IF(Platform="Yes",(K50*(1+L52))*(1+L51),K50*(1+L52))</f>
        <v>55604.933630675405</v>
      </c>
      <c r="M50" s="69">
        <f>IF(Platform="Yes",(L50*(1+M52))*(1+M51),L50*(1+M52))</f>
        <v>64916.276187818898</v>
      </c>
      <c r="N50" s="69">
        <f>IF(Platform="Yes",(M50*(1+N52))*(1+N51),M50*(1+N52))</f>
        <v>74230.42068952987</v>
      </c>
      <c r="O50" s="69">
        <f>IF(Platform="Yes",(N50*(1+O52))*(1+O51),N50*(1+O52))</f>
        <v>86934.770810936898</v>
      </c>
      <c r="P50" s="69">
        <f>IF(Platform="Yes",(O50*(1+P52))*(1+P51),O50*(1+P52))</f>
        <v>101899.69565934721</v>
      </c>
    </row>
    <row r="51" spans="2:16" ht="16">
      <c r="C51" s="13" t="s">
        <v>530</v>
      </c>
      <c r="D51" s="10"/>
      <c r="E51" s="64" t="s">
        <v>93</v>
      </c>
      <c r="F51" s="10"/>
      <c r="G51" s="10"/>
      <c r="H51" s="8"/>
      <c r="I51" s="8"/>
      <c r="J51" s="8"/>
      <c r="K51" s="8"/>
      <c r="L51" s="68">
        <v>0.02</v>
      </c>
      <c r="M51" s="68">
        <v>0.02</v>
      </c>
      <c r="N51" s="68">
        <v>0.05</v>
      </c>
      <c r="O51" s="68">
        <v>0.05</v>
      </c>
      <c r="P51" s="68">
        <v>0.05</v>
      </c>
    </row>
    <row r="52" spans="2:16" ht="16">
      <c r="C52" s="65" t="s">
        <v>123</v>
      </c>
      <c r="D52" s="10"/>
      <c r="E52" s="64" t="s">
        <v>93</v>
      </c>
      <c r="F52" s="10"/>
      <c r="G52" s="10"/>
      <c r="H52" s="63"/>
      <c r="I52" s="66">
        <f>I50/H50-1</f>
        <v>1.6482610845558021E-2</v>
      </c>
      <c r="J52" s="66">
        <f t="shared" ref="J52" si="55">J50/I50-1</f>
        <v>0.31117236906113188</v>
      </c>
      <c r="K52" s="66">
        <f t="shared" ref="K52" si="56">K50/J50-1</f>
        <v>9.976090361942358E-3</v>
      </c>
      <c r="L52" s="68">
        <f>AVERAGE(I52:K52)</f>
        <v>0.11254369008954408</v>
      </c>
      <c r="M52" s="68">
        <f t="shared" ref="M52:P52" si="57">AVERAGE(J52:L52)</f>
        <v>0.14456404983753943</v>
      </c>
      <c r="N52" s="68">
        <f t="shared" si="57"/>
        <v>8.9027943429675294E-2</v>
      </c>
      <c r="O52" s="68">
        <f t="shared" si="57"/>
        <v>0.1153785611189196</v>
      </c>
      <c r="P52" s="68">
        <f t="shared" si="57"/>
        <v>0.11632351812871145</v>
      </c>
    </row>
    <row r="53" spans="2:16" ht="16">
      <c r="C53" s="65"/>
      <c r="D53" s="10"/>
      <c r="E53" s="10"/>
      <c r="F53" s="10"/>
      <c r="G53" s="10"/>
      <c r="H53" s="63"/>
      <c r="I53" s="66"/>
      <c r="J53" s="66"/>
      <c r="K53" s="66"/>
      <c r="L53"/>
      <c r="M53"/>
    </row>
    <row r="54" spans="2:16" ht="16">
      <c r="C54" s="14" t="s">
        <v>120</v>
      </c>
      <c r="D54" s="10"/>
      <c r="E54" s="10"/>
      <c r="F54" s="10"/>
      <c r="G54" s="10"/>
      <c r="H54" s="13"/>
      <c r="I54" s="13"/>
      <c r="J54" s="13"/>
      <c r="K54" s="13"/>
      <c r="L54"/>
      <c r="M54"/>
    </row>
    <row r="55" spans="2:16" ht="16">
      <c r="C55" s="13" t="s">
        <v>119</v>
      </c>
      <c r="D55" s="10"/>
      <c r="E55" s="64" t="s">
        <v>111</v>
      </c>
      <c r="F55" s="10"/>
      <c r="G55" s="10"/>
      <c r="H55" s="8">
        <v>931</v>
      </c>
      <c r="I55" s="8">
        <v>1409</v>
      </c>
      <c r="J55" s="8">
        <v>2000</v>
      </c>
      <c r="K55" s="8">
        <v>3174</v>
      </c>
      <c r="L55" s="69">
        <f>IF(Platform="Yes",(K55*(1+L57))*(1+L56),K55*(1+L57))</f>
        <v>4877.6659730417086</v>
      </c>
      <c r="M55" s="69">
        <f>IF(Platform="Yes",(L55*(1+M57))*(1+M56),L55*(1+M57))</f>
        <v>7484.5054643879421</v>
      </c>
      <c r="N55" s="69">
        <f>IF(Platform="Yes",(M55*(1+N57))*(1+N56),M55*(1+N57))</f>
        <v>12044.76533877062</v>
      </c>
      <c r="O55" s="69">
        <f>IF(Platform="Yes",(N55*(1+O57))*(1+O56),N55*(1+O57))</f>
        <v>19154.483777061178</v>
      </c>
      <c r="P55" s="69">
        <f>IF(Platform="Yes",(O55*(1+P57))*(1+P56),O55*(1+P57))</f>
        <v>30514.003808081259</v>
      </c>
    </row>
    <row r="56" spans="2:16" ht="16">
      <c r="C56" s="13" t="s">
        <v>530</v>
      </c>
      <c r="D56" s="10"/>
      <c r="E56" s="64" t="s">
        <v>93</v>
      </c>
      <c r="F56" s="10"/>
      <c r="G56" s="10"/>
      <c r="H56" s="8"/>
      <c r="I56" s="8"/>
      <c r="J56" s="8"/>
      <c r="K56" s="8"/>
      <c r="L56" s="68">
        <v>0.02</v>
      </c>
      <c r="M56" s="68">
        <v>0.02</v>
      </c>
      <c r="N56" s="68">
        <v>0.05</v>
      </c>
      <c r="O56" s="68">
        <v>0.05</v>
      </c>
      <c r="P56" s="68">
        <v>0.05</v>
      </c>
    </row>
    <row r="57" spans="2:16" ht="16">
      <c r="C57" s="65" t="s">
        <v>123</v>
      </c>
      <c r="D57" s="10"/>
      <c r="E57" s="64" t="s">
        <v>93</v>
      </c>
      <c r="F57" s="10"/>
      <c r="G57" s="10"/>
      <c r="H57" s="13"/>
      <c r="I57" s="66">
        <f>I55/H55-1</f>
        <v>0.51342642320085918</v>
      </c>
      <c r="J57" s="66">
        <f t="shared" ref="J57" si="58">J55/I55-1</f>
        <v>0.41944641589779996</v>
      </c>
      <c r="K57" s="66">
        <f t="shared" ref="K57" si="59">K55/J55-1</f>
        <v>0.58699999999999997</v>
      </c>
      <c r="L57" s="68">
        <f>AVERAGE(I57:K57)</f>
        <v>0.50662427969955304</v>
      </c>
      <c r="M57" s="68">
        <f t="shared" ref="M57" si="60">AVERAGE(J57:L57)</f>
        <v>0.50435689853245103</v>
      </c>
      <c r="N57" s="68">
        <f t="shared" ref="N57" si="61">AVERAGE(K57:M57)</f>
        <v>0.53266039274400134</v>
      </c>
      <c r="O57" s="68">
        <f t="shared" ref="O57" si="62">AVERAGE(L57:N57)</f>
        <v>0.51454719032533502</v>
      </c>
      <c r="P57" s="68">
        <f t="shared" ref="P57" si="63">AVERAGE(M57:O57)</f>
        <v>0.51718816053392913</v>
      </c>
    </row>
    <row r="58" spans="2:16" ht="16">
      <c r="C58" s="13"/>
      <c r="D58" s="10"/>
      <c r="E58" s="10"/>
      <c r="F58" s="10"/>
      <c r="G58" s="10"/>
      <c r="H58" s="13"/>
      <c r="I58" s="66"/>
      <c r="J58" s="66"/>
      <c r="K58" s="66"/>
      <c r="L58"/>
      <c r="M58"/>
    </row>
    <row r="59" spans="2:16" ht="16">
      <c r="C59" s="14" t="s">
        <v>121</v>
      </c>
      <c r="D59" s="10"/>
      <c r="E59" s="64" t="s">
        <v>111</v>
      </c>
      <c r="F59" s="10"/>
      <c r="G59" s="10"/>
      <c r="H59" s="50">
        <f>SUM(H14,H25,H36,H47,H50,H55)</f>
        <v>259751</v>
      </c>
      <c r="I59" s="50">
        <f t="shared" ref="I59:K59" si="64">SUM(I14,I25,I36,I47,I50,I55)</f>
        <v>388832</v>
      </c>
      <c r="J59" s="50">
        <f t="shared" si="64"/>
        <v>557723</v>
      </c>
      <c r="K59" s="50">
        <f t="shared" si="64"/>
        <v>782118</v>
      </c>
      <c r="L59" s="50">
        <f>SUM(L14,L36,L25,L47,L50,L55)</f>
        <v>970833.99891258101</v>
      </c>
      <c r="M59" s="50">
        <f t="shared" ref="M59:P59" si="65">SUM(M14,M36,M25,M47,M50,M55)</f>
        <v>1249209.57438961</v>
      </c>
      <c r="N59" s="50">
        <f t="shared" si="65"/>
        <v>1634737.9275340459</v>
      </c>
      <c r="O59" s="50">
        <f t="shared" si="65"/>
        <v>2164697.4993627365</v>
      </c>
      <c r="P59" s="50">
        <f t="shared" si="65"/>
        <v>2884492.612541555</v>
      </c>
    </row>
    <row r="60" spans="2:16" ht="16">
      <c r="C60" s="14"/>
      <c r="D60" s="10"/>
      <c r="E60" s="64"/>
      <c r="F60" s="10"/>
      <c r="G60" s="10"/>
      <c r="H60" s="50"/>
      <c r="I60" s="50"/>
      <c r="J60" s="50"/>
      <c r="K60" s="50"/>
      <c r="L60" s="50"/>
      <c r="M60" s="50"/>
      <c r="N60" s="50"/>
      <c r="O60" s="50"/>
      <c r="P60" s="50"/>
    </row>
    <row r="61" spans="2:16" ht="16">
      <c r="C61" s="13" t="s">
        <v>293</v>
      </c>
      <c r="H61" s="1"/>
      <c r="I61" s="1"/>
      <c r="J61" s="1"/>
      <c r="K61" s="1"/>
      <c r="L61" s="279">
        <v>914000</v>
      </c>
      <c r="M61" s="279">
        <v>1053000</v>
      </c>
    </row>
    <row r="62" spans="2:16">
      <c r="H62" s="1"/>
      <c r="I62" s="1"/>
      <c r="J62" s="1"/>
      <c r="K62" s="1"/>
      <c r="L62"/>
      <c r="M62"/>
    </row>
    <row r="63" spans="2:16" ht="16">
      <c r="B63" s="16" t="s">
        <v>535</v>
      </c>
      <c r="C63" s="16"/>
      <c r="D63" s="16"/>
      <c r="E63" s="16"/>
      <c r="F63" s="16"/>
      <c r="G63" s="16"/>
      <c r="H63" s="17"/>
      <c r="I63" s="17"/>
      <c r="J63" s="18" t="s">
        <v>78</v>
      </c>
      <c r="K63" s="17"/>
      <c r="L63" s="19"/>
      <c r="M63" s="17"/>
      <c r="N63" s="18" t="s">
        <v>79</v>
      </c>
      <c r="O63" s="17"/>
      <c r="P63" s="17"/>
    </row>
    <row r="64" spans="2:16" ht="16">
      <c r="B64" s="20" t="str">
        <f>"Debt Schedule - "&amp;Company_Name</f>
        <v>Debt Schedule - ACM Research, Inc.</v>
      </c>
      <c r="C64" s="16"/>
      <c r="D64" s="20"/>
      <c r="E64" s="20" t="s">
        <v>80</v>
      </c>
      <c r="F64" s="23"/>
      <c r="G64" s="23"/>
      <c r="H64" s="23">
        <f>H3</f>
        <v>44561</v>
      </c>
      <c r="I64" s="23">
        <f t="shared" ref="I64:P64" si="66">I3</f>
        <v>44926</v>
      </c>
      <c r="J64" s="23">
        <f t="shared" si="66"/>
        <v>45291</v>
      </c>
      <c r="K64" s="23">
        <f t="shared" si="66"/>
        <v>45657</v>
      </c>
      <c r="L64" s="37">
        <f t="shared" si="66"/>
        <v>46022</v>
      </c>
      <c r="M64" s="23">
        <f t="shared" si="66"/>
        <v>46387</v>
      </c>
      <c r="N64" s="23">
        <f t="shared" si="66"/>
        <v>46752</v>
      </c>
      <c r="O64" s="23">
        <f t="shared" si="66"/>
        <v>47118</v>
      </c>
      <c r="P64" s="23">
        <f t="shared" si="66"/>
        <v>47483</v>
      </c>
    </row>
    <row r="65" spans="3:17">
      <c r="H65"/>
      <c r="I65"/>
      <c r="J65"/>
      <c r="K65"/>
      <c r="L65"/>
      <c r="M65"/>
    </row>
    <row r="66" spans="3:17" ht="16">
      <c r="C66" s="12" t="s">
        <v>180</v>
      </c>
      <c r="H66" s="6">
        <v>25367.140049999998</v>
      </c>
      <c r="I66" s="6">
        <v>21009</v>
      </c>
      <c r="J66" s="6">
        <v>60735</v>
      </c>
      <c r="K66" s="6">
        <v>149997</v>
      </c>
      <c r="L66" s="72">
        <f>K70</f>
        <v>105525</v>
      </c>
      <c r="M66" s="72">
        <f t="shared" ref="M66:P66" si="67">L70</f>
        <v>108714.04410476959</v>
      </c>
      <c r="N66" s="72">
        <f t="shared" si="67"/>
        <v>83500.469698013185</v>
      </c>
      <c r="O66" s="72">
        <f t="shared" si="67"/>
        <v>92735.752566565978</v>
      </c>
      <c r="P66" s="72">
        <f t="shared" si="67"/>
        <v>98332.803183880023</v>
      </c>
    </row>
    <row r="67" spans="3:17" ht="16">
      <c r="C67" s="172"/>
      <c r="H67" s="6"/>
      <c r="I67" s="184"/>
      <c r="J67" s="184"/>
      <c r="K67" s="184"/>
      <c r="L67" s="5"/>
      <c r="M67" s="5"/>
      <c r="N67" s="5"/>
      <c r="O67" s="5"/>
      <c r="P67" s="5"/>
    </row>
    <row r="68" spans="3:17" ht="16">
      <c r="C68" s="143" t="s">
        <v>202</v>
      </c>
      <c r="H68" s="7"/>
      <c r="I68" s="7"/>
      <c r="J68" s="7"/>
      <c r="K68" s="7"/>
      <c r="L68" s="5">
        <f>L72</f>
        <v>36947.044104769593</v>
      </c>
      <c r="M68" s="5">
        <f t="shared" ref="M68:P68" si="68">M72</f>
        <v>33082.425593243592</v>
      </c>
      <c r="N68" s="5">
        <f t="shared" si="68"/>
        <v>25899.506435890718</v>
      </c>
      <c r="O68" s="5">
        <f t="shared" si="68"/>
        <v>25073.523162046</v>
      </c>
      <c r="P68" s="5">
        <f t="shared" si="68"/>
        <v>28605.190328700173</v>
      </c>
    </row>
    <row r="69" spans="3:17" ht="16">
      <c r="C69" s="169" t="s">
        <v>181</v>
      </c>
      <c r="H69" s="55">
        <v>-2410</v>
      </c>
      <c r="I69" s="55">
        <v>-2322</v>
      </c>
      <c r="J69" s="55">
        <v>-6783</v>
      </c>
      <c r="K69" s="55">
        <v>-44472</v>
      </c>
      <c r="L69" s="171">
        <f>M78</f>
        <v>-33758</v>
      </c>
      <c r="M69" s="171">
        <f t="shared" ref="M69" si="69">N78</f>
        <v>-58296</v>
      </c>
      <c r="N69" s="171">
        <f>-N66*O79</f>
        <v>-16664.223567337915</v>
      </c>
      <c r="O69" s="171">
        <f t="shared" ref="O69:P69" si="70">-O66*P79</f>
        <v>-19476.472544731954</v>
      </c>
      <c r="P69" s="171">
        <f t="shared" si="70"/>
        <v>-18526.391533772232</v>
      </c>
    </row>
    <row r="70" spans="3:17" ht="16">
      <c r="C70" s="12" t="s">
        <v>182</v>
      </c>
      <c r="H70" s="8">
        <f>SUM(H66,H69)</f>
        <v>22957.140049999998</v>
      </c>
      <c r="I70" s="8">
        <f t="shared" ref="I70:K70" si="71">SUM(I66,I69)</f>
        <v>18687</v>
      </c>
      <c r="J70" s="8">
        <f t="shared" si="71"/>
        <v>53952</v>
      </c>
      <c r="K70" s="8">
        <f t="shared" si="71"/>
        <v>105525</v>
      </c>
      <c r="L70" s="8">
        <f>SUM(L66:L69)</f>
        <v>108714.04410476959</v>
      </c>
      <c r="M70" s="8">
        <f t="shared" ref="M70:P70" si="72">SUM(M66:M69)</f>
        <v>83500.469698013185</v>
      </c>
      <c r="N70" s="8">
        <f t="shared" si="72"/>
        <v>92735.752566565978</v>
      </c>
      <c r="O70" s="8">
        <f t="shared" si="72"/>
        <v>98332.803183880023</v>
      </c>
      <c r="P70" s="8">
        <f t="shared" si="72"/>
        <v>108411.60197880797</v>
      </c>
    </row>
    <row r="71" spans="3:17" ht="16">
      <c r="C71" s="12"/>
      <c r="H71" s="8"/>
      <c r="I71" s="8"/>
      <c r="J71" s="8"/>
      <c r="K71" s="8"/>
      <c r="L71"/>
      <c r="M71" s="8"/>
      <c r="N71" s="8"/>
      <c r="O71" s="8"/>
      <c r="P71" s="8"/>
    </row>
    <row r="72" spans="3:17" ht="16">
      <c r="C72" s="10" t="s">
        <v>213</v>
      </c>
      <c r="H72" s="6"/>
      <c r="I72" s="7">
        <f>I70-H70</f>
        <v>-4270.1400499999982</v>
      </c>
      <c r="J72" s="7">
        <f t="shared" ref="J72:K72" si="73">J70-I70</f>
        <v>35265</v>
      </c>
      <c r="K72" s="7">
        <f t="shared" si="73"/>
        <v>51573</v>
      </c>
      <c r="L72" s="72">
        <f>L73*L86</f>
        <v>36947.044104769593</v>
      </c>
      <c r="M72" s="72">
        <f t="shared" ref="M72:P72" si="74">M73*M86</f>
        <v>33082.425593243592</v>
      </c>
      <c r="N72" s="72">
        <f t="shared" si="74"/>
        <v>25899.506435890718</v>
      </c>
      <c r="O72" s="72">
        <f t="shared" si="74"/>
        <v>25073.523162046</v>
      </c>
      <c r="P72" s="72">
        <f t="shared" si="74"/>
        <v>28605.190328700173</v>
      </c>
    </row>
    <row r="73" spans="3:17" ht="16">
      <c r="C73" s="143" t="s">
        <v>185</v>
      </c>
      <c r="H73" s="6"/>
      <c r="I73" s="170">
        <f>I72/I86</f>
        <v>-4.6153697038478145E-2</v>
      </c>
      <c r="J73" s="170">
        <f t="shared" ref="J73:K73" si="75">J72/J86</f>
        <v>0.54812086169915131</v>
      </c>
      <c r="K73" s="170">
        <f t="shared" si="75"/>
        <v>0.6000488667566436</v>
      </c>
      <c r="L73" s="185">
        <v>0.5</v>
      </c>
      <c r="M73" s="185">
        <v>0.45</v>
      </c>
      <c r="N73" s="185">
        <v>0.35</v>
      </c>
      <c r="O73" s="185">
        <v>0.3</v>
      </c>
      <c r="P73" s="185">
        <v>0.25</v>
      </c>
    </row>
    <row r="74" spans="3:17" ht="16">
      <c r="C74" s="10"/>
      <c r="H74" s="6"/>
      <c r="I74" s="6"/>
      <c r="J74" s="6"/>
      <c r="K74" s="6"/>
      <c r="L74"/>
      <c r="M74"/>
    </row>
    <row r="75" spans="3:17" ht="16">
      <c r="C75" s="10" t="s">
        <v>51</v>
      </c>
      <c r="H75" s="3">
        <f>Model!H79</f>
        <v>-765</v>
      </c>
      <c r="I75" s="3">
        <f>Model!I79</f>
        <v>-1655</v>
      </c>
      <c r="J75" s="3">
        <f>Model!J79</f>
        <v>-2681</v>
      </c>
      <c r="K75" s="3">
        <f>Model!K79</f>
        <v>-4151</v>
      </c>
      <c r="L75" s="5">
        <f>-L70*L76</f>
        <v>-5732.3876644461589</v>
      </c>
      <c r="M75" s="5">
        <f t="shared" ref="M75:P75" si="76">-M70*M76</f>
        <v>-4402.904222351217</v>
      </c>
      <c r="N75" s="5">
        <f t="shared" si="76"/>
        <v>-4889.8723326339123</v>
      </c>
      <c r="O75" s="5">
        <f t="shared" si="76"/>
        <v>-5184.9997479024742</v>
      </c>
      <c r="P75" s="5">
        <f t="shared" si="76"/>
        <v>-5716.4456898343733</v>
      </c>
    </row>
    <row r="76" spans="3:17" ht="16">
      <c r="C76" s="143" t="s">
        <v>183</v>
      </c>
      <c r="H76" s="136">
        <f>-H75/H70</f>
        <v>3.3322966115720498E-2</v>
      </c>
      <c r="I76" s="136">
        <f t="shared" ref="I76:K76" si="77">-I75/I70</f>
        <v>8.8564242521539036E-2</v>
      </c>
      <c r="J76" s="136">
        <f t="shared" si="77"/>
        <v>4.9692319098457886E-2</v>
      </c>
      <c r="K76" s="136">
        <f t="shared" si="77"/>
        <v>3.9336650082918742E-2</v>
      </c>
      <c r="L76" s="73">
        <f>AVERAGE(H76:K76)</f>
        <v>5.2729044454659035E-2</v>
      </c>
      <c r="M76" s="73">
        <v>5.2729095276645849E-2</v>
      </c>
      <c r="N76" s="73">
        <v>5.2729095276645849E-2</v>
      </c>
      <c r="O76" s="73">
        <v>5.2729095276645849E-2</v>
      </c>
      <c r="P76" s="73">
        <v>5.2729095276645849E-2</v>
      </c>
    </row>
    <row r="77" spans="3:17" ht="16">
      <c r="C77" s="10"/>
      <c r="H77"/>
      <c r="I77"/>
      <c r="J77"/>
      <c r="K77"/>
      <c r="L77"/>
      <c r="M77"/>
    </row>
    <row r="78" spans="3:17" ht="16">
      <c r="C78" s="11" t="s">
        <v>184</v>
      </c>
      <c r="H78" s="7">
        <v>-2127</v>
      </c>
      <c r="I78" s="7">
        <v>-2223</v>
      </c>
      <c r="J78" s="7">
        <v>-2283</v>
      </c>
      <c r="K78" s="7">
        <v>-9582</v>
      </c>
      <c r="L78" s="3">
        <v>-44472</v>
      </c>
      <c r="M78" s="3">
        <v>-33758</v>
      </c>
      <c r="N78" s="3">
        <v>-58296</v>
      </c>
      <c r="O78" s="3">
        <f>N69</f>
        <v>-16664.223567337915</v>
      </c>
      <c r="P78" s="3">
        <f t="shared" ref="P78:Q78" si="78">O69</f>
        <v>-19476.472544731954</v>
      </c>
      <c r="Q78" s="3">
        <f t="shared" si="78"/>
        <v>-18526.391533772232</v>
      </c>
    </row>
    <row r="79" spans="3:17" ht="16">
      <c r="C79" s="143" t="s">
        <v>232</v>
      </c>
      <c r="H79"/>
      <c r="I79" s="85">
        <f>-I78/H66</f>
        <v>8.7633055820181049E-2</v>
      </c>
      <c r="J79" s="85">
        <f t="shared" ref="J79:K79" si="79">-J78/I66</f>
        <v>0.10866771383692703</v>
      </c>
      <c r="K79" s="85">
        <f t="shared" si="79"/>
        <v>0.15776734996295383</v>
      </c>
      <c r="L79" s="85">
        <f>-L78/K66</f>
        <v>0.29648592971859439</v>
      </c>
      <c r="M79" s="190">
        <f>AVERAGE(I79:L79)</f>
        <v>0.16263851233466409</v>
      </c>
      <c r="N79" s="190">
        <f t="shared" ref="N79:Q79" si="80">AVERAGE(J79:M79)</f>
        <v>0.18138987646328483</v>
      </c>
      <c r="O79" s="190">
        <f t="shared" si="80"/>
        <v>0.19957041711987428</v>
      </c>
      <c r="P79" s="190">
        <f t="shared" si="80"/>
        <v>0.2100211839091044</v>
      </c>
      <c r="Q79" s="190">
        <f t="shared" si="80"/>
        <v>0.18840499745673189</v>
      </c>
    </row>
    <row r="80" spans="3:17">
      <c r="H80"/>
      <c r="I80"/>
      <c r="J80"/>
      <c r="K80"/>
      <c r="L80"/>
      <c r="M80"/>
    </row>
    <row r="81" spans="2:16" ht="16">
      <c r="B81" s="16"/>
      <c r="C81" s="16"/>
      <c r="D81" s="16"/>
      <c r="E81" s="16"/>
      <c r="F81" s="16"/>
      <c r="G81" s="16"/>
      <c r="H81" s="17"/>
      <c r="I81" s="17"/>
      <c r="J81" s="18" t="s">
        <v>78</v>
      </c>
      <c r="K81" s="17"/>
      <c r="L81" s="19"/>
      <c r="M81" s="17"/>
      <c r="N81" s="18" t="s">
        <v>79</v>
      </c>
      <c r="O81" s="17"/>
      <c r="P81" s="17"/>
    </row>
    <row r="82" spans="2:16" ht="16">
      <c r="B82" s="20" t="str">
        <f>"D&amp;A and CapEx - "&amp;Company_Name</f>
        <v>D&amp;A and CapEx - ACM Research, Inc.</v>
      </c>
      <c r="C82" s="16"/>
      <c r="D82" s="20"/>
      <c r="E82" s="20" t="s">
        <v>80</v>
      </c>
      <c r="F82" s="23"/>
      <c r="G82" s="23"/>
      <c r="H82" s="23">
        <f t="shared" ref="H82:P82" si="81">H3</f>
        <v>44561</v>
      </c>
      <c r="I82" s="23">
        <f t="shared" si="81"/>
        <v>44926</v>
      </c>
      <c r="J82" s="23">
        <f t="shared" si="81"/>
        <v>45291</v>
      </c>
      <c r="K82" s="23">
        <f t="shared" si="81"/>
        <v>45657</v>
      </c>
      <c r="L82" s="37">
        <f t="shared" si="81"/>
        <v>46022</v>
      </c>
      <c r="M82" s="23">
        <f t="shared" si="81"/>
        <v>46387</v>
      </c>
      <c r="N82" s="23">
        <f t="shared" si="81"/>
        <v>46752</v>
      </c>
      <c r="O82" s="23">
        <f t="shared" si="81"/>
        <v>47118</v>
      </c>
      <c r="P82" s="23">
        <f t="shared" si="81"/>
        <v>47483</v>
      </c>
    </row>
    <row r="83" spans="2:16" ht="16">
      <c r="B83" s="52"/>
      <c r="C83" s="10"/>
      <c r="D83" s="52"/>
      <c r="E83" s="5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</row>
    <row r="84" spans="2:16" ht="16">
      <c r="C84" s="58" t="s">
        <v>292</v>
      </c>
      <c r="H84"/>
      <c r="I84" s="85"/>
      <c r="J84" s="85"/>
      <c r="K84" s="85"/>
      <c r="L84" s="72">
        <v>70000</v>
      </c>
      <c r="M84" s="72">
        <v>67000</v>
      </c>
      <c r="N84" s="72">
        <v>69000</v>
      </c>
      <c r="O84" s="72">
        <v>76000</v>
      </c>
      <c r="P84" s="72">
        <v>84000</v>
      </c>
    </row>
    <row r="85" spans="2:16" ht="16">
      <c r="H85"/>
      <c r="I85" s="85"/>
      <c r="J85" s="85"/>
      <c r="K85" s="85"/>
      <c r="L85" s="5"/>
      <c r="M85" s="5"/>
      <c r="N85" s="5"/>
      <c r="O85" s="5"/>
      <c r="P85" s="5"/>
    </row>
    <row r="86" spans="2:16" ht="16">
      <c r="C86" s="58" t="s">
        <v>186</v>
      </c>
      <c r="H86" s="5">
        <f>-Model!H182</f>
        <v>9712</v>
      </c>
      <c r="I86" s="5">
        <f>-Model!I182</f>
        <v>92520</v>
      </c>
      <c r="J86" s="5">
        <f>-Model!J182</f>
        <v>64338</v>
      </c>
      <c r="K86" s="5">
        <f>-Model!K182</f>
        <v>85948</v>
      </c>
      <c r="L86" s="5">
        <f>-L87*SUM(Model!L73,Model!L67)</f>
        <v>73894.088209539186</v>
      </c>
      <c r="M86" s="5">
        <f>-M87*SUM(Model!M73,Model!M67)</f>
        <v>73516.501318319089</v>
      </c>
      <c r="N86" s="5">
        <f>-N87*SUM(Model!N73,Model!N67)</f>
        <v>73998.58981683063</v>
      </c>
      <c r="O86" s="5">
        <f>-O87*SUM(Model!O73,Model!O67)</f>
        <v>83578.410540153331</v>
      </c>
      <c r="P86" s="5">
        <f>-P87*SUM(Model!P73,Model!P67)</f>
        <v>114420.76131480069</v>
      </c>
    </row>
    <row r="87" spans="2:16" ht="16">
      <c r="C87" s="177" t="s">
        <v>195</v>
      </c>
      <c r="E87" s="64" t="s">
        <v>93</v>
      </c>
      <c r="H87" s="136">
        <f>-H86/SUM(Model!H73,Model!H67)</f>
        <v>4.39359599002936E-2</v>
      </c>
      <c r="I87" s="136">
        <f>-I86/SUM(Model!I73,Model!I67)</f>
        <v>0.28053620863743456</v>
      </c>
      <c r="J87" s="136">
        <f>-J86/SUM(Model!J73,Model!J67)</f>
        <v>0.13929471469026855</v>
      </c>
      <c r="K87" s="136">
        <f>-K86/SUM(Model!K73,Model!K67)</f>
        <v>0.13618329319305361</v>
      </c>
      <c r="L87" s="68">
        <v>0.1</v>
      </c>
      <c r="M87" s="68">
        <v>0.08</v>
      </c>
      <c r="N87" s="68">
        <v>0.06</v>
      </c>
      <c r="O87" s="68">
        <v>0.05</v>
      </c>
      <c r="P87" s="68">
        <v>0.05</v>
      </c>
    </row>
    <row r="88" spans="2:16">
      <c r="H88"/>
      <c r="I88"/>
      <c r="J88"/>
      <c r="K88"/>
      <c r="L88"/>
      <c r="M88"/>
    </row>
    <row r="89" spans="2:16" ht="16">
      <c r="C89" s="58" t="s">
        <v>5</v>
      </c>
      <c r="H89" s="5">
        <f>Model!H116</f>
        <v>14519</v>
      </c>
      <c r="I89" s="5">
        <f>Model!I116</f>
        <v>84130</v>
      </c>
      <c r="J89" s="5">
        <f>Model!J116</f>
        <v>204386</v>
      </c>
      <c r="K89" s="5">
        <f>Model!K116</f>
        <v>272733</v>
      </c>
      <c r="L89" s="5">
        <f>K89+L86-L100</f>
        <v>333386.7287990622</v>
      </c>
      <c r="M89" s="5">
        <f t="shared" ref="M89:P89" si="82">L89+M86-M100</f>
        <v>388603.10601511662</v>
      </c>
      <c r="N89" s="5">
        <f t="shared" si="82"/>
        <v>439773.70449050999</v>
      </c>
      <c r="O89" s="5">
        <f t="shared" si="82"/>
        <v>495661.80062033952</v>
      </c>
      <c r="P89" s="5">
        <f t="shared" si="82"/>
        <v>575920.90314901806</v>
      </c>
    </row>
    <row r="90" spans="2:16">
      <c r="H90"/>
      <c r="I90"/>
      <c r="J90"/>
      <c r="K90"/>
      <c r="L90"/>
      <c r="M90"/>
    </row>
    <row r="91" spans="2:16" ht="16">
      <c r="C91" s="143" t="s">
        <v>187</v>
      </c>
      <c r="D91" s="10"/>
      <c r="E91" s="64" t="s">
        <v>93</v>
      </c>
      <c r="H91" s="173">
        <f>H94/H89</f>
        <v>0.16206350299607411</v>
      </c>
      <c r="I91" s="173">
        <f>I94/I89</f>
        <v>6.3782241768691308E-2</v>
      </c>
      <c r="J91" s="173">
        <f>J94/J89</f>
        <v>3.9591752859784918E-2</v>
      </c>
      <c r="K91" s="173">
        <f>K94/K89</f>
        <v>3.654489922378297E-2</v>
      </c>
      <c r="L91" s="174">
        <v>3.5000000000000003E-2</v>
      </c>
      <c r="M91" s="174">
        <v>3.5000000000000003E-2</v>
      </c>
      <c r="N91" s="174">
        <v>3.5000000000000003E-2</v>
      </c>
      <c r="O91" s="174">
        <v>3.5000000000000003E-2</v>
      </c>
      <c r="P91" s="174">
        <v>3.5000000000000003E-2</v>
      </c>
    </row>
    <row r="92" spans="2:16" ht="16">
      <c r="C92" s="143" t="s">
        <v>188</v>
      </c>
      <c r="D92" s="10"/>
      <c r="E92" s="64" t="s">
        <v>93</v>
      </c>
      <c r="H92" s="175"/>
      <c r="I92" s="175"/>
      <c r="J92" s="175"/>
      <c r="K92" s="175"/>
      <c r="L92" s="174">
        <v>0.05</v>
      </c>
      <c r="M92" s="174">
        <v>0.04</v>
      </c>
      <c r="N92" s="174">
        <v>3.5000000000000003E-2</v>
      </c>
      <c r="O92" s="174">
        <v>3.5000000000000003E-2</v>
      </c>
      <c r="P92" s="174">
        <v>3.5000000000000003E-2</v>
      </c>
    </row>
    <row r="93" spans="2:16" ht="16">
      <c r="C93" s="143"/>
      <c r="D93" s="10"/>
      <c r="E93" s="64"/>
      <c r="H93" s="175"/>
      <c r="I93" s="175"/>
      <c r="J93" s="175"/>
      <c r="K93" s="175"/>
      <c r="L93" s="175"/>
      <c r="M93" s="175"/>
      <c r="N93" s="175"/>
      <c r="O93" s="175"/>
      <c r="P93" s="175"/>
    </row>
    <row r="94" spans="2:16" ht="16">
      <c r="C94" s="142" t="s">
        <v>189</v>
      </c>
      <c r="D94" s="10"/>
      <c r="E94" s="64" t="s">
        <v>111</v>
      </c>
      <c r="H94" s="5">
        <f>Model!H159</f>
        <v>2353</v>
      </c>
      <c r="I94" s="5">
        <f>Model!I159</f>
        <v>5366</v>
      </c>
      <c r="J94" s="5">
        <f>Model!J159</f>
        <v>8092</v>
      </c>
      <c r="K94" s="5">
        <f>Model!K159</f>
        <v>9967</v>
      </c>
      <c r="L94" s="176">
        <f>K$89*L91</f>
        <v>9545.6550000000007</v>
      </c>
      <c r="M94" s="176">
        <f t="shared" ref="M94:P94" si="83">L$89*M91</f>
        <v>11668.535507967177</v>
      </c>
      <c r="N94" s="176">
        <f t="shared" si="83"/>
        <v>13601.108710529083</v>
      </c>
      <c r="O94" s="176">
        <f t="shared" si="83"/>
        <v>15392.079657167851</v>
      </c>
      <c r="P94" s="176">
        <f t="shared" si="83"/>
        <v>17348.163021711884</v>
      </c>
    </row>
    <row r="95" spans="2:16" ht="16">
      <c r="C95" s="142" t="s">
        <v>190</v>
      </c>
      <c r="D95" s="10"/>
      <c r="E95" s="64" t="s">
        <v>111</v>
      </c>
      <c r="H95" s="10"/>
      <c r="I95" s="5"/>
      <c r="J95" s="5"/>
      <c r="K95" s="5"/>
      <c r="L95" s="5">
        <f>$L$86*L92</f>
        <v>3694.7044104769593</v>
      </c>
      <c r="M95" s="5">
        <f t="shared" ref="M95:P95" si="84">$L$86*M92</f>
        <v>2955.7635283815675</v>
      </c>
      <c r="N95" s="5">
        <f t="shared" si="84"/>
        <v>2586.2930873338719</v>
      </c>
      <c r="O95" s="5">
        <f t="shared" si="84"/>
        <v>2586.2930873338719</v>
      </c>
      <c r="P95" s="5">
        <f t="shared" si="84"/>
        <v>2586.2930873338719</v>
      </c>
    </row>
    <row r="96" spans="2:16" ht="16">
      <c r="C96" s="142" t="s">
        <v>191</v>
      </c>
      <c r="D96" s="10"/>
      <c r="E96" s="64" t="s">
        <v>111</v>
      </c>
      <c r="H96" s="10"/>
      <c r="I96" s="10"/>
      <c r="J96" s="10"/>
      <c r="K96" s="10"/>
      <c r="L96" s="10"/>
      <c r="M96" s="5">
        <f>$M$86*L92</f>
        <v>3675.8250659159548</v>
      </c>
      <c r="N96" s="5">
        <f t="shared" ref="N96:P96" si="85">$M$86*M92</f>
        <v>2940.6600527327637</v>
      </c>
      <c r="O96" s="5">
        <f t="shared" si="85"/>
        <v>2573.0775461411686</v>
      </c>
      <c r="P96" s="5">
        <f t="shared" si="85"/>
        <v>2573.0775461411686</v>
      </c>
    </row>
    <row r="97" spans="2:19" ht="16">
      <c r="C97" s="142" t="s">
        <v>192</v>
      </c>
      <c r="D97" s="10"/>
      <c r="E97" s="64" t="s">
        <v>111</v>
      </c>
      <c r="H97" s="10"/>
      <c r="I97" s="10"/>
      <c r="J97" s="10"/>
      <c r="K97" s="10"/>
      <c r="L97" s="10"/>
      <c r="M97" s="5"/>
      <c r="N97" s="5">
        <f>$N$86*L92</f>
        <v>3699.9294908415318</v>
      </c>
      <c r="O97" s="5">
        <f t="shared" ref="O97:P97" si="86">$N$86*M92</f>
        <v>2959.9435926732253</v>
      </c>
      <c r="P97" s="5">
        <f t="shared" si="86"/>
        <v>2589.9506435890721</v>
      </c>
    </row>
    <row r="98" spans="2:19" ht="16">
      <c r="C98" s="142" t="s">
        <v>193</v>
      </c>
      <c r="D98" s="10"/>
      <c r="E98" s="64" t="s">
        <v>111</v>
      </c>
      <c r="H98" s="10"/>
      <c r="I98" s="10"/>
      <c r="J98" s="10"/>
      <c r="K98" s="10"/>
      <c r="L98" s="10"/>
      <c r="M98" s="5"/>
      <c r="N98" s="5"/>
      <c r="O98" s="5">
        <f>$O$86*L92</f>
        <v>4178.9205270076664</v>
      </c>
      <c r="P98" s="5">
        <f>$O$86*M92</f>
        <v>3343.1364216061334</v>
      </c>
    </row>
    <row r="99" spans="2:19" ht="16">
      <c r="C99" s="178" t="s">
        <v>194</v>
      </c>
      <c r="D99" s="10"/>
      <c r="E99" s="64" t="s">
        <v>111</v>
      </c>
      <c r="H99" s="179"/>
      <c r="I99" s="179"/>
      <c r="J99" s="179"/>
      <c r="K99" s="179"/>
      <c r="L99" s="179"/>
      <c r="M99" s="180"/>
      <c r="N99" s="180"/>
      <c r="O99" s="180"/>
      <c r="P99" s="180">
        <f>$P$86*L92</f>
        <v>5721.0380657400347</v>
      </c>
    </row>
    <row r="100" spans="2:19" ht="16">
      <c r="C100" s="143" t="s">
        <v>196</v>
      </c>
      <c r="E100" s="64" t="s">
        <v>111</v>
      </c>
      <c r="H100" s="134">
        <f>SUM(H94:H99)</f>
        <v>2353</v>
      </c>
      <c r="I100" s="134">
        <f t="shared" ref="I100:P100" si="87">SUM(I94:I99)</f>
        <v>5366</v>
      </c>
      <c r="J100" s="134">
        <f t="shared" si="87"/>
        <v>8092</v>
      </c>
      <c r="K100" s="134">
        <f t="shared" si="87"/>
        <v>9967</v>
      </c>
      <c r="L100" s="134">
        <f t="shared" si="87"/>
        <v>13240.35941047696</v>
      </c>
      <c r="M100" s="134">
        <f t="shared" si="87"/>
        <v>18300.124102264701</v>
      </c>
      <c r="N100" s="134">
        <f t="shared" si="87"/>
        <v>22827.99134143725</v>
      </c>
      <c r="O100" s="134">
        <f t="shared" si="87"/>
        <v>27690.314410323783</v>
      </c>
      <c r="P100" s="134">
        <f t="shared" si="87"/>
        <v>34161.658786122163</v>
      </c>
    </row>
    <row r="101" spans="2:19">
      <c r="H101"/>
      <c r="I101"/>
      <c r="J101"/>
      <c r="K101"/>
      <c r="L101"/>
      <c r="M101"/>
    </row>
    <row r="102" spans="2:19" ht="16">
      <c r="C102" s="58" t="s">
        <v>33</v>
      </c>
      <c r="E102" s="64" t="s">
        <v>111</v>
      </c>
      <c r="H102" s="4">
        <f>Model!H160</f>
        <v>0</v>
      </c>
      <c r="I102" s="4">
        <f>Model!I160</f>
        <v>-12</v>
      </c>
      <c r="J102" s="4">
        <f>Model!J160</f>
        <v>-2</v>
      </c>
      <c r="K102" s="4">
        <f>Model!K160</f>
        <v>945</v>
      </c>
      <c r="L102" s="4">
        <f>Model!L160</f>
        <v>232.75</v>
      </c>
      <c r="M102" s="4">
        <f>Model!M160</f>
        <v>290.9375</v>
      </c>
      <c r="N102" s="4">
        <f>Model!N160</f>
        <v>366.671875</v>
      </c>
      <c r="O102" s="4">
        <f>Model!O160</f>
        <v>458.83984375</v>
      </c>
      <c r="P102" s="4">
        <f>Model!P160</f>
        <v>337.2998046875</v>
      </c>
    </row>
    <row r="103" spans="2:19" ht="16">
      <c r="C103" s="189"/>
      <c r="E103" s="64"/>
      <c r="H103" s="85"/>
      <c r="I103" s="85"/>
      <c r="J103" s="85"/>
      <c r="K103" s="85"/>
      <c r="L103"/>
      <c r="M103"/>
    </row>
    <row r="104" spans="2:19" ht="16">
      <c r="B104" s="20" t="str">
        <f>"COGs breakdown &amp; Tariff burden - "&amp;Company_Name</f>
        <v>COGs breakdown &amp; Tariff burden - ACM Research, Inc.</v>
      </c>
      <c r="C104" s="16"/>
      <c r="D104" s="20"/>
      <c r="E104" s="20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</row>
    <row r="105" spans="2:19" ht="16">
      <c r="B105" s="52"/>
      <c r="C105" s="10"/>
      <c r="D105" s="52"/>
      <c r="E105" s="5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</row>
    <row r="106" spans="2:19">
      <c r="H106"/>
      <c r="I106" s="666" t="s">
        <v>495</v>
      </c>
      <c r="J106"/>
      <c r="K106"/>
      <c r="L106"/>
      <c r="M106"/>
    </row>
    <row r="107" spans="2:19">
      <c r="C107" s="652" t="s">
        <v>496</v>
      </c>
      <c r="H107"/>
      <c r="O107" t="s">
        <v>503</v>
      </c>
      <c r="P107" s="678" t="s">
        <v>510</v>
      </c>
    </row>
    <row r="108" spans="2:19">
      <c r="C108" s="652" t="s">
        <v>497</v>
      </c>
      <c r="H108" s="676">
        <v>3</v>
      </c>
      <c r="I108" s="676">
        <v>4</v>
      </c>
      <c r="J108" s="676">
        <v>6</v>
      </c>
      <c r="O108" s="654">
        <v>0.25</v>
      </c>
      <c r="P108" s="678" t="s">
        <v>511</v>
      </c>
    </row>
    <row r="109" spans="2:19">
      <c r="C109" s="652" t="s">
        <v>498</v>
      </c>
      <c r="H109" s="676">
        <v>8</v>
      </c>
      <c r="I109" s="676">
        <v>9</v>
      </c>
      <c r="J109" s="676">
        <v>11</v>
      </c>
      <c r="O109" s="654">
        <v>0.1</v>
      </c>
      <c r="P109" s="678" t="s">
        <v>512</v>
      </c>
    </row>
    <row r="110" spans="2:19">
      <c r="C110" s="652" t="s">
        <v>499</v>
      </c>
      <c r="H110" s="676">
        <v>10</v>
      </c>
      <c r="I110" s="676">
        <v>13</v>
      </c>
      <c r="J110" s="676">
        <v>15</v>
      </c>
      <c r="O110" s="654">
        <v>0.05</v>
      </c>
      <c r="P110" s="678" t="s">
        <v>513</v>
      </c>
    </row>
    <row r="111" spans="2:19">
      <c r="C111" s="652" t="s">
        <v>500</v>
      </c>
      <c r="H111" s="676">
        <v>5</v>
      </c>
      <c r="I111" s="676">
        <v>10</v>
      </c>
      <c r="J111" s="676">
        <v>12</v>
      </c>
      <c r="O111" s="654">
        <v>0.1</v>
      </c>
      <c r="P111" s="678" t="s">
        <v>514</v>
      </c>
    </row>
    <row r="112" spans="2:19">
      <c r="C112" s="652" t="s">
        <v>501</v>
      </c>
      <c r="H112" s="676">
        <v>4</v>
      </c>
      <c r="I112" s="676">
        <v>3</v>
      </c>
      <c r="J112" s="676">
        <v>2</v>
      </c>
      <c r="O112" s="654">
        <v>0</v>
      </c>
      <c r="P112" s="678" t="s">
        <v>515</v>
      </c>
    </row>
    <row r="113" spans="2:17">
      <c r="C113" s="653" t="s">
        <v>502</v>
      </c>
      <c r="G113" s="680"/>
      <c r="H113" s="677">
        <v>80</v>
      </c>
      <c r="I113" s="677">
        <v>85</v>
      </c>
      <c r="J113" s="677">
        <v>90</v>
      </c>
      <c r="K113" s="681">
        <v>95</v>
      </c>
      <c r="O113" s="656">
        <v>0</v>
      </c>
      <c r="P113" s="679" t="s">
        <v>516</v>
      </c>
      <c r="Q113" s="680"/>
    </row>
    <row r="114" spans="2:17">
      <c r="C114" s="652" t="s">
        <v>494</v>
      </c>
      <c r="G114" s="425">
        <v>0</v>
      </c>
      <c r="H114" s="651" cm="1">
        <f t="array" ref="H114">SUMPRODUCT(H108:H113,O108:O113/SUM(H108:H113))</f>
        <v>2.3181818181818185E-2</v>
      </c>
      <c r="I114" s="651">
        <f>SUMPRODUCT(I108:I113,O108:O113)/SUM(I108:I113)</f>
        <v>2.8629032258064516E-2</v>
      </c>
      <c r="J114" s="651">
        <f>SUMPRODUCT(J108:J113,O108:O113)/SUM(J108:J113)</f>
        <v>3.3455882352941183E-2</v>
      </c>
      <c r="K114" s="655">
        <v>0</v>
      </c>
      <c r="L114"/>
      <c r="M114"/>
    </row>
    <row r="115" spans="2:17">
      <c r="H115"/>
      <c r="L115"/>
      <c r="M115"/>
    </row>
    <row r="116" spans="2:17">
      <c r="C116" s="667"/>
      <c r="H116"/>
      <c r="K116" s="748"/>
      <c r="L116"/>
      <c r="M116"/>
    </row>
    <row r="117" spans="2:17">
      <c r="L117"/>
      <c r="M117"/>
    </row>
    <row r="118" spans="2:17">
      <c r="L118"/>
      <c r="M118"/>
    </row>
    <row r="119" spans="2:17">
      <c r="L119"/>
      <c r="M119"/>
    </row>
    <row r="120" spans="2:17">
      <c r="B120" s="663"/>
      <c r="C120" s="663"/>
      <c r="D120" s="663"/>
      <c r="E120" s="663"/>
      <c r="F120" s="663"/>
      <c r="G120" s="663"/>
      <c r="H120" s="663"/>
      <c r="I120" s="663"/>
      <c r="J120" s="663"/>
      <c r="L120"/>
      <c r="M120"/>
    </row>
    <row r="121" spans="2:17">
      <c r="B121" s="664"/>
      <c r="C121" s="665"/>
      <c r="D121" s="665"/>
      <c r="E121" s="665"/>
      <c r="F121" s="665"/>
      <c r="G121" s="745"/>
      <c r="I121"/>
      <c r="J121"/>
      <c r="K121"/>
      <c r="L121"/>
    </row>
    <row r="122" spans="2:17">
      <c r="B122" s="664"/>
      <c r="C122" s="665"/>
      <c r="D122" s="665"/>
      <c r="E122" s="665"/>
      <c r="F122" s="665"/>
      <c r="G122" s="746"/>
      <c r="H122" s="746"/>
      <c r="I122" s="746"/>
      <c r="J122" s="744"/>
      <c r="K122" s="742"/>
      <c r="L122"/>
      <c r="M122"/>
    </row>
    <row r="123" spans="2:17">
      <c r="B123" s="664"/>
      <c r="C123" s="665"/>
      <c r="D123" s="665"/>
      <c r="E123" s="665"/>
      <c r="F123" s="665"/>
      <c r="G123" s="746"/>
      <c r="H123" s="746"/>
      <c r="I123" s="746"/>
      <c r="J123" s="744"/>
      <c r="K123" s="742"/>
      <c r="L123"/>
      <c r="M123"/>
    </row>
    <row r="124" spans="2:17">
      <c r="G124" s="747"/>
      <c r="H124" s="747"/>
      <c r="I124" s="747"/>
      <c r="K124" s="742"/>
      <c r="L124"/>
      <c r="M124"/>
    </row>
    <row r="125" spans="2:17">
      <c r="G125" s="747"/>
      <c r="H125" s="747"/>
      <c r="I125" s="747"/>
      <c r="K125" s="742"/>
      <c r="L125"/>
      <c r="M125"/>
    </row>
    <row r="126" spans="2:17">
      <c r="G126" s="747"/>
      <c r="H126" s="747"/>
      <c r="I126" s="747"/>
      <c r="L126" s="425"/>
      <c r="M126"/>
    </row>
    <row r="127" spans="2:17">
      <c r="G127" s="747"/>
      <c r="H127" s="747"/>
      <c r="I127" s="747"/>
      <c r="K127" s="742"/>
      <c r="M127"/>
    </row>
    <row r="128" spans="2:17">
      <c r="G128" s="464"/>
      <c r="H128" s="742"/>
      <c r="I128" s="743"/>
      <c r="J128" s="743"/>
      <c r="K128" s="743"/>
      <c r="L128" s="743"/>
      <c r="M128"/>
    </row>
    <row r="129" spans="12:13">
      <c r="M129"/>
    </row>
    <row r="130" spans="12:13">
      <c r="L130" s="743"/>
      <c r="M130"/>
    </row>
    <row r="131" spans="12:13">
      <c r="M131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B04E4-2AF5-4008-8EB3-AEA26FAB5BCC}">
  <dimension ref="B1:U101"/>
  <sheetViews>
    <sheetView showGridLines="0" topLeftCell="A69" zoomScale="65" zoomScaleNormal="70" workbookViewId="0">
      <selection activeCell="U101" sqref="U101"/>
    </sheetView>
  </sheetViews>
  <sheetFormatPr defaultRowHeight="16"/>
  <cols>
    <col min="2" max="2" width="8.7265625" style="10"/>
    <col min="3" max="3" width="37.08984375" style="10" customWidth="1"/>
    <col min="4" max="7" width="8.7265625" style="10"/>
    <col min="8" max="11" width="11.36328125" style="10" bestFit="1" customWidth="1"/>
    <col min="12" max="13" width="12.1796875" style="10" bestFit="1" customWidth="1"/>
    <col min="14" max="16" width="12.90625" style="10" bestFit="1" customWidth="1"/>
    <col min="17" max="17" width="13.81640625" style="10" bestFit="1" customWidth="1"/>
    <col min="18" max="19" width="8.7265625" style="10"/>
  </cols>
  <sheetData>
    <row r="1" spans="2:20" ht="14.5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2:20">
      <c r="B2" s="16"/>
      <c r="C2" s="16"/>
      <c r="D2" s="16"/>
      <c r="E2" s="16"/>
      <c r="F2" s="16"/>
      <c r="G2" s="16"/>
      <c r="H2" s="17"/>
      <c r="I2" s="17"/>
      <c r="J2" s="18" t="s">
        <v>78</v>
      </c>
      <c r="K2" s="17"/>
      <c r="L2" s="19"/>
      <c r="M2" s="17"/>
      <c r="N2" s="18" t="s">
        <v>79</v>
      </c>
      <c r="O2" s="17"/>
      <c r="P2" s="17"/>
      <c r="Q2" s="17"/>
      <c r="R2" s="52"/>
    </row>
    <row r="3" spans="2:20">
      <c r="B3" s="20" t="str">
        <f>Company_Name</f>
        <v>ACM Research, Inc.</v>
      </c>
      <c r="C3" s="16"/>
      <c r="D3" s="16"/>
      <c r="E3" s="21" t="s">
        <v>80</v>
      </c>
      <c r="F3" s="22"/>
      <c r="G3" s="22"/>
      <c r="H3" s="23">
        <v>44561</v>
      </c>
      <c r="I3" s="23">
        <v>44926</v>
      </c>
      <c r="J3" s="23">
        <v>45291</v>
      </c>
      <c r="K3" s="23">
        <v>45657</v>
      </c>
      <c r="L3" s="24">
        <v>46022</v>
      </c>
      <c r="M3" s="23">
        <v>46387</v>
      </c>
      <c r="N3" s="25">
        <v>46752</v>
      </c>
      <c r="O3" s="23">
        <v>47118</v>
      </c>
      <c r="P3" s="23">
        <v>47483</v>
      </c>
      <c r="Q3" s="23"/>
      <c r="R3" s="62"/>
      <c r="S3" s="62"/>
    </row>
    <row r="4" spans="2:20">
      <c r="B4" s="5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2:20">
      <c r="B5" s="52"/>
      <c r="E5" s="75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2:20">
      <c r="B6" s="52"/>
      <c r="C6" s="76"/>
      <c r="D6" s="52"/>
      <c r="E6" s="77" t="s">
        <v>127</v>
      </c>
      <c r="F6" s="52"/>
      <c r="G6" s="78" t="s">
        <v>125</v>
      </c>
      <c r="I6" s="52"/>
      <c r="J6" s="52"/>
      <c r="K6" s="52"/>
      <c r="L6" s="52"/>
      <c r="M6" s="52"/>
      <c r="N6" s="52"/>
      <c r="O6" s="52"/>
    </row>
    <row r="7" spans="2:20">
      <c r="B7" s="52"/>
      <c r="C7" s="76"/>
      <c r="D7" s="52"/>
      <c r="E7" s="77" t="s">
        <v>530</v>
      </c>
      <c r="F7" s="52"/>
      <c r="G7" s="78" t="s">
        <v>517</v>
      </c>
      <c r="I7" s="749"/>
      <c r="J7" s="52"/>
      <c r="K7" s="52"/>
      <c r="L7" s="750"/>
      <c r="M7" s="52"/>
      <c r="N7" s="52"/>
      <c r="O7" s="52"/>
    </row>
    <row r="8" spans="2:20">
      <c r="B8" s="52"/>
      <c r="C8" s="10" t="s">
        <v>81</v>
      </c>
      <c r="E8" s="26" t="s">
        <v>82</v>
      </c>
      <c r="G8" s="27" t="str">
        <f>Company_Name</f>
        <v>ACM Research, Inc.</v>
      </c>
      <c r="H8" s="79"/>
      <c r="I8" s="52"/>
      <c r="N8" s="31"/>
    </row>
    <row r="9" spans="2:20">
      <c r="B9" s="52"/>
      <c r="C9" s="10" t="s">
        <v>84</v>
      </c>
      <c r="E9" s="26" t="s">
        <v>82</v>
      </c>
      <c r="G9" s="29" t="str">
        <f>Ticker</f>
        <v>ACMR</v>
      </c>
      <c r="H9" s="31"/>
      <c r="I9" s="80" t="s">
        <v>128</v>
      </c>
      <c r="J9" s="80"/>
      <c r="K9" s="80"/>
      <c r="L9" s="80"/>
      <c r="N9" s="80" t="s">
        <v>129</v>
      </c>
      <c r="O9" s="80"/>
      <c r="P9" s="80"/>
      <c r="Q9" s="80"/>
    </row>
    <row r="10" spans="2:20">
      <c r="B10" s="52"/>
      <c r="C10" s="10" t="s">
        <v>86</v>
      </c>
      <c r="E10" s="26" t="s">
        <v>87</v>
      </c>
      <c r="G10" s="30">
        <v>24.7</v>
      </c>
      <c r="H10" s="81"/>
      <c r="I10" s="31"/>
      <c r="J10" s="31"/>
      <c r="K10" s="31"/>
      <c r="L10" s="31"/>
      <c r="N10" s="31"/>
      <c r="O10" s="31"/>
      <c r="P10" s="31"/>
      <c r="Q10" s="31"/>
    </row>
    <row r="11" spans="2:20">
      <c r="B11" s="52"/>
      <c r="C11" s="31" t="s">
        <v>89</v>
      </c>
      <c r="E11" s="26" t="s">
        <v>90</v>
      </c>
      <c r="G11" s="82">
        <f>Diluted</f>
        <v>163.4</v>
      </c>
      <c r="H11" s="31"/>
      <c r="I11" s="31" t="s">
        <v>130</v>
      </c>
      <c r="J11" s="31"/>
      <c r="K11" s="31"/>
      <c r="L11" s="83">
        <f>PubComps!S36</f>
        <v>9.9894581160365057</v>
      </c>
      <c r="N11" s="31" t="s">
        <v>131</v>
      </c>
      <c r="O11" s="31"/>
      <c r="P11" s="31"/>
      <c r="Q11" s="84">
        <v>1.4999999999999999E-2</v>
      </c>
      <c r="T11" s="85"/>
    </row>
    <row r="12" spans="2:20">
      <c r="B12" s="52"/>
      <c r="C12" s="31"/>
      <c r="E12" s="31"/>
      <c r="G12" s="31"/>
      <c r="H12" s="31"/>
      <c r="I12" s="31" t="s">
        <v>132</v>
      </c>
      <c r="J12" s="31"/>
      <c r="K12" s="31"/>
      <c r="L12" s="83">
        <f>PubComps!S40</f>
        <v>3.1717730426377981</v>
      </c>
      <c r="N12" s="31"/>
      <c r="O12" s="31"/>
      <c r="P12" s="31"/>
      <c r="Q12" s="31"/>
    </row>
    <row r="13" spans="2:20">
      <c r="B13" s="52"/>
      <c r="C13" s="31" t="s">
        <v>92</v>
      </c>
      <c r="E13" s="26" t="s">
        <v>93</v>
      </c>
      <c r="G13" s="32">
        <f>Tax_Rate</f>
        <v>0.20887976144737941</v>
      </c>
      <c r="H13" s="31"/>
      <c r="I13" s="31"/>
      <c r="J13" s="31"/>
      <c r="K13" s="31"/>
      <c r="L13" s="86"/>
      <c r="N13" s="31"/>
      <c r="O13" s="31"/>
      <c r="P13" s="31"/>
      <c r="Q13" s="31"/>
    </row>
    <row r="14" spans="2:20">
      <c r="B14" s="52"/>
      <c r="C14" s="31" t="s">
        <v>94</v>
      </c>
      <c r="E14" s="26" t="s">
        <v>93</v>
      </c>
      <c r="G14" s="87">
        <f>WACC!L40</f>
        <v>9.4345893405789027E-2</v>
      </c>
      <c r="H14" s="31"/>
      <c r="I14" s="31" t="s">
        <v>133</v>
      </c>
      <c r="J14" s="31"/>
      <c r="K14" s="88"/>
      <c r="L14" s="89">
        <f>INDEX(L15:L17,MATCH(Scenario,I15:I17,0),1)</f>
        <v>10</v>
      </c>
      <c r="N14" s="31" t="s">
        <v>134</v>
      </c>
      <c r="O14" s="31"/>
      <c r="P14" s="31"/>
      <c r="Q14" s="32">
        <f>INDEX(Q15:Q17,MATCH(Scenario,N15:N17,0),1)</f>
        <v>0.03</v>
      </c>
    </row>
    <row r="15" spans="2:20">
      <c r="B15" s="52"/>
      <c r="C15" s="31"/>
      <c r="E15" s="26"/>
      <c r="G15" s="90"/>
      <c r="H15" s="31"/>
      <c r="I15" s="10" t="s">
        <v>124</v>
      </c>
      <c r="J15" s="31"/>
      <c r="K15" s="88"/>
      <c r="L15" s="91">
        <v>11</v>
      </c>
      <c r="N15" s="10" t="s">
        <v>124</v>
      </c>
      <c r="O15" s="31"/>
      <c r="P15" s="31"/>
      <c r="Q15" s="84">
        <v>0.04</v>
      </c>
    </row>
    <row r="16" spans="2:20">
      <c r="B16" s="52"/>
      <c r="C16" s="31"/>
      <c r="E16" s="26"/>
      <c r="G16" s="90"/>
      <c r="H16" s="31"/>
      <c r="I16" s="10" t="s">
        <v>125</v>
      </c>
      <c r="J16" s="31"/>
      <c r="K16" s="88"/>
      <c r="L16" s="91">
        <v>10</v>
      </c>
      <c r="N16" s="10" t="s">
        <v>125</v>
      </c>
      <c r="O16" s="31"/>
      <c r="P16" s="31"/>
      <c r="Q16" s="84">
        <v>0.03</v>
      </c>
    </row>
    <row r="17" spans="2:17">
      <c r="B17" s="52"/>
      <c r="C17" s="31"/>
      <c r="E17" s="26"/>
      <c r="G17" s="90"/>
      <c r="H17" s="31"/>
      <c r="I17" s="10" t="s">
        <v>126</v>
      </c>
      <c r="J17" s="31"/>
      <c r="K17" s="88"/>
      <c r="L17" s="91">
        <v>9</v>
      </c>
      <c r="N17" s="10" t="s">
        <v>126</v>
      </c>
      <c r="O17" s="31"/>
      <c r="P17" s="31"/>
      <c r="Q17" s="84">
        <v>0.02</v>
      </c>
    </row>
    <row r="18" spans="2:17">
      <c r="B18" s="52"/>
      <c r="C18" s="31"/>
      <c r="E18" s="26"/>
      <c r="G18" s="90"/>
      <c r="H18" s="31"/>
      <c r="I18" s="31"/>
      <c r="J18" s="31"/>
      <c r="K18" s="88"/>
      <c r="L18" s="92"/>
      <c r="N18" s="31"/>
      <c r="O18" s="31"/>
      <c r="P18" s="31"/>
      <c r="Q18" s="93"/>
    </row>
    <row r="19" spans="2:17">
      <c r="B19" s="52"/>
      <c r="C19" s="31"/>
      <c r="E19" s="26"/>
      <c r="G19" s="90"/>
      <c r="H19" s="31"/>
      <c r="I19" s="31"/>
      <c r="J19" s="31"/>
      <c r="K19" s="88"/>
      <c r="L19" s="92"/>
      <c r="N19" s="31"/>
      <c r="O19" s="31"/>
      <c r="P19" s="31"/>
      <c r="Q19" s="93"/>
    </row>
    <row r="20" spans="2:17">
      <c r="B20" s="52"/>
      <c r="C20" s="31"/>
      <c r="E20" s="26"/>
      <c r="G20" s="94"/>
      <c r="H20" s="31"/>
      <c r="I20" s="31" t="s">
        <v>135</v>
      </c>
      <c r="J20" s="31"/>
      <c r="K20" s="31"/>
      <c r="L20" s="95">
        <f>L14*(P69/Units)</f>
        <v>6988.5223077888641</v>
      </c>
      <c r="N20" s="31" t="s">
        <v>135</v>
      </c>
      <c r="O20" s="31"/>
      <c r="P20" s="31"/>
      <c r="Q20" s="96">
        <f>(P67*(1+Q14))/(Discount_Rate-Q14)/(1+Discount_Rate)^5/Units</f>
        <v>10462.3937880587</v>
      </c>
    </row>
    <row r="21" spans="2:17">
      <c r="B21" s="52"/>
      <c r="C21" s="97" t="s">
        <v>136</v>
      </c>
      <c r="D21" s="98"/>
      <c r="E21" s="99"/>
      <c r="F21" s="98"/>
      <c r="G21" s="100">
        <f>$G$10*$G$11</f>
        <v>4035.98</v>
      </c>
      <c r="H21" s="31"/>
      <c r="I21" s="31" t="s">
        <v>137</v>
      </c>
      <c r="J21" s="31"/>
      <c r="K21" s="31"/>
      <c r="L21" s="101">
        <f>(P69*(1+Discount_Rate)^0.5*Discount_Rate - L20) / (P69*(1+Discount_Rate)^0.5 + L20)</f>
        <v>8.3983847675487985E-2</v>
      </c>
      <c r="N21" s="31" t="s">
        <v>138</v>
      </c>
      <c r="O21" s="31"/>
      <c r="P21" s="31"/>
      <c r="Q21" s="102">
        <f>Q20/(P69/Units)</f>
        <v>14.970824055892514</v>
      </c>
    </row>
    <row r="22" spans="2:17">
      <c r="B22" s="52"/>
      <c r="C22" s="103" t="s">
        <v>139</v>
      </c>
      <c r="E22" s="26"/>
      <c r="G22" s="104">
        <f>-Model!K109/Units</f>
        <v>-411.31</v>
      </c>
      <c r="H22" s="31"/>
      <c r="I22" s="31"/>
      <c r="J22" s="31"/>
      <c r="K22" s="31"/>
      <c r="L22" s="31"/>
      <c r="N22" s="31"/>
      <c r="O22" s="31"/>
      <c r="P22" s="31"/>
      <c r="Q22" s="31"/>
    </row>
    <row r="23" spans="2:17">
      <c r="B23" s="52"/>
      <c r="C23" s="103" t="s">
        <v>140</v>
      </c>
      <c r="E23" s="26"/>
      <c r="G23" s="104">
        <v>0</v>
      </c>
      <c r="H23" s="31"/>
      <c r="I23" s="103" t="s">
        <v>141</v>
      </c>
      <c r="J23" s="31"/>
      <c r="K23" s="88"/>
      <c r="L23" s="105">
        <f>L20/((1+Discount_Rate)^5)</f>
        <v>4452.5857605708361</v>
      </c>
      <c r="N23" s="103" t="s">
        <v>141</v>
      </c>
      <c r="O23" s="31"/>
      <c r="P23" s="88"/>
      <c r="Q23" s="106">
        <f>Q20/((1+Discount_Rate)^6)</f>
        <v>6091.2073976743022</v>
      </c>
    </row>
    <row r="24" spans="2:17">
      <c r="B24" s="52"/>
      <c r="C24" s="103" t="s">
        <v>142</v>
      </c>
      <c r="E24" s="26"/>
      <c r="G24" s="104">
        <f>Model!K131/Units</f>
        <v>105.52500000000001</v>
      </c>
      <c r="H24" s="31"/>
      <c r="I24" s="107" t="s">
        <v>143</v>
      </c>
      <c r="J24" s="108"/>
      <c r="K24" s="108"/>
      <c r="L24" s="109">
        <f>NPV(Discount_Rate,L67:P67)/Units</f>
        <v>2442.0092022424706</v>
      </c>
      <c r="N24" s="107" t="s">
        <v>143</v>
      </c>
      <c r="O24" s="108"/>
      <c r="P24" s="108"/>
      <c r="Q24" s="109">
        <f>NPV(Discount_Rate,L67:P67)/Units</f>
        <v>2442.0092022424706</v>
      </c>
    </row>
    <row r="25" spans="2:17">
      <c r="B25" s="52"/>
      <c r="C25" s="103" t="s">
        <v>144</v>
      </c>
      <c r="E25" s="26"/>
      <c r="G25" s="104">
        <v>0</v>
      </c>
      <c r="H25" s="31"/>
      <c r="I25" s="110" t="s">
        <v>145</v>
      </c>
      <c r="J25" s="111"/>
      <c r="K25" s="111"/>
      <c r="L25" s="112">
        <f>SUM(L23:L24)</f>
        <v>6894.5949628133067</v>
      </c>
      <c r="N25" s="110" t="s">
        <v>145</v>
      </c>
      <c r="O25" s="111"/>
      <c r="P25" s="111"/>
      <c r="Q25" s="112">
        <f>SUM(Q23:Q24)</f>
        <v>8533.2165999167737</v>
      </c>
    </row>
    <row r="26" spans="2:17">
      <c r="B26" s="52"/>
      <c r="C26" s="103" t="s">
        <v>146</v>
      </c>
      <c r="E26" s="26"/>
      <c r="G26" s="104">
        <v>0</v>
      </c>
      <c r="H26" s="31"/>
      <c r="I26" s="103"/>
      <c r="J26" s="31"/>
      <c r="K26" s="31"/>
      <c r="L26" s="113"/>
      <c r="N26" s="103"/>
      <c r="O26" s="31"/>
      <c r="P26" s="31"/>
      <c r="Q26" s="113"/>
    </row>
    <row r="27" spans="2:17">
      <c r="B27" s="52"/>
      <c r="C27" s="103" t="s">
        <v>147</v>
      </c>
      <c r="E27" s="26"/>
      <c r="G27" s="104">
        <v>0</v>
      </c>
      <c r="H27" s="31"/>
      <c r="I27" s="114" t="s">
        <v>148</v>
      </c>
      <c r="J27" s="31"/>
      <c r="K27" s="31"/>
      <c r="L27" s="115">
        <f>L24/L23</f>
        <v>0.54844742663179991</v>
      </c>
      <c r="N27" s="114" t="s">
        <v>148</v>
      </c>
      <c r="O27" s="31"/>
      <c r="P27" s="31"/>
      <c r="Q27" s="115">
        <f>Q24/Q23</f>
        <v>0.40090724922202775</v>
      </c>
    </row>
    <row r="28" spans="2:17">
      <c r="B28" s="52"/>
      <c r="C28" s="103" t="s">
        <v>149</v>
      </c>
      <c r="E28" s="26"/>
      <c r="G28" s="104">
        <v>0</v>
      </c>
      <c r="H28" s="31"/>
      <c r="I28" s="31"/>
      <c r="J28" s="31"/>
      <c r="K28" s="31"/>
      <c r="L28" s="31"/>
      <c r="N28" s="31"/>
      <c r="O28" s="31"/>
      <c r="P28" s="31"/>
      <c r="Q28" s="31"/>
    </row>
    <row r="29" spans="2:17">
      <c r="B29" s="52"/>
      <c r="C29" s="116" t="s">
        <v>150</v>
      </c>
      <c r="D29" s="116"/>
      <c r="E29" s="116"/>
      <c r="F29" s="116"/>
      <c r="G29" s="117">
        <f>SUM($G$21:$G$28)</f>
        <v>3730.1950000000002</v>
      </c>
      <c r="H29" s="31"/>
      <c r="I29" s="31" t="s">
        <v>151</v>
      </c>
      <c r="J29" s="31"/>
      <c r="K29" s="31"/>
      <c r="L29" s="118">
        <f>-G22</f>
        <v>411.31</v>
      </c>
      <c r="N29" s="31" t="s">
        <v>151</v>
      </c>
      <c r="O29" s="31"/>
      <c r="P29" s="31"/>
      <c r="Q29" s="118">
        <f>L29</f>
        <v>411.31</v>
      </c>
    </row>
    <row r="30" spans="2:17">
      <c r="B30" s="52"/>
      <c r="C30" s="31"/>
      <c r="E30" s="26"/>
      <c r="G30" s="94"/>
      <c r="H30" s="31"/>
      <c r="I30" s="119" t="s">
        <v>152</v>
      </c>
      <c r="J30" s="31"/>
      <c r="K30" s="31"/>
      <c r="L30" s="118">
        <f t="shared" ref="L30:L35" si="0">-G23</f>
        <v>0</v>
      </c>
      <c r="N30" s="119" t="s">
        <v>152</v>
      </c>
      <c r="O30" s="31"/>
      <c r="P30" s="31"/>
      <c r="Q30" s="118">
        <f t="shared" ref="Q30:Q35" si="1">L30</f>
        <v>0</v>
      </c>
    </row>
    <row r="31" spans="2:17">
      <c r="B31" s="52"/>
      <c r="C31" s="31"/>
      <c r="E31" s="26"/>
      <c r="G31" s="94"/>
      <c r="H31" s="31"/>
      <c r="I31" s="119" t="s">
        <v>153</v>
      </c>
      <c r="J31" s="31"/>
      <c r="K31" s="31"/>
      <c r="L31" s="118">
        <f t="shared" si="0"/>
        <v>-105.52500000000001</v>
      </c>
      <c r="N31" s="119" t="s">
        <v>153</v>
      </c>
      <c r="O31" s="31"/>
      <c r="P31" s="31"/>
      <c r="Q31" s="118">
        <f t="shared" si="1"/>
        <v>-105.52500000000001</v>
      </c>
    </row>
    <row r="32" spans="2:17">
      <c r="B32" s="52"/>
      <c r="C32" s="31"/>
      <c r="E32" s="26"/>
      <c r="G32" s="94"/>
      <c r="H32" s="31"/>
      <c r="I32" s="119" t="s">
        <v>154</v>
      </c>
      <c r="J32" s="31"/>
      <c r="K32" s="31"/>
      <c r="L32" s="118">
        <f t="shared" si="0"/>
        <v>0</v>
      </c>
      <c r="N32" s="119" t="s">
        <v>154</v>
      </c>
      <c r="O32" s="31"/>
      <c r="P32" s="31"/>
      <c r="Q32" s="118">
        <f t="shared" si="1"/>
        <v>0</v>
      </c>
    </row>
    <row r="33" spans="2:21">
      <c r="B33" s="52"/>
      <c r="C33" s="31"/>
      <c r="E33" s="26"/>
      <c r="G33" s="94"/>
      <c r="H33" s="31"/>
      <c r="I33" s="119" t="s">
        <v>155</v>
      </c>
      <c r="J33" s="31"/>
      <c r="K33" s="31"/>
      <c r="L33" s="118">
        <f t="shared" si="0"/>
        <v>0</v>
      </c>
      <c r="N33" s="119" t="s">
        <v>155</v>
      </c>
      <c r="O33" s="31"/>
      <c r="P33" s="31"/>
      <c r="Q33" s="118">
        <f t="shared" si="1"/>
        <v>0</v>
      </c>
    </row>
    <row r="34" spans="2:21">
      <c r="B34" s="52"/>
      <c r="C34" s="31"/>
      <c r="E34" s="26"/>
      <c r="G34" s="94"/>
      <c r="H34" s="31"/>
      <c r="I34" s="119" t="s">
        <v>156</v>
      </c>
      <c r="J34" s="31"/>
      <c r="K34" s="31"/>
      <c r="L34" s="118">
        <f t="shared" si="0"/>
        <v>0</v>
      </c>
      <c r="N34" s="119" t="s">
        <v>156</v>
      </c>
      <c r="O34" s="31"/>
      <c r="P34" s="31"/>
      <c r="Q34" s="118">
        <f t="shared" si="1"/>
        <v>0</v>
      </c>
    </row>
    <row r="35" spans="2:21">
      <c r="B35" s="52"/>
      <c r="C35" s="31"/>
      <c r="E35" s="26"/>
      <c r="G35" s="94"/>
      <c r="H35" s="31"/>
      <c r="I35" s="119" t="s">
        <v>157</v>
      </c>
      <c r="J35" s="31"/>
      <c r="K35" s="31"/>
      <c r="L35" s="118">
        <f t="shared" si="0"/>
        <v>0</v>
      </c>
      <c r="N35" s="119" t="s">
        <v>157</v>
      </c>
      <c r="O35" s="31"/>
      <c r="P35" s="31"/>
      <c r="Q35" s="118">
        <f t="shared" si="1"/>
        <v>0</v>
      </c>
    </row>
    <row r="36" spans="2:21">
      <c r="B36" s="52"/>
      <c r="C36" s="31"/>
      <c r="E36" s="26"/>
      <c r="G36" s="94"/>
      <c r="H36" s="31"/>
      <c r="I36" s="103"/>
      <c r="J36" s="31"/>
      <c r="K36" s="31"/>
      <c r="L36" s="120"/>
      <c r="N36" s="103"/>
      <c r="O36" s="31"/>
      <c r="P36" s="31"/>
      <c r="Q36" s="113"/>
    </row>
    <row r="37" spans="2:21">
      <c r="B37" s="52"/>
      <c r="C37" s="31"/>
      <c r="E37" s="26"/>
      <c r="G37" s="94"/>
      <c r="H37" s="31"/>
      <c r="I37" s="121" t="s">
        <v>158</v>
      </c>
      <c r="J37" s="122"/>
      <c r="K37" s="122"/>
      <c r="L37" s="123">
        <f>L25+SUM(L29:L35)</f>
        <v>7200.3799628133065</v>
      </c>
      <c r="N37" s="121" t="s">
        <v>158</v>
      </c>
      <c r="O37" s="122"/>
      <c r="P37" s="122"/>
      <c r="Q37" s="123">
        <f>SUM(Q25:Q36)</f>
        <v>8839.4025071659962</v>
      </c>
    </row>
    <row r="38" spans="2:21">
      <c r="B38" s="52"/>
      <c r="C38" s="31"/>
      <c r="E38" s="26"/>
      <c r="G38" s="94"/>
      <c r="H38" s="31"/>
      <c r="I38" s="124"/>
      <c r="J38" s="31"/>
      <c r="K38" s="31"/>
      <c r="L38" s="125"/>
      <c r="N38" s="124"/>
      <c r="O38" s="31"/>
      <c r="P38" s="31"/>
      <c r="Q38" s="125"/>
    </row>
    <row r="39" spans="2:21">
      <c r="B39" s="52"/>
      <c r="C39" s="31"/>
      <c r="E39" s="26"/>
      <c r="G39" s="94"/>
      <c r="H39" s="31"/>
      <c r="I39" s="31" t="s">
        <v>89</v>
      </c>
      <c r="J39" s="31"/>
      <c r="K39" s="31"/>
      <c r="L39" s="126">
        <f>_xlfn.SINGLE(Diluted)</f>
        <v>163.4</v>
      </c>
      <c r="N39" s="31" t="s">
        <v>89</v>
      </c>
      <c r="O39" s="31"/>
      <c r="P39" s="31"/>
      <c r="Q39" s="126">
        <f>_xlfn.SINGLE(Diluted)</f>
        <v>163.4</v>
      </c>
    </row>
    <row r="40" spans="2:21">
      <c r="B40" s="52"/>
      <c r="C40" s="31"/>
      <c r="E40" s="26"/>
      <c r="G40" s="94"/>
      <c r="H40" s="31"/>
      <c r="I40" s="31"/>
      <c r="J40" s="31"/>
      <c r="K40" s="31"/>
      <c r="L40" s="5"/>
      <c r="N40" s="31"/>
      <c r="O40" s="31"/>
      <c r="P40" s="31"/>
      <c r="Q40" s="5"/>
    </row>
    <row r="41" spans="2:21">
      <c r="B41" s="52"/>
      <c r="C41" s="31"/>
      <c r="E41" s="26"/>
      <c r="G41" s="94"/>
      <c r="H41" s="31"/>
      <c r="I41" s="127" t="s">
        <v>159</v>
      </c>
      <c r="J41" s="128"/>
      <c r="K41" s="128"/>
      <c r="L41" s="129">
        <f>L37/L39</f>
        <v>44.065972844634679</v>
      </c>
      <c r="N41" s="127" t="s">
        <v>159</v>
      </c>
      <c r="O41" s="128"/>
      <c r="P41" s="128"/>
      <c r="Q41" s="129">
        <f>Q37/Q39</f>
        <v>54.096710570171332</v>
      </c>
    </row>
    <row r="42" spans="2:21">
      <c r="B42" s="52"/>
      <c r="C42" s="31"/>
      <c r="E42" s="26"/>
      <c r="G42" s="94"/>
      <c r="H42" s="31"/>
      <c r="I42" s="130" t="s">
        <v>160</v>
      </c>
      <c r="J42" s="131"/>
      <c r="K42" s="131"/>
      <c r="L42" s="132">
        <f>L41/G10-1</f>
        <v>0.78404748358844856</v>
      </c>
      <c r="N42" s="130" t="s">
        <v>160</v>
      </c>
      <c r="O42" s="131"/>
      <c r="P42" s="131"/>
      <c r="Q42" s="132">
        <f>Q41/G10-1</f>
        <v>1.1901502255130096</v>
      </c>
    </row>
    <row r="46" spans="2:21">
      <c r="B46" s="16"/>
      <c r="C46" s="16"/>
      <c r="D46" s="16"/>
      <c r="E46" s="16"/>
      <c r="F46" s="16"/>
      <c r="G46" s="16"/>
      <c r="H46" s="17"/>
      <c r="I46" s="17"/>
      <c r="J46" s="18" t="s">
        <v>78</v>
      </c>
      <c r="K46" s="17"/>
      <c r="L46" s="19"/>
      <c r="M46" s="17"/>
      <c r="N46" s="18" t="s">
        <v>79</v>
      </c>
      <c r="O46" s="17"/>
      <c r="P46" s="17"/>
      <c r="R46" s="52"/>
      <c r="U46" s="583"/>
    </row>
    <row r="47" spans="2:21">
      <c r="B47" s="20" t="str">
        <f>"Unlevered Free Cash Flow Calculation - "&amp;Company_Name</f>
        <v>Unlevered Free Cash Flow Calculation - ACM Research, Inc.</v>
      </c>
      <c r="C47" s="16"/>
      <c r="D47" s="16"/>
      <c r="E47" s="21" t="s">
        <v>80</v>
      </c>
      <c r="F47" s="22"/>
      <c r="G47" s="22"/>
      <c r="H47" s="23">
        <v>44561</v>
      </c>
      <c r="I47" s="23">
        <v>44926</v>
      </c>
      <c r="J47" s="23">
        <v>45291</v>
      </c>
      <c r="K47" s="23">
        <v>45657</v>
      </c>
      <c r="L47" s="24">
        <v>46022</v>
      </c>
      <c r="M47" s="23">
        <v>46387</v>
      </c>
      <c r="N47" s="25">
        <v>46752</v>
      </c>
      <c r="O47" s="23">
        <v>47118</v>
      </c>
      <c r="P47" s="23">
        <v>47483</v>
      </c>
      <c r="Q47" s="62"/>
      <c r="R47" s="62"/>
      <c r="S47" s="62"/>
    </row>
    <row r="49" spans="3:19">
      <c r="C49" s="133" t="s">
        <v>0</v>
      </c>
      <c r="E49" s="74" t="s">
        <v>111</v>
      </c>
      <c r="H49" s="134">
        <f>Model!H66</f>
        <v>259751</v>
      </c>
      <c r="I49" s="134">
        <f>Model!I66</f>
        <v>388832</v>
      </c>
      <c r="J49" s="134">
        <f>Model!J66</f>
        <v>557723</v>
      </c>
      <c r="K49" s="134">
        <f>Model!K66</f>
        <v>782118</v>
      </c>
      <c r="L49" s="134">
        <f>Model!L66</f>
        <v>970833.99891258101</v>
      </c>
      <c r="M49" s="134">
        <f>Model!M66</f>
        <v>1249209.57438961</v>
      </c>
      <c r="N49" s="134">
        <f>Model!N66</f>
        <v>1634737.9275340459</v>
      </c>
      <c r="O49" s="134">
        <f>Model!O66</f>
        <v>2164697.4993627365</v>
      </c>
      <c r="P49" s="134">
        <f>Model!P66</f>
        <v>2884492.612541555</v>
      </c>
      <c r="Q49" s="134"/>
      <c r="R49" s="134"/>
      <c r="S49" s="134"/>
    </row>
    <row r="50" spans="3:19">
      <c r="C50" s="135" t="s">
        <v>161</v>
      </c>
      <c r="E50" s="64"/>
      <c r="I50" s="136">
        <f>I49/H49-1</f>
        <v>0.49694130147718396</v>
      </c>
      <c r="J50" s="136">
        <f t="shared" ref="J50:P50" si="2">J49/I49-1</f>
        <v>0.43435468274216116</v>
      </c>
      <c r="K50" s="136">
        <f t="shared" si="2"/>
        <v>0.40234130563021431</v>
      </c>
      <c r="L50" s="136">
        <f t="shared" si="2"/>
        <v>0.24128839754689313</v>
      </c>
      <c r="M50" s="136">
        <f t="shared" si="2"/>
        <v>0.28673859361006504</v>
      </c>
      <c r="N50" s="136">
        <f t="shared" si="2"/>
        <v>0.30861783406744481</v>
      </c>
      <c r="O50" s="136">
        <f t="shared" si="2"/>
        <v>0.32418625817785918</v>
      </c>
      <c r="P50" s="136">
        <f t="shared" si="2"/>
        <v>0.33251533454014637</v>
      </c>
      <c r="Q50" s="137"/>
      <c r="R50" s="137"/>
      <c r="S50" s="137"/>
    </row>
    <row r="51" spans="3:19">
      <c r="E51" s="64"/>
    </row>
    <row r="52" spans="3:19">
      <c r="C52" s="138" t="s">
        <v>162</v>
      </c>
      <c r="E52" s="64" t="s">
        <v>111</v>
      </c>
      <c r="H52" s="139">
        <f>SUM(Model!H67,Model!H73)</f>
        <v>-221049</v>
      </c>
      <c r="I52" s="139">
        <f>SUM(Model!I67,Model!I73)</f>
        <v>-329797</v>
      </c>
      <c r="J52" s="139">
        <f>SUM(Model!J67,Model!J73)</f>
        <v>-461884</v>
      </c>
      <c r="K52" s="139">
        <f>SUM(Model!K67,Model!K73)</f>
        <v>-631120</v>
      </c>
      <c r="L52" s="139">
        <f>SUM(Model!L67,Model!L73)</f>
        <v>-738940.88209539186</v>
      </c>
      <c r="M52" s="139">
        <f>SUM(Model!M67,Model!M73)</f>
        <v>-918956.26647898857</v>
      </c>
      <c r="N52" s="139">
        <f>SUM(Model!N67,Model!N73)</f>
        <v>-1233309.8302805105</v>
      </c>
      <c r="O52" s="139">
        <f>SUM(Model!O67,Model!O73)</f>
        <v>-1671568.2108030664</v>
      </c>
      <c r="P52" s="139">
        <f>SUM(Model!P67,Model!P73)</f>
        <v>-2288415.2262960137</v>
      </c>
      <c r="Q52" s="139"/>
      <c r="R52" s="139"/>
      <c r="S52" s="139"/>
    </row>
    <row r="53" spans="3:19">
      <c r="E53" s="64"/>
    </row>
    <row r="54" spans="3:19">
      <c r="C54" s="133" t="s">
        <v>163</v>
      </c>
      <c r="E54" s="74" t="s">
        <v>111</v>
      </c>
      <c r="H54" s="134">
        <f>Model!H83</f>
        <v>43055</v>
      </c>
      <c r="I54" s="134">
        <f>Model!I83</f>
        <v>67362</v>
      </c>
      <c r="J54" s="134">
        <f>Model!J83</f>
        <v>116216</v>
      </c>
      <c r="K54" s="134">
        <f>Model!K83</f>
        <v>166300</v>
      </c>
      <c r="L54" s="134">
        <f>Model!L83</f>
        <v>254637.51576830196</v>
      </c>
      <c r="M54" s="134">
        <f>Model!M83</f>
        <v>361668.42465547356</v>
      </c>
      <c r="N54" s="134">
        <f>Model!N83</f>
        <v>442536.38451604574</v>
      </c>
      <c r="O54" s="134">
        <f>Model!O83</f>
        <v>545641.4598838751</v>
      </c>
      <c r="P54" s="134">
        <f>Model!P83</f>
        <v>664690.57199276425</v>
      </c>
      <c r="Q54" s="134"/>
      <c r="R54" s="134"/>
      <c r="S54" s="134"/>
    </row>
    <row r="55" spans="3:19">
      <c r="E55" s="64"/>
    </row>
    <row r="56" spans="3:19">
      <c r="C56" s="31" t="s">
        <v>164</v>
      </c>
      <c r="E56" s="64" t="s">
        <v>111</v>
      </c>
      <c r="H56" s="5">
        <f>Model!H86</f>
        <v>-134</v>
      </c>
      <c r="I56" s="5">
        <f>Model!I86</f>
        <v>-16798</v>
      </c>
      <c r="J56" s="5">
        <f>Model!J86</f>
        <v>-19364</v>
      </c>
      <c r="K56" s="5">
        <f>Model!K86</f>
        <v>-35031</v>
      </c>
      <c r="L56" s="5">
        <f>Model!L86</f>
        <v>-53188.623549236225</v>
      </c>
      <c r="M56" s="5">
        <f>Model!M86</f>
        <v>-75545.214265084825</v>
      </c>
      <c r="N56" s="5">
        <f>Model!N86</f>
        <v>-92436.894429497406</v>
      </c>
      <c r="O56" s="5">
        <f>Model!O86</f>
        <v>-113973.45797634368</v>
      </c>
      <c r="P56" s="5">
        <f>Model!P86</f>
        <v>-138840.40811417077</v>
      </c>
      <c r="Q56" s="5"/>
      <c r="R56" s="5"/>
      <c r="S56" s="5"/>
    </row>
    <row r="57" spans="3:19">
      <c r="E57" s="64"/>
    </row>
    <row r="58" spans="3:19">
      <c r="C58" s="140" t="s">
        <v>165</v>
      </c>
      <c r="E58" s="74" t="s">
        <v>111</v>
      </c>
      <c r="H58" s="134">
        <f>Model!H87</f>
        <v>42921</v>
      </c>
      <c r="I58" s="134">
        <f>Model!I87</f>
        <v>50564</v>
      </c>
      <c r="J58" s="134">
        <f>Model!J87</f>
        <v>96852</v>
      </c>
      <c r="K58" s="134">
        <f>Model!K87</f>
        <v>131269</v>
      </c>
      <c r="L58" s="134">
        <f>Model!L87</f>
        <v>201448.89221906575</v>
      </c>
      <c r="M58" s="134">
        <f>Model!M87</f>
        <v>286123.21039038873</v>
      </c>
      <c r="N58" s="134">
        <f>Model!N87</f>
        <v>350099.49008654832</v>
      </c>
      <c r="O58" s="134">
        <f>Model!O87</f>
        <v>431668.0019075314</v>
      </c>
      <c r="P58" s="134">
        <f>Model!P87</f>
        <v>525850.16387859348</v>
      </c>
      <c r="Q58" s="134"/>
      <c r="R58" s="134"/>
      <c r="S58" s="134"/>
    </row>
    <row r="59" spans="3:19">
      <c r="E59" s="64"/>
    </row>
    <row r="60" spans="3:19">
      <c r="C60" s="141" t="s">
        <v>166</v>
      </c>
      <c r="E60" s="64" t="s">
        <v>111</v>
      </c>
      <c r="H60" s="5">
        <f>Model!H159</f>
        <v>2353</v>
      </c>
      <c r="I60" s="5">
        <f>Model!I159</f>
        <v>5366</v>
      </c>
      <c r="J60" s="5">
        <f>Model!J159</f>
        <v>8092</v>
      </c>
      <c r="K60" s="5">
        <f>Model!K159</f>
        <v>9967</v>
      </c>
      <c r="L60" s="5">
        <f>Model!L159</f>
        <v>13240.35941047696</v>
      </c>
      <c r="M60" s="5">
        <f>Model!M159</f>
        <v>18300.124102264701</v>
      </c>
      <c r="N60" s="5">
        <f>Model!N159</f>
        <v>22827.99134143725</v>
      </c>
      <c r="O60" s="5">
        <f>Model!O159</f>
        <v>27690.314410323783</v>
      </c>
      <c r="P60" s="5">
        <f>Model!P159</f>
        <v>34161.658786122163</v>
      </c>
      <c r="Q60" s="5"/>
      <c r="R60" s="5"/>
      <c r="S60" s="5"/>
    </row>
    <row r="61" spans="3:19">
      <c r="E61" s="64"/>
    </row>
    <row r="62" spans="3:19">
      <c r="C62" s="142" t="s">
        <v>167</v>
      </c>
      <c r="E62" s="64" t="s">
        <v>111</v>
      </c>
      <c r="H62" s="5">
        <f>Model!H114-Model!H129</f>
        <v>749308</v>
      </c>
      <c r="I62" s="5">
        <f>Model!I114-Model!I129</f>
        <v>568974</v>
      </c>
      <c r="J62" s="5">
        <f>Model!J114-Model!J129</f>
        <v>678215</v>
      </c>
      <c r="K62" s="5">
        <f>Model!K114-Model!K129</f>
        <v>844278</v>
      </c>
      <c r="L62" s="5">
        <f>Model!L114-Model!L129</f>
        <v>1032200.1404288427</v>
      </c>
      <c r="M62" s="5">
        <f>Model!M114-Model!M129</f>
        <v>1275223.0668878581</v>
      </c>
      <c r="N62" s="5">
        <f>Model!N114-Model!N129</f>
        <v>1663822.8389626364</v>
      </c>
      <c r="O62" s="5">
        <f>Model!O114-Model!O129</f>
        <v>2102245.5833412604</v>
      </c>
      <c r="P62" s="5">
        <f>Model!P114-Model!P129</f>
        <v>2682513.6694282573</v>
      </c>
      <c r="Q62" s="5"/>
    </row>
    <row r="63" spans="3:19">
      <c r="C63" s="142" t="s">
        <v>168</v>
      </c>
      <c r="E63" s="64" t="s">
        <v>111</v>
      </c>
      <c r="I63" s="5">
        <f>I62-H62</f>
        <v>-180334</v>
      </c>
      <c r="J63" s="5">
        <f t="shared" ref="J63:P63" si="3">J62-I62</f>
        <v>109241</v>
      </c>
      <c r="K63" s="5">
        <f t="shared" si="3"/>
        <v>166063</v>
      </c>
      <c r="L63" s="5">
        <f t="shared" si="3"/>
        <v>187922.14042884274</v>
      </c>
      <c r="M63" s="5">
        <f t="shared" si="3"/>
        <v>243022.92645901535</v>
      </c>
      <c r="N63" s="5">
        <f t="shared" si="3"/>
        <v>388599.77207477833</v>
      </c>
      <c r="O63" s="5">
        <f t="shared" si="3"/>
        <v>438422.74437862402</v>
      </c>
      <c r="P63" s="5">
        <f t="shared" si="3"/>
        <v>580268.08608699683</v>
      </c>
      <c r="Q63" s="5"/>
      <c r="R63" s="5"/>
      <c r="S63" s="5"/>
    </row>
    <row r="64" spans="3:19">
      <c r="C64" s="142"/>
      <c r="E64" s="64"/>
    </row>
    <row r="65" spans="2:19">
      <c r="C65" s="142" t="s">
        <v>169</v>
      </c>
      <c r="E65" s="64" t="s">
        <v>111</v>
      </c>
      <c r="H65" s="5">
        <f>Model!H182</f>
        <v>-9712</v>
      </c>
      <c r="I65" s="5">
        <f>Model!I182</f>
        <v>-92520</v>
      </c>
      <c r="J65" s="5">
        <f>Model!J182</f>
        <v>-64338</v>
      </c>
      <c r="K65" s="5">
        <f>Model!K182</f>
        <v>-85948</v>
      </c>
      <c r="L65" s="5">
        <f>Model!L182</f>
        <v>-73894.088209539186</v>
      </c>
      <c r="M65" s="5">
        <f>Model!M182</f>
        <v>-73516.501318319089</v>
      </c>
      <c r="N65" s="5">
        <f>Model!N182</f>
        <v>-73998.58981683063</v>
      </c>
      <c r="O65" s="5">
        <f>Model!O182</f>
        <v>-83578.410540153331</v>
      </c>
      <c r="P65" s="5">
        <f>Model!P182</f>
        <v>-114420.76131480069</v>
      </c>
      <c r="Q65" s="5"/>
      <c r="R65" s="5"/>
      <c r="S65" s="5"/>
    </row>
    <row r="66" spans="2:19">
      <c r="E66" s="64"/>
    </row>
    <row r="67" spans="2:19">
      <c r="C67" s="133" t="s">
        <v>170</v>
      </c>
      <c r="E67" s="74" t="s">
        <v>111</v>
      </c>
      <c r="H67" s="134">
        <f>SUM(H58,H60,H63,H65)</f>
        <v>35562</v>
      </c>
      <c r="I67" s="134">
        <f t="shared" ref="I67:P67" si="4">SUM(I58,I60,I63,I65)</f>
        <v>-216924</v>
      </c>
      <c r="J67" s="134">
        <f t="shared" si="4"/>
        <v>149847</v>
      </c>
      <c r="K67" s="134">
        <f t="shared" si="4"/>
        <v>221351</v>
      </c>
      <c r="L67" s="134">
        <f t="shared" si="4"/>
        <v>328717.30384884623</v>
      </c>
      <c r="M67" s="134">
        <f t="shared" si="4"/>
        <v>473929.7596333496</v>
      </c>
      <c r="N67" s="134">
        <f t="shared" si="4"/>
        <v>687528.66368593334</v>
      </c>
      <c r="O67" s="134">
        <f t="shared" si="4"/>
        <v>814202.65015632589</v>
      </c>
      <c r="P67" s="134">
        <f t="shared" si="4"/>
        <v>1025859.1474369117</v>
      </c>
      <c r="Q67" s="134"/>
      <c r="R67" s="134"/>
      <c r="S67" s="134"/>
    </row>
    <row r="68" spans="2:19">
      <c r="E68" s="64"/>
    </row>
    <row r="69" spans="2:19">
      <c r="C69" s="133" t="s">
        <v>110</v>
      </c>
      <c r="E69" s="74" t="s">
        <v>111</v>
      </c>
      <c r="H69" s="134">
        <f>Model!H100</f>
        <v>45408</v>
      </c>
      <c r="I69" s="134">
        <f>Model!I100</f>
        <v>72728</v>
      </c>
      <c r="J69" s="134">
        <f>Model!J100</f>
        <v>124308</v>
      </c>
      <c r="K69" s="134">
        <f>Model!K100</f>
        <v>176267</v>
      </c>
      <c r="L69" s="134">
        <f>Model!L100</f>
        <v>267877.87517877895</v>
      </c>
      <c r="M69" s="134">
        <f>Model!M100</f>
        <v>379968.54875773826</v>
      </c>
      <c r="N69" s="134">
        <f>Model!N100</f>
        <v>465364.37585748301</v>
      </c>
      <c r="O69" s="134">
        <f>Model!O100</f>
        <v>573331.77429419884</v>
      </c>
      <c r="P69" s="134">
        <f>Model!P100</f>
        <v>698852.23077888647</v>
      </c>
      <c r="Q69" s="134"/>
      <c r="R69" s="134"/>
      <c r="S69" s="134"/>
    </row>
    <row r="70" spans="2:19">
      <c r="C70" s="143" t="s">
        <v>171</v>
      </c>
      <c r="E70" s="74" t="s">
        <v>93</v>
      </c>
      <c r="H70" s="144">
        <f t="shared" ref="H70:P70" si="5">H69/H49</f>
        <v>0.17481357145882018</v>
      </c>
      <c r="I70" s="144">
        <f t="shared" si="5"/>
        <v>0.18704221874742818</v>
      </c>
      <c r="J70" s="144">
        <f t="shared" si="5"/>
        <v>0.22288483709655152</v>
      </c>
      <c r="K70" s="144">
        <f t="shared" si="5"/>
        <v>0.22537136340040761</v>
      </c>
      <c r="L70" s="144">
        <f t="shared" si="5"/>
        <v>0.27592551917096597</v>
      </c>
      <c r="M70" s="144">
        <f t="shared" si="5"/>
        <v>0.30416717622693445</v>
      </c>
      <c r="N70" s="144">
        <f t="shared" si="5"/>
        <v>0.2846721593836582</v>
      </c>
      <c r="O70" s="144">
        <f t="shared" si="5"/>
        <v>0.26485537792831632</v>
      </c>
      <c r="P70" s="144">
        <f t="shared" si="5"/>
        <v>0.24227908497332598</v>
      </c>
      <c r="Q70" s="145"/>
      <c r="R70" s="145"/>
      <c r="S70" s="134"/>
    </row>
    <row r="72" spans="2:19">
      <c r="B72" s="20" t="s">
        <v>172</v>
      </c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</row>
    <row r="74" spans="2:19">
      <c r="E74" s="146"/>
      <c r="F74" s="147"/>
      <c r="G74" s="147"/>
      <c r="H74" s="147"/>
      <c r="I74" s="147"/>
      <c r="J74" s="148"/>
      <c r="K74" s="149" t="s">
        <v>173</v>
      </c>
      <c r="L74" s="147"/>
      <c r="M74" s="147"/>
      <c r="N74" s="147"/>
      <c r="O74" s="147"/>
      <c r="P74" s="147"/>
    </row>
    <row r="75" spans="2:19">
      <c r="E75" s="151">
        <f>L41</f>
        <v>44.065972844634679</v>
      </c>
      <c r="F75" s="152">
        <v>0.105</v>
      </c>
      <c r="G75" s="153">
        <f>F75-0.0025</f>
        <v>0.10249999999999999</v>
      </c>
      <c r="H75" s="153">
        <f t="shared" ref="H75:P75" si="6">G75-0.0025</f>
        <v>9.9999999999999992E-2</v>
      </c>
      <c r="I75" s="153">
        <f t="shared" si="6"/>
        <v>9.7499999999999989E-2</v>
      </c>
      <c r="J75" s="153">
        <f t="shared" si="6"/>
        <v>9.4999999999999987E-2</v>
      </c>
      <c r="K75" s="153">
        <f t="shared" si="6"/>
        <v>9.2499999999999985E-2</v>
      </c>
      <c r="L75" s="153">
        <f t="shared" si="6"/>
        <v>8.9999999999999983E-2</v>
      </c>
      <c r="M75" s="153">
        <f t="shared" si="6"/>
        <v>8.7499999999999981E-2</v>
      </c>
      <c r="N75" s="153">
        <f t="shared" si="6"/>
        <v>8.4999999999999978E-2</v>
      </c>
      <c r="O75" s="153">
        <f t="shared" si="6"/>
        <v>8.2499999999999976E-2</v>
      </c>
      <c r="P75" s="153">
        <f t="shared" si="6"/>
        <v>7.9999999999999974E-2</v>
      </c>
    </row>
    <row r="76" spans="2:19">
      <c r="E76" s="154">
        <v>11</v>
      </c>
      <c r="F76" s="155">
        <v>36.743306070739543</v>
      </c>
      <c r="G76" s="155">
        <v>36.345214944632239</v>
      </c>
      <c r="H76" s="155">
        <v>35.371653456026408</v>
      </c>
      <c r="I76" s="155">
        <v>34.428161828608118</v>
      </c>
      <c r="J76" s="155">
        <v>33.5136750715753</v>
      </c>
      <c r="K76" s="156">
        <v>32.627170644758444</v>
      </c>
      <c r="L76" s="155">
        <v>31.767666581263661</v>
      </c>
      <c r="M76" s="155">
        <v>30.934219701214648</v>
      </c>
      <c r="N76" s="155">
        <v>30.125923911786927</v>
      </c>
      <c r="O76" s="155">
        <v>29.341908589000031</v>
      </c>
      <c r="P76" s="155">
        <v>28.581337036991716</v>
      </c>
    </row>
    <row r="77" spans="2:19">
      <c r="E77" s="158">
        <f>E76-0.2</f>
        <v>10.8</v>
      </c>
      <c r="F77" s="155">
        <v>36.358938274743302</v>
      </c>
      <c r="G77" s="155">
        <v>35.965082564545853</v>
      </c>
      <c r="H77" s="155">
        <v>35.001873574023143</v>
      </c>
      <c r="I77" s="155">
        <v>34.068407004673254</v>
      </c>
      <c r="J77" s="155">
        <v>33.163629648499835</v>
      </c>
      <c r="K77" s="156">
        <v>32.28653027327919</v>
      </c>
      <c r="L77" s="155">
        <v>31.436137766372198</v>
      </c>
      <c r="M77" s="155">
        <v>30.611519368601517</v>
      </c>
      <c r="N77" s="155">
        <v>29.811778993442648</v>
      </c>
      <c r="O77" s="155">
        <v>29.036055627045688</v>
      </c>
      <c r="P77" s="155">
        <v>28.283521804861127</v>
      </c>
    </row>
    <row r="78" spans="2:19">
      <c r="E78" s="158">
        <f t="shared" ref="E78:E86" si="7">E77-0.2</f>
        <v>10.600000000000001</v>
      </c>
      <c r="F78" s="155">
        <v>35.974570478747069</v>
      </c>
      <c r="G78" s="155">
        <v>35.584950184459473</v>
      </c>
      <c r="H78" s="155">
        <v>34.632093692019879</v>
      </c>
      <c r="I78" s="155">
        <v>33.708652180738397</v>
      </c>
      <c r="J78" s="155">
        <v>32.813584225424364</v>
      </c>
      <c r="K78" s="156">
        <v>31.945889901799941</v>
      </c>
      <c r="L78" s="155">
        <v>31.104608951480724</v>
      </c>
      <c r="M78" s="155">
        <v>30.288819035988393</v>
      </c>
      <c r="N78" s="155">
        <v>29.497634075098361</v>
      </c>
      <c r="O78" s="155">
        <v>28.730202665091344</v>
      </c>
      <c r="P78" s="155">
        <v>27.985706572730543</v>
      </c>
    </row>
    <row r="79" spans="2:19">
      <c r="E79" s="158">
        <f t="shared" si="7"/>
        <v>10.400000000000002</v>
      </c>
      <c r="F79" s="155">
        <v>35.590202682750835</v>
      </c>
      <c r="G79" s="155">
        <v>35.204817804373093</v>
      </c>
      <c r="H79" s="155">
        <v>34.262313810016614</v>
      </c>
      <c r="I79" s="155">
        <v>33.348897356803533</v>
      </c>
      <c r="J79" s="155">
        <v>32.4635388023489</v>
      </c>
      <c r="K79" s="156">
        <v>31.605249530320688</v>
      </c>
      <c r="L79" s="155">
        <v>30.773080136589254</v>
      </c>
      <c r="M79" s="155">
        <v>29.966118703375265</v>
      </c>
      <c r="N79" s="155">
        <v>29.183489156754074</v>
      </c>
      <c r="O79" s="155">
        <v>28.424349703137</v>
      </c>
      <c r="P79" s="155">
        <v>27.687891340599954</v>
      </c>
    </row>
    <row r="80" spans="2:19" ht="18.5">
      <c r="C80" s="159" t="s">
        <v>174</v>
      </c>
      <c r="E80" s="158">
        <f t="shared" si="7"/>
        <v>10.200000000000003</v>
      </c>
      <c r="F80" s="155">
        <v>35.205834886754609</v>
      </c>
      <c r="G80" s="155">
        <v>34.824685424286706</v>
      </c>
      <c r="H80" s="155">
        <v>33.89253392801335</v>
      </c>
      <c r="I80" s="155">
        <v>32.989142532868676</v>
      </c>
      <c r="J80" s="155">
        <v>32.113493379273436</v>
      </c>
      <c r="K80" s="156">
        <v>31.264609158841431</v>
      </c>
      <c r="L80" s="155">
        <v>30.441551321697787</v>
      </c>
      <c r="M80" s="155">
        <v>29.643418370762141</v>
      </c>
      <c r="N80" s="155">
        <v>28.869344238409791</v>
      </c>
      <c r="O80" s="155">
        <v>28.118496741182653</v>
      </c>
      <c r="P80" s="155">
        <v>27.390076108469369</v>
      </c>
    </row>
    <row r="81" spans="3:16">
      <c r="E81" s="158">
        <f t="shared" si="7"/>
        <v>10.000000000000004</v>
      </c>
      <c r="F81" s="156">
        <v>34.821467090758375</v>
      </c>
      <c r="G81" s="156">
        <v>34.444553044200326</v>
      </c>
      <c r="H81" s="156">
        <v>33.522754046010085</v>
      </c>
      <c r="I81" s="156">
        <v>32.62938770893382</v>
      </c>
      <c r="J81" s="156">
        <v>31.763447956197965</v>
      </c>
      <c r="K81" s="156">
        <v>30.923968787362181</v>
      </c>
      <c r="L81" s="156">
        <v>30.110022506806317</v>
      </c>
      <c r="M81" s="156">
        <v>29.32071803814901</v>
      </c>
      <c r="N81" s="156">
        <v>28.555199320065501</v>
      </c>
      <c r="O81" s="156">
        <v>27.81264377922831</v>
      </c>
      <c r="P81" s="156">
        <v>27.092260876338781</v>
      </c>
    </row>
    <row r="82" spans="3:16">
      <c r="E82" s="158">
        <f t="shared" si="7"/>
        <v>9.8000000000000043</v>
      </c>
      <c r="F82" s="155">
        <v>34.437099294762142</v>
      </c>
      <c r="G82" s="155">
        <v>34.064420664113946</v>
      </c>
      <c r="H82" s="155">
        <v>33.152974164006821</v>
      </c>
      <c r="I82" s="155">
        <v>32.269632884998963</v>
      </c>
      <c r="J82" s="155">
        <v>31.413402533122493</v>
      </c>
      <c r="K82" s="156">
        <v>30.583328415882935</v>
      </c>
      <c r="L82" s="155">
        <v>29.77849369191485</v>
      </c>
      <c r="M82" s="155">
        <v>28.998017705535887</v>
      </c>
      <c r="N82" s="155">
        <v>28.241054401721218</v>
      </c>
      <c r="O82" s="155">
        <v>27.506790817273966</v>
      </c>
      <c r="P82" s="157">
        <v>26.794445644208192</v>
      </c>
    </row>
    <row r="83" spans="3:16">
      <c r="E83" s="158">
        <f t="shared" si="7"/>
        <v>9.600000000000005</v>
      </c>
      <c r="F83" s="155">
        <v>34.052731498765901</v>
      </c>
      <c r="G83" s="155">
        <v>33.684288284027559</v>
      </c>
      <c r="H83" s="155">
        <v>32.783194282003556</v>
      </c>
      <c r="I83" s="155">
        <v>31.909878061064099</v>
      </c>
      <c r="J83" s="155">
        <v>31.063357110047026</v>
      </c>
      <c r="K83" s="156">
        <v>30.242688044403678</v>
      </c>
      <c r="L83" s="155">
        <v>29.446964877023376</v>
      </c>
      <c r="M83" s="155">
        <v>28.675317372922759</v>
      </c>
      <c r="N83" s="155">
        <v>27.926909483376932</v>
      </c>
      <c r="O83" s="155">
        <v>27.200937855319616</v>
      </c>
      <c r="P83" s="157">
        <v>26.496630412077607</v>
      </c>
    </row>
    <row r="84" spans="3:16">
      <c r="E84" s="158">
        <f t="shared" si="7"/>
        <v>9.4000000000000057</v>
      </c>
      <c r="F84" s="155">
        <v>33.668363702769668</v>
      </c>
      <c r="G84" s="155">
        <v>33.304155903941179</v>
      </c>
      <c r="H84" s="155">
        <v>32.413414400000299</v>
      </c>
      <c r="I84" s="155">
        <v>31.550123237129242</v>
      </c>
      <c r="J84" s="155">
        <v>30.713311686971554</v>
      </c>
      <c r="K84" s="156">
        <v>29.902047672924422</v>
      </c>
      <c r="L84" s="155">
        <v>29.115436062131913</v>
      </c>
      <c r="M84" s="155">
        <v>28.352617040309635</v>
      </c>
      <c r="N84" s="155">
        <v>27.612764565032645</v>
      </c>
      <c r="O84" s="155">
        <v>26.895084893365272</v>
      </c>
      <c r="P84" s="157">
        <v>26.198815179947019</v>
      </c>
    </row>
    <row r="85" spans="3:16">
      <c r="E85" s="158">
        <f t="shared" si="7"/>
        <v>9.2000000000000064</v>
      </c>
      <c r="F85" s="155">
        <v>33.283995906773441</v>
      </c>
      <c r="G85" s="155">
        <v>32.9240235238548</v>
      </c>
      <c r="H85" s="155">
        <v>32.043634517997035</v>
      </c>
      <c r="I85" s="155">
        <v>31.190368413194385</v>
      </c>
      <c r="J85" s="155">
        <v>30.363266263896094</v>
      </c>
      <c r="K85" s="156">
        <v>29.561407301445175</v>
      </c>
      <c r="L85" s="155">
        <v>28.783907247240442</v>
      </c>
      <c r="M85" s="155">
        <v>28.029916707696511</v>
      </c>
      <c r="N85" s="155">
        <v>27.298619646688365</v>
      </c>
      <c r="O85" s="155">
        <v>26.589231931410929</v>
      </c>
      <c r="P85" s="157">
        <v>25.90099994781643</v>
      </c>
    </row>
    <row r="86" spans="3:16">
      <c r="E86" s="158">
        <f t="shared" si="7"/>
        <v>9.0000000000000071</v>
      </c>
      <c r="F86" s="161">
        <v>32.899628110777208</v>
      </c>
      <c r="G86" s="161">
        <v>32.543891143768413</v>
      </c>
      <c r="H86" s="161">
        <v>31.67385463599377</v>
      </c>
      <c r="I86" s="161">
        <v>30.830613589259524</v>
      </c>
      <c r="J86" s="161">
        <v>30.013220840820626</v>
      </c>
      <c r="K86" s="162">
        <v>29.220766929965926</v>
      </c>
      <c r="L86" s="161">
        <v>28.452378432348976</v>
      </c>
      <c r="M86" s="161">
        <v>27.707216375083384</v>
      </c>
      <c r="N86" s="161">
        <v>26.984474728344079</v>
      </c>
      <c r="O86" s="161">
        <v>26.283378969456585</v>
      </c>
      <c r="P86" s="163">
        <v>25.603184715685845</v>
      </c>
    </row>
    <row r="89" spans="3:16">
      <c r="E89" s="146"/>
      <c r="F89" s="147"/>
      <c r="G89" s="147"/>
      <c r="H89" s="147"/>
      <c r="I89" s="147"/>
      <c r="J89" s="148"/>
      <c r="K89" s="149" t="s">
        <v>173</v>
      </c>
      <c r="L89" s="147"/>
      <c r="M89" s="147"/>
      <c r="N89" s="147"/>
      <c r="O89" s="147"/>
      <c r="P89" s="150"/>
    </row>
    <row r="90" spans="3:16">
      <c r="E90" s="151">
        <f>Q41</f>
        <v>54.096710570171332</v>
      </c>
      <c r="F90" s="152">
        <v>0.105</v>
      </c>
      <c r="G90" s="153">
        <f>F90-0.0025</f>
        <v>0.10249999999999999</v>
      </c>
      <c r="H90" s="153">
        <f t="shared" ref="H90:P90" si="8">G90-0.0025</f>
        <v>9.9999999999999992E-2</v>
      </c>
      <c r="I90" s="153">
        <f t="shared" si="8"/>
        <v>9.7499999999999989E-2</v>
      </c>
      <c r="J90" s="153">
        <f t="shared" si="8"/>
        <v>9.4999999999999987E-2</v>
      </c>
      <c r="K90" s="153">
        <f t="shared" si="8"/>
        <v>9.2499999999999985E-2</v>
      </c>
      <c r="L90" s="153">
        <f t="shared" si="8"/>
        <v>8.9999999999999983E-2</v>
      </c>
      <c r="M90" s="153">
        <f t="shared" si="8"/>
        <v>8.7499999999999981E-2</v>
      </c>
      <c r="N90" s="153">
        <f t="shared" si="8"/>
        <v>8.4999999999999978E-2</v>
      </c>
      <c r="O90" s="153">
        <f t="shared" si="8"/>
        <v>8.2499999999999976E-2</v>
      </c>
      <c r="P90" s="153">
        <f t="shared" si="8"/>
        <v>7.9999999999999974E-2</v>
      </c>
    </row>
    <row r="91" spans="3:16">
      <c r="E91" s="164">
        <v>0.04</v>
      </c>
      <c r="F91" s="155">
        <v>132.07366823153549</v>
      </c>
      <c r="G91" s="155">
        <v>123.50899686384169</v>
      </c>
      <c r="H91" s="155">
        <v>105.96164666752369</v>
      </c>
      <c r="I91" s="155">
        <v>92.428742697388756</v>
      </c>
      <c r="J91" s="155">
        <v>81.680886782380512</v>
      </c>
      <c r="K91" s="156">
        <v>72.944021982562461</v>
      </c>
      <c r="L91" s="155">
        <v>65.706491323472605</v>
      </c>
      <c r="M91" s="155">
        <v>59.616537741499215</v>
      </c>
      <c r="N91" s="155">
        <v>54.424369264447087</v>
      </c>
      <c r="O91" s="155">
        <v>49.94771127617382</v>
      </c>
      <c r="P91" s="157">
        <v>46.050440195706152</v>
      </c>
    </row>
    <row r="92" spans="3:16">
      <c r="E92" s="165">
        <f>E91-0.2%</f>
        <v>3.7999999999999999E-2</v>
      </c>
      <c r="F92" s="155">
        <v>124.54773053290266</v>
      </c>
      <c r="G92" s="155">
        <v>116.87464055813285</v>
      </c>
      <c r="H92" s="155">
        <v>100.9872837350418</v>
      </c>
      <c r="I92" s="155">
        <v>88.579083878625767</v>
      </c>
      <c r="J92" s="155">
        <v>78.626289064756506</v>
      </c>
      <c r="K92" s="156">
        <v>70.470781443029423</v>
      </c>
      <c r="L92" s="155">
        <v>63.670227138121056</v>
      </c>
      <c r="M92" s="155">
        <v>57.916339825517028</v>
      </c>
      <c r="N92" s="155">
        <v>52.98768081893062</v>
      </c>
      <c r="O92" s="155">
        <v>48.721090697556598</v>
      </c>
      <c r="P92" s="157">
        <v>44.993701808345087</v>
      </c>
    </row>
    <row r="93" spans="3:16">
      <c r="E93" s="165">
        <f t="shared" ref="E93:E101" si="9">E92-0.2%</f>
        <v>3.5999999999999997E-2</v>
      </c>
      <c r="F93" s="155">
        <v>117.85801115734235</v>
      </c>
      <c r="G93" s="155">
        <v>110.93864042356849</v>
      </c>
      <c r="H93" s="155">
        <v>96.475654805475401</v>
      </c>
      <c r="I93" s="155">
        <v>85.050232284654172</v>
      </c>
      <c r="J93" s="155">
        <v>75.80222914919905</v>
      </c>
      <c r="K93" s="156">
        <v>68.168111178078433</v>
      </c>
      <c r="L93" s="155">
        <v>61.763251391531881</v>
      </c>
      <c r="M93" s="155">
        <v>56.316155258091129</v>
      </c>
      <c r="N93" s="155">
        <v>51.629716633159553</v>
      </c>
      <c r="O93" s="155">
        <v>47.557375255340929</v>
      </c>
      <c r="P93" s="157">
        <v>43.987892011631438</v>
      </c>
    </row>
    <row r="94" spans="3:16">
      <c r="E94" s="165">
        <f t="shared" si="9"/>
        <v>3.3999999999999996E-2</v>
      </c>
      <c r="F94" s="155">
        <v>111.87247564925079</v>
      </c>
      <c r="G94" s="155">
        <v>105.59624305017815</v>
      </c>
      <c r="H94" s="155">
        <v>92.365062025868227</v>
      </c>
      <c r="I94" s="155">
        <v>81.803691061316741</v>
      </c>
      <c r="J94" s="155">
        <v>73.183557469070877</v>
      </c>
      <c r="K94" s="156">
        <v>66.018954171148636</v>
      </c>
      <c r="L94" s="155">
        <v>59.973629776440006</v>
      </c>
      <c r="M94" s="155">
        <v>54.807411476015041</v>
      </c>
      <c r="N94" s="155">
        <v>50.344178775333496</v>
      </c>
      <c r="O94" s="155">
        <v>46.451847072797058</v>
      </c>
      <c r="P94" s="157">
        <v>43.029415854303451</v>
      </c>
    </row>
    <row r="95" spans="3:16" ht="18.5">
      <c r="C95" s="159" t="s">
        <v>175</v>
      </c>
      <c r="E95" s="165">
        <f t="shared" si="9"/>
        <v>3.1999999999999994E-2</v>
      </c>
      <c r="F95" s="155">
        <v>106.48549644426514</v>
      </c>
      <c r="G95" s="155">
        <v>100.76264805857679</v>
      </c>
      <c r="H95" s="155">
        <v>88.604309305572826</v>
      </c>
      <c r="I95" s="155">
        <v>78.806885947498259</v>
      </c>
      <c r="J95" s="155">
        <v>70.748654221560528</v>
      </c>
      <c r="K95" s="156">
        <v>64.008454311122719</v>
      </c>
      <c r="L95" s="155">
        <v>58.29085297756837</v>
      </c>
      <c r="M95" s="155">
        <v>53.382488423176355</v>
      </c>
      <c r="N95" s="155">
        <v>49.125423644295907</v>
      </c>
      <c r="O95" s="155">
        <v>45.400248553915439</v>
      </c>
      <c r="P95" s="157">
        <v>42.11500895539092</v>
      </c>
    </row>
    <row r="96" spans="3:16">
      <c r="E96" s="165">
        <f t="shared" si="9"/>
        <v>2.9999999999999992E-2</v>
      </c>
      <c r="F96" s="156">
        <v>101.61156551420707</v>
      </c>
      <c r="G96" s="156">
        <v>96.368473320287208</v>
      </c>
      <c r="H96" s="156">
        <v>85.150559099453986</v>
      </c>
      <c r="I96" s="156">
        <v>76.032068498636946</v>
      </c>
      <c r="J96" s="156">
        <v>68.478831102627822</v>
      </c>
      <c r="K96" s="156">
        <v>62.123612500852289</v>
      </c>
      <c r="L96" s="156">
        <v>56.705630151050521</v>
      </c>
      <c r="M96" s="156">
        <v>52.034589833382483</v>
      </c>
      <c r="N96" s="156">
        <v>47.968379142870866</v>
      </c>
      <c r="O96" s="156">
        <v>44.398727588083524</v>
      </c>
      <c r="P96" s="160">
        <v>41.241700361486359</v>
      </c>
    </row>
    <row r="97" spans="5:16">
      <c r="E97" s="165">
        <f t="shared" si="9"/>
        <v>2.799999999999999E-2</v>
      </c>
      <c r="F97" s="155">
        <v>97.180721745223735</v>
      </c>
      <c r="G97" s="155">
        <v>92.356403164065682</v>
      </c>
      <c r="H97" s="155">
        <v>81.967693477397049</v>
      </c>
      <c r="I97" s="155">
        <v>73.455454333769453</v>
      </c>
      <c r="J97" s="155">
        <v>66.357850733435711</v>
      </c>
      <c r="K97" s="156">
        <v>60.353005291405658</v>
      </c>
      <c r="L97" s="155">
        <v>55.209717308739741</v>
      </c>
      <c r="M97" s="155">
        <v>50.757634836950835</v>
      </c>
      <c r="N97" s="155">
        <v>46.86847412181681</v>
      </c>
      <c r="O97" s="155">
        <v>43.443790400621587</v>
      </c>
      <c r="P97" s="157">
        <v>40.406780301958491</v>
      </c>
    </row>
    <row r="98" spans="5:16">
      <c r="E98" s="165">
        <f t="shared" si="9"/>
        <v>2.5999999999999988E-2</v>
      </c>
      <c r="F98" s="155">
        <v>93.13517117380502</v>
      </c>
      <c r="G98" s="155">
        <v>88.678674530645651</v>
      </c>
      <c r="H98" s="155">
        <v>79.025046272418095</v>
      </c>
      <c r="I98" s="155">
        <v>71.056539676290456</v>
      </c>
      <c r="J98" s="155">
        <v>64.371537624604471</v>
      </c>
      <c r="K98" s="156">
        <v>58.686553169095568</v>
      </c>
      <c r="L98" s="155">
        <v>53.795773913316566</v>
      </c>
      <c r="M98" s="155">
        <v>49.546166243208191</v>
      </c>
      <c r="N98" s="155">
        <v>45.821578024654208</v>
      </c>
      <c r="O98" s="155">
        <v>42.532260832790946</v>
      </c>
      <c r="P98" s="157">
        <v>39.607772104783329</v>
      </c>
    </row>
    <row r="99" spans="5:16">
      <c r="E99" s="165">
        <f t="shared" si="9"/>
        <v>2.3999999999999987E-2</v>
      </c>
      <c r="F99" s="155">
        <v>89.426752163796436</v>
      </c>
      <c r="G99" s="155">
        <v>85.295166450343544</v>
      </c>
      <c r="H99" s="155">
        <v>76.296411851004748</v>
      </c>
      <c r="I99" s="155">
        <v>68.817554586560718</v>
      </c>
      <c r="J99" s="155">
        <v>62.507460962449763</v>
      </c>
      <c r="K99" s="156">
        <v>57.11532856473066</v>
      </c>
      <c r="L99" s="155">
        <v>52.457242418179199</v>
      </c>
      <c r="M99" s="155">
        <v>48.395272580615192</v>
      </c>
      <c r="N99" s="155">
        <v>44.823949053223657</v>
      </c>
      <c r="O99" s="155">
        <v>41.661245051134408</v>
      </c>
      <c r="P99" s="157">
        <v>38.842407659849137</v>
      </c>
    </row>
    <row r="100" spans="5:16">
      <c r="E100" s="165">
        <f t="shared" si="9"/>
        <v>2.1999999999999985E-2</v>
      </c>
      <c r="F100" s="155">
        <v>86.015008940928993</v>
      </c>
      <c r="G100" s="155">
        <v>82.17193041044743</v>
      </c>
      <c r="H100" s="155">
        <v>73.759262563385064</v>
      </c>
      <c r="I100" s="155">
        <v>66.723022020461485</v>
      </c>
      <c r="J100" s="155">
        <v>60.754674209625918</v>
      </c>
      <c r="K100" s="156">
        <v>55.631395861325096</v>
      </c>
      <c r="L100" s="155">
        <v>51.188246580337974</v>
      </c>
      <c r="M100" s="155">
        <v>47.300521545653005</v>
      </c>
      <c r="N100" s="155">
        <v>43.87218948282208</v>
      </c>
      <c r="O100" s="155">
        <v>40.828100859946247</v>
      </c>
      <c r="P100" s="157">
        <v>38.108605917729044</v>
      </c>
    </row>
    <row r="101" spans="5:16">
      <c r="E101" s="165">
        <f t="shared" si="9"/>
        <v>1.9999999999999983E-2</v>
      </c>
      <c r="F101" s="161">
        <v>82.865709696303739</v>
      </c>
      <c r="G101" s="161">
        <v>79.28004730763061</v>
      </c>
      <c r="H101" s="161">
        <v>71.394125356453955</v>
      </c>
      <c r="I101" s="161">
        <v>64.759399564470257</v>
      </c>
      <c r="J101" s="161">
        <v>59.103499992613784</v>
      </c>
      <c r="K101" s="162">
        <v>54.227677346503917</v>
      </c>
      <c r="L101" s="161">
        <v>49.983505219452418</v>
      </c>
      <c r="M101" s="161">
        <v>46.257902959012014</v>
      </c>
      <c r="N101" s="161">
        <v>42.963207002264383</v>
      </c>
      <c r="O101" s="161">
        <v>40.03041093129923</v>
      </c>
      <c r="P101" s="163">
        <v>37.404453994662788</v>
      </c>
    </row>
  </sheetData>
  <dataValidations disablePrompts="1" count="2">
    <dataValidation type="list" allowBlank="1" showInputMessage="1" showErrorMessage="1" sqref="G6" xr:uid="{C87B2906-FD7C-4864-9AE5-B847A7A0877E}">
      <formula1>$I$15:$I$17</formula1>
    </dataValidation>
    <dataValidation type="list" allowBlank="1" showInputMessage="1" showErrorMessage="1" sqref="G7" xr:uid="{25D7719F-503F-4C5B-8A74-4F865EFDC551}">
      <formula1>"Yes,No"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A7650-C610-473C-9CD9-85ED5A8CB400}">
  <dimension ref="A1:V40"/>
  <sheetViews>
    <sheetView showGridLines="0" topLeftCell="A5" workbookViewId="0">
      <selection activeCell="N16" sqref="N16"/>
    </sheetView>
  </sheetViews>
  <sheetFormatPr defaultRowHeight="14.5"/>
  <cols>
    <col min="2" max="2" width="25" bestFit="1" customWidth="1"/>
    <col min="3" max="3" width="7.6328125" bestFit="1" customWidth="1"/>
    <col min="4" max="4" width="8" bestFit="1" customWidth="1"/>
    <col min="5" max="5" width="12" bestFit="1" customWidth="1"/>
    <col min="6" max="6" width="10.36328125" bestFit="1" customWidth="1"/>
    <col min="7" max="7" width="6" bestFit="1" customWidth="1"/>
    <col min="8" max="8" width="11.26953125" bestFit="1" customWidth="1"/>
    <col min="9" max="9" width="15.453125" bestFit="1" customWidth="1"/>
    <col min="10" max="11" width="8.453125" bestFit="1" customWidth="1"/>
    <col min="12" max="12" width="9" bestFit="1" customWidth="1"/>
  </cols>
  <sheetData>
    <row r="1" spans="1:22">
      <c r="A1" s="362"/>
    </row>
    <row r="2" spans="1:22" ht="18.5">
      <c r="B2" s="363" t="str">
        <f>"WACC Analysis - "&amp;_xlfn.SINGLE(Company_Name)</f>
        <v>WACC Analysis - ACM Research, Inc.</v>
      </c>
      <c r="C2" s="364"/>
      <c r="D2" s="10"/>
      <c r="E2" s="10"/>
      <c r="F2" s="10"/>
      <c r="G2" s="10"/>
      <c r="H2" s="10"/>
      <c r="I2" s="10"/>
      <c r="J2" s="10"/>
      <c r="K2" s="10"/>
      <c r="L2" s="10"/>
    </row>
    <row r="3" spans="1:22" ht="16">
      <c r="B3" s="31" t="s">
        <v>307</v>
      </c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22" ht="16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22" ht="16">
      <c r="B5" s="365" t="s">
        <v>344</v>
      </c>
      <c r="C5" s="365"/>
      <c r="D5" s="366"/>
      <c r="E5" s="366"/>
      <c r="F5" s="366"/>
      <c r="G5" s="367"/>
      <c r="H5" s="367"/>
      <c r="I5" s="10"/>
      <c r="J5" s="10"/>
      <c r="K5" s="10"/>
      <c r="L5" s="10"/>
    </row>
    <row r="6" spans="1:22" ht="16">
      <c r="B6" s="31" t="s">
        <v>345</v>
      </c>
      <c r="C6" s="31"/>
      <c r="D6" s="10"/>
      <c r="E6" s="10"/>
      <c r="F6" s="368">
        <v>4.4999999999999998E-2</v>
      </c>
      <c r="G6" s="369"/>
      <c r="H6" s="369"/>
      <c r="I6" s="10"/>
      <c r="J6" s="10"/>
      <c r="K6" s="10"/>
      <c r="L6" s="10"/>
    </row>
    <row r="7" spans="1:22" ht="16">
      <c r="B7" s="31" t="s">
        <v>346</v>
      </c>
      <c r="C7" s="31"/>
      <c r="D7" s="10"/>
      <c r="E7" s="10"/>
      <c r="F7" s="368">
        <v>3.5000000000000003E-2</v>
      </c>
      <c r="G7" s="369"/>
      <c r="H7" s="369"/>
      <c r="I7" s="10"/>
      <c r="J7" s="10"/>
      <c r="K7" s="10"/>
      <c r="L7" s="10"/>
    </row>
    <row r="8" spans="1:22" ht="16">
      <c r="B8" s="31" t="s">
        <v>347</v>
      </c>
      <c r="C8" s="31"/>
      <c r="D8" s="10"/>
      <c r="E8" s="10"/>
      <c r="F8" s="370">
        <f>Drivers!K76</f>
        <v>3.9336650082918742E-2</v>
      </c>
      <c r="G8" s="369"/>
      <c r="H8" s="369"/>
      <c r="I8" s="371"/>
      <c r="J8" s="371"/>
      <c r="K8" s="10"/>
      <c r="L8" s="10"/>
    </row>
    <row r="9" spans="1:22" ht="16">
      <c r="B9" s="31" t="s">
        <v>348</v>
      </c>
      <c r="C9" s="31"/>
      <c r="D9" s="10"/>
      <c r="E9" s="10"/>
      <c r="F9" s="368">
        <v>0</v>
      </c>
      <c r="G9" s="369"/>
      <c r="H9" s="369"/>
      <c r="I9" s="371"/>
      <c r="J9" s="371"/>
      <c r="K9" s="10"/>
      <c r="L9" s="10"/>
    </row>
    <row r="10" spans="1:22" ht="16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22" ht="16">
      <c r="B11" s="192" t="s">
        <v>81</v>
      </c>
      <c r="C11" s="372" t="s">
        <v>84</v>
      </c>
      <c r="D11" s="197" t="s">
        <v>275</v>
      </c>
      <c r="E11" s="212" t="s">
        <v>251</v>
      </c>
      <c r="F11" s="372"/>
      <c r="G11" s="212" t="s">
        <v>144</v>
      </c>
      <c r="H11" s="372"/>
      <c r="I11" s="197" t="s">
        <v>273</v>
      </c>
      <c r="J11" s="373"/>
      <c r="K11" s="192" t="s">
        <v>92</v>
      </c>
      <c r="L11" s="10"/>
    </row>
    <row r="12" spans="1:22" ht="16">
      <c r="B12" s="374" t="s">
        <v>349</v>
      </c>
      <c r="C12" s="374"/>
      <c r="D12" s="374"/>
      <c r="E12" s="374"/>
      <c r="F12" s="374"/>
      <c r="G12" s="374"/>
      <c r="H12" s="374"/>
      <c r="I12" s="374"/>
      <c r="J12" s="374"/>
      <c r="K12" s="374"/>
      <c r="L12" s="374"/>
    </row>
    <row r="13" spans="1:22" ht="16">
      <c r="B13" s="374"/>
      <c r="C13" s="374"/>
      <c r="D13" s="375" t="s">
        <v>350</v>
      </c>
      <c r="E13" s="375"/>
      <c r="F13" s="375"/>
      <c r="G13" s="375" t="s">
        <v>329</v>
      </c>
      <c r="H13" s="375"/>
      <c r="I13" s="375" t="s">
        <v>316</v>
      </c>
      <c r="J13" s="375"/>
      <c r="K13" s="375"/>
      <c r="L13" s="375" t="s">
        <v>351</v>
      </c>
    </row>
    <row r="14" spans="1:22" ht="16">
      <c r="B14" s="374" t="s">
        <v>82</v>
      </c>
      <c r="C14" s="374" t="s">
        <v>321</v>
      </c>
      <c r="D14" s="375" t="s">
        <v>325</v>
      </c>
      <c r="E14" s="375" t="s">
        <v>328</v>
      </c>
      <c r="F14" s="375" t="s">
        <v>352</v>
      </c>
      <c r="G14" s="375" t="s">
        <v>353</v>
      </c>
      <c r="H14" s="375" t="s">
        <v>354</v>
      </c>
      <c r="I14" s="375" t="s">
        <v>331</v>
      </c>
      <c r="J14" s="375" t="s">
        <v>355</v>
      </c>
      <c r="K14" s="375" t="s">
        <v>326</v>
      </c>
      <c r="L14" s="375" t="s">
        <v>325</v>
      </c>
    </row>
    <row r="15" spans="1:22" ht="16">
      <c r="B15" s="31" t="str">
        <f t="shared" ref="B15:B20" si="0">INDEX(Pub_Comps_Range,MATCH(B$11,Pub_Comps_Params,0),MATCH($C15,Pub_Comps_Tickers,0))</f>
        <v>Onto Innovation Inc.</v>
      </c>
      <c r="C15" t="s">
        <v>294</v>
      </c>
      <c r="D15" s="31">
        <f t="shared" ref="D15:E20" si="1">INDEX(Pub_Comps_Range,MATCH(D$11,Pub_Comps_Params,0),MATCH($C15,Pub_Comps_Tickers,0))</f>
        <v>1.45</v>
      </c>
      <c r="E15" s="31">
        <f t="shared" si="1"/>
        <v>14.6</v>
      </c>
      <c r="F15" s="376">
        <f>E15/(E15+G15+I15)</f>
        <v>3.2090832000977671E-3</v>
      </c>
      <c r="G15" s="31">
        <f t="shared" ref="G15:G20" si="2">INDEX(Pub_Comps_Range,MATCH(G$11,Pub_Comps_Params,0),MATCH($C15,Pub_Comps_Tickers,0))</f>
        <v>0</v>
      </c>
      <c r="H15" s="377">
        <f>G15/(E15+G15+I15)</f>
        <v>0</v>
      </c>
      <c r="I15" s="378">
        <f t="shared" ref="I15:I20" si="3">INDEX(Pub_Comps_Range,MATCH(I$11,Pub_Comps_Params,0),MATCH($C15,Pub_Comps_Tickers,0))</f>
        <v>4534.9859999999999</v>
      </c>
      <c r="J15" s="376">
        <f>$I15/($E15+$G15+$I15)</f>
        <v>0.99679091679990217</v>
      </c>
      <c r="K15" s="377">
        <f t="shared" ref="K15:K20" si="4">INDEX(Pub_Comps_Range,MATCH(K$11,Pub_Comps_Params,0),MATCH($C15,Pub_Comps_Tickers,0))</f>
        <v>8.5000000000000006E-2</v>
      </c>
      <c r="L15" s="379">
        <f t="shared" ref="L15:L20" si="5">IFERROR(D15/(1+(E15/I15)*(1-K15)+G15/I15),"N/A")</f>
        <v>1.4457411871790729</v>
      </c>
      <c r="T15" s="774"/>
      <c r="U15" s="774"/>
      <c r="V15" s="775"/>
    </row>
    <row r="16" spans="1:22" ht="16">
      <c r="B16" s="31" t="str">
        <f t="shared" si="0"/>
        <v>Axcelis Technologies, Inc.</v>
      </c>
      <c r="C16" t="s">
        <v>296</v>
      </c>
      <c r="D16" s="31">
        <f t="shared" si="1"/>
        <v>1.52</v>
      </c>
      <c r="E16" s="31">
        <f t="shared" si="1"/>
        <v>-72.400000000000006</v>
      </c>
      <c r="F16" s="376">
        <f t="shared" ref="F16:F20" si="6">E16/(E16+G16+I16)</f>
        <v>-4.1610008471429899E-2</v>
      </c>
      <c r="G16" s="31">
        <f t="shared" si="2"/>
        <v>0</v>
      </c>
      <c r="H16" s="377">
        <f t="shared" ref="H16:H20" si="7">G16/(E16+G16+I16)</f>
        <v>0</v>
      </c>
      <c r="I16" s="378">
        <f t="shared" si="3"/>
        <v>1812.3660000000002</v>
      </c>
      <c r="J16" s="376">
        <f t="shared" ref="J16:J20" si="8">$I16/($E16+$G16+$I16)</f>
        <v>1.0416100084714299</v>
      </c>
      <c r="K16" s="377">
        <f t="shared" si="4"/>
        <v>0.129</v>
      </c>
      <c r="L16" s="379">
        <f t="shared" si="5"/>
        <v>1.5747942040544547</v>
      </c>
    </row>
    <row r="17" spans="2:12" ht="16">
      <c r="B17" s="31" t="str">
        <f t="shared" si="0"/>
        <v>FormFactor, Inc.</v>
      </c>
      <c r="C17" t="s">
        <v>298</v>
      </c>
      <c r="D17" s="31">
        <f t="shared" si="1"/>
        <v>1.1200000000000001</v>
      </c>
      <c r="E17" s="31">
        <f t="shared" si="1"/>
        <v>37.5</v>
      </c>
      <c r="F17" s="376">
        <f t="shared" si="6"/>
        <v>1.5943592844005337E-2</v>
      </c>
      <c r="G17" s="31">
        <f t="shared" si="2"/>
        <v>0</v>
      </c>
      <c r="H17" s="377">
        <f t="shared" si="7"/>
        <v>0</v>
      </c>
      <c r="I17" s="378">
        <f t="shared" si="3"/>
        <v>2314.5419999999999</v>
      </c>
      <c r="J17" s="376">
        <f t="shared" si="8"/>
        <v>0.98405640715599463</v>
      </c>
      <c r="K17" s="377">
        <f t="shared" si="4"/>
        <v>0.123</v>
      </c>
      <c r="L17" s="379">
        <f t="shared" si="5"/>
        <v>1.1043087939382206</v>
      </c>
    </row>
    <row r="18" spans="2:12" ht="16">
      <c r="B18" s="31" t="str">
        <f t="shared" si="0"/>
        <v>Ultra Clean Holdings, Inc.</v>
      </c>
      <c r="C18" t="s">
        <v>300</v>
      </c>
      <c r="D18" s="31">
        <f t="shared" si="1"/>
        <v>2.0499999999999998</v>
      </c>
      <c r="E18" s="31">
        <f t="shared" si="1"/>
        <v>646.4</v>
      </c>
      <c r="F18" s="376">
        <f t="shared" si="6"/>
        <v>0.42288277302238186</v>
      </c>
      <c r="G18" s="31">
        <f t="shared" si="2"/>
        <v>0</v>
      </c>
      <c r="H18" s="377">
        <f t="shared" si="7"/>
        <v>0</v>
      </c>
      <c r="I18" s="378">
        <f t="shared" si="3"/>
        <v>882.15599999999995</v>
      </c>
      <c r="J18" s="376">
        <f t="shared" si="8"/>
        <v>0.57711722697761803</v>
      </c>
      <c r="K18" s="377">
        <f t="shared" si="4"/>
        <v>0.48699999999999999</v>
      </c>
      <c r="L18" s="379">
        <f t="shared" si="5"/>
        <v>1.4899329290356766</v>
      </c>
    </row>
    <row r="19" spans="2:12" ht="16">
      <c r="B19" s="31" t="str">
        <f t="shared" si="0"/>
        <v>Veeco Instruments Inc.</v>
      </c>
      <c r="C19" t="s">
        <v>302</v>
      </c>
      <c r="D19" s="31">
        <f t="shared" si="1"/>
        <v>1.1000000000000001</v>
      </c>
      <c r="E19" s="31">
        <f t="shared" si="1"/>
        <v>287.5</v>
      </c>
      <c r="F19" s="376">
        <f t="shared" si="6"/>
        <v>0.20317705307762002</v>
      </c>
      <c r="G19" s="31">
        <f t="shared" si="2"/>
        <v>0</v>
      </c>
      <c r="H19" s="377">
        <f t="shared" si="7"/>
        <v>0</v>
      </c>
      <c r="I19" s="378">
        <f t="shared" si="3"/>
        <v>1127.5219999999999</v>
      </c>
      <c r="J19" s="376">
        <f t="shared" si="8"/>
        <v>0.79682294692237998</v>
      </c>
      <c r="K19" s="377">
        <f t="shared" si="4"/>
        <v>0.13</v>
      </c>
      <c r="L19" s="379">
        <f t="shared" si="5"/>
        <v>0.90028447055014826</v>
      </c>
    </row>
    <row r="20" spans="2:12" ht="16">
      <c r="B20" s="31" t="str">
        <f t="shared" si="0"/>
        <v>Entegris, Inc.</v>
      </c>
      <c r="C20" t="s">
        <v>304</v>
      </c>
      <c r="D20" s="31">
        <f t="shared" si="1"/>
        <v>1.24</v>
      </c>
      <c r="E20" s="31">
        <f t="shared" si="1"/>
        <v>4055.2</v>
      </c>
      <c r="F20" s="376">
        <f t="shared" si="6"/>
        <v>0.28145607572273379</v>
      </c>
      <c r="G20" s="31">
        <f t="shared" si="2"/>
        <v>0</v>
      </c>
      <c r="H20" s="377">
        <f t="shared" si="7"/>
        <v>0</v>
      </c>
      <c r="I20" s="378">
        <f t="shared" si="3"/>
        <v>10352.732</v>
      </c>
      <c r="J20" s="376">
        <f t="shared" si="8"/>
        <v>0.7185439242772661</v>
      </c>
      <c r="K20" s="377">
        <f t="shared" si="4"/>
        <v>8.5999999999999993E-2</v>
      </c>
      <c r="L20" s="379">
        <f t="shared" si="5"/>
        <v>0.91309616187703857</v>
      </c>
    </row>
    <row r="21" spans="2:12" ht="16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380"/>
    </row>
    <row r="22" spans="2:12" ht="16">
      <c r="B22" s="381" t="s">
        <v>356</v>
      </c>
      <c r="C22" s="382"/>
      <c r="D22" s="383">
        <f>MEDIAN(D15:D19)</f>
        <v>1.45</v>
      </c>
      <c r="E22" s="384">
        <f t="shared" ref="E22:L22" si="9">MEDIAN(E15:E19)</f>
        <v>37.5</v>
      </c>
      <c r="F22" s="385">
        <f t="shared" si="9"/>
        <v>1.5943592844005337E-2</v>
      </c>
      <c r="G22" s="383">
        <f t="shared" si="9"/>
        <v>0</v>
      </c>
      <c r="H22" s="386">
        <f t="shared" si="9"/>
        <v>0</v>
      </c>
      <c r="I22" s="387">
        <f t="shared" si="9"/>
        <v>1812.3660000000002</v>
      </c>
      <c r="J22" s="385">
        <f t="shared" si="9"/>
        <v>0.98405640715599463</v>
      </c>
      <c r="K22" s="388">
        <f t="shared" si="9"/>
        <v>0.129</v>
      </c>
      <c r="L22" s="388">
        <f t="shared" si="9"/>
        <v>1.4457411871790729</v>
      </c>
    </row>
    <row r="23" spans="2:12" ht="16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380"/>
    </row>
    <row r="24" spans="2:12" ht="16">
      <c r="B24" s="389" t="str">
        <f>Company_Name</f>
        <v>ACM Research, Inc.</v>
      </c>
      <c r="C24" s="389" t="str">
        <f>Ticker</f>
        <v>ACMR</v>
      </c>
      <c r="D24" s="389">
        <f>INDEX(Pub_Comps_Range,MATCH(D$11,Pub_Comps_Params,0),MATCH($C24,Pub_Comps_Tickers,0))</f>
        <v>1.48</v>
      </c>
      <c r="E24" s="389">
        <f>INDEX(Pub_Comps_Range,MATCH(E$11,Pub_Comps_Params,0),MATCH($C24,Pub_Comps_Tickers,0))</f>
        <v>105.52500000000001</v>
      </c>
      <c r="F24" s="390">
        <f t="shared" ref="F24:J24" si="10">E24/($E24+$G24+$I24)</f>
        <v>7.1516142214957085E-2</v>
      </c>
      <c r="G24" s="391">
        <f>INDEX(Pub_Comps_Range,MATCH(G$11,Pub_Comps_Params,0),MATCH($C24,Pub_Comps_Tickers,0))</f>
        <v>0</v>
      </c>
      <c r="H24" s="392">
        <f t="shared" si="10"/>
        <v>0</v>
      </c>
      <c r="I24" s="389">
        <f>INDEX(Pub_Comps_Range,MATCH(I$11,Pub_Comps_Params,0),MATCH($C24,Pub_Comps_Tickers,0))</f>
        <v>1370.0160000000001</v>
      </c>
      <c r="J24" s="393">
        <f t="shared" si="10"/>
        <v>0.92848385778504283</v>
      </c>
      <c r="K24" s="394">
        <v>0.13200000000000001</v>
      </c>
      <c r="L24" s="394">
        <f t="shared" ref="L24" si="11">IFERROR(D24/(1+(E24/I24)*(1-K24)+G24/I24),"N/A")</f>
        <v>1.3872519493378439</v>
      </c>
    </row>
    <row r="25" spans="2:12" ht="16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</row>
    <row r="26" spans="2:12" ht="16">
      <c r="B26" s="374" t="str">
        <f>TEXT(Company_Name,"")&amp; " - Levered Beta &amp; WACC Calculation:"</f>
        <v>ACM Research, Inc. - Levered Beta &amp; WACC Calculation:</v>
      </c>
      <c r="C26" s="374"/>
      <c r="D26" s="374"/>
      <c r="E26" s="374"/>
      <c r="F26" s="374"/>
      <c r="G26" s="374"/>
      <c r="H26" s="374"/>
      <c r="I26" s="374"/>
      <c r="J26" s="374"/>
      <c r="K26" s="374"/>
      <c r="L26" s="374"/>
    </row>
    <row r="27" spans="2:12" ht="16">
      <c r="B27" s="374"/>
      <c r="C27" s="374"/>
      <c r="D27" s="375" t="s">
        <v>351</v>
      </c>
      <c r="E27" s="375"/>
      <c r="F27" s="375"/>
      <c r="G27" s="375" t="s">
        <v>329</v>
      </c>
      <c r="H27" s="375"/>
      <c r="I27" s="375" t="s">
        <v>316</v>
      </c>
      <c r="J27" s="375"/>
      <c r="K27" s="375"/>
      <c r="L27" s="375" t="s">
        <v>350</v>
      </c>
    </row>
    <row r="28" spans="2:12" ht="16">
      <c r="B28" s="374"/>
      <c r="C28" s="374" t="s">
        <v>321</v>
      </c>
      <c r="D28" s="375" t="s">
        <v>325</v>
      </c>
      <c r="E28" s="375" t="s">
        <v>328</v>
      </c>
      <c r="F28" s="375" t="s">
        <v>352</v>
      </c>
      <c r="G28" s="375" t="s">
        <v>353</v>
      </c>
      <c r="H28" s="375" t="s">
        <v>354</v>
      </c>
      <c r="I28" s="375" t="s">
        <v>331</v>
      </c>
      <c r="J28" s="375" t="s">
        <v>355</v>
      </c>
      <c r="K28" s="375" t="s">
        <v>326</v>
      </c>
      <c r="L28" s="375" t="s">
        <v>325</v>
      </c>
    </row>
    <row r="29" spans="2:12" ht="16">
      <c r="B29" s="31" t="s">
        <v>357</v>
      </c>
      <c r="C29" s="31" t="str">
        <f>C24</f>
        <v>ACMR</v>
      </c>
      <c r="D29" s="395">
        <f>L24</f>
        <v>1.3872519493378439</v>
      </c>
      <c r="E29" s="120">
        <v>5461</v>
      </c>
      <c r="F29" s="396">
        <v>3.3001557194883353E-2</v>
      </c>
      <c r="G29" s="120">
        <v>0</v>
      </c>
      <c r="H29" s="397">
        <v>0</v>
      </c>
      <c r="I29" s="120">
        <v>160016.03999999998</v>
      </c>
      <c r="J29" s="398">
        <v>0.9669984428051166</v>
      </c>
      <c r="K29" s="396">
        <v>0.13200000000000001</v>
      </c>
      <c r="L29" s="395">
        <f>D29*(1+E29/I29*(1-K29)+G29/I29)</f>
        <v>1.4283464518211566</v>
      </c>
    </row>
    <row r="30" spans="2:12" ht="16">
      <c r="B30" s="31" t="s">
        <v>358</v>
      </c>
      <c r="C30" s="395"/>
      <c r="D30" s="395">
        <f>L22</f>
        <v>1.4457411871790729</v>
      </c>
      <c r="E30" s="120">
        <f>(E29+I29)*F30</f>
        <v>2638.2985507911844</v>
      </c>
      <c r="F30" s="397">
        <f>F22</f>
        <v>1.5943592844005337E-2</v>
      </c>
      <c r="G30" s="120">
        <v>0</v>
      </c>
      <c r="H30" s="397">
        <v>0</v>
      </c>
      <c r="I30" s="120">
        <f>(I29+E29)*J30</f>
        <v>162838.74144920878</v>
      </c>
      <c r="J30" s="399">
        <f>J22</f>
        <v>0.98405640715599463</v>
      </c>
      <c r="K30" s="396">
        <v>0.13200000000000001</v>
      </c>
      <c r="L30" s="395">
        <f>D30*(1+E30/I30*(1-K30)+G30/I30)</f>
        <v>1.4660730176849261</v>
      </c>
    </row>
    <row r="31" spans="2:12" ht="16">
      <c r="B31" s="10"/>
      <c r="C31" s="400"/>
      <c r="D31" s="10"/>
      <c r="E31" s="10"/>
      <c r="F31" s="10"/>
      <c r="G31" s="10"/>
      <c r="H31" s="10"/>
      <c r="I31" s="10"/>
      <c r="J31" s="10"/>
      <c r="K31" s="10"/>
      <c r="L31" s="10"/>
    </row>
    <row r="32" spans="2:12" ht="16">
      <c r="B32" s="401" t="s">
        <v>359</v>
      </c>
      <c r="C32" s="401"/>
      <c r="D32" s="401"/>
      <c r="E32" s="401"/>
      <c r="F32" s="401"/>
      <c r="G32" s="401"/>
      <c r="H32" s="401"/>
      <c r="I32" s="401"/>
      <c r="J32" s="401"/>
      <c r="K32" s="401"/>
      <c r="L32" s="402">
        <f>Risk_Free_Rate+Equity_Risk_Premium*L29</f>
        <v>9.4992125813740474E-2</v>
      </c>
    </row>
    <row r="33" spans="2:12" ht="16">
      <c r="B33" s="401" t="s">
        <v>360</v>
      </c>
      <c r="C33" s="401"/>
      <c r="D33" s="401"/>
      <c r="E33" s="401"/>
      <c r="F33" s="401"/>
      <c r="G33" s="401"/>
      <c r="H33" s="401"/>
      <c r="I33" s="401"/>
      <c r="J33" s="401"/>
      <c r="K33" s="401"/>
      <c r="L33" s="402">
        <f>Risk_Free_Rate+Equity_Risk_Premium*L30</f>
        <v>9.6312555618972423E-2</v>
      </c>
    </row>
    <row r="34" spans="2:12" ht="16">
      <c r="B34" s="401" t="s">
        <v>361</v>
      </c>
      <c r="C34" s="401"/>
      <c r="D34" s="401"/>
      <c r="E34" s="401"/>
      <c r="F34" s="401"/>
      <c r="G34" s="401"/>
      <c r="H34" s="401"/>
      <c r="I34" s="401"/>
      <c r="J34" s="401"/>
      <c r="K34" s="401"/>
      <c r="L34" s="402">
        <f>Risk_Free_Rate+Equity_Risk_Premium*D24</f>
        <v>9.6799999999999997E-2</v>
      </c>
    </row>
    <row r="35" spans="2:12" ht="16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</row>
    <row r="36" spans="2:12" ht="16">
      <c r="B36" s="401" t="s">
        <v>362</v>
      </c>
      <c r="C36" s="401"/>
      <c r="D36" s="401"/>
      <c r="E36" s="401"/>
      <c r="F36" s="401"/>
      <c r="G36" s="401"/>
      <c r="H36" s="401"/>
      <c r="I36" s="401"/>
      <c r="J36" s="401"/>
      <c r="K36" s="401"/>
      <c r="L36" s="402">
        <f>L32*J29+Cost_of_Debt*(1-K29)*F29+Cost_of_Preferred*H29</f>
        <v>9.2984049914802525E-2</v>
      </c>
    </row>
    <row r="37" spans="2:12" ht="16">
      <c r="B37" s="401" t="s">
        <v>363</v>
      </c>
      <c r="C37" s="401"/>
      <c r="D37" s="401"/>
      <c r="E37" s="401"/>
      <c r="F37" s="401"/>
      <c r="G37" s="401"/>
      <c r="H37" s="401"/>
      <c r="I37" s="401"/>
      <c r="J37" s="401"/>
      <c r="K37" s="401"/>
      <c r="L37" s="402">
        <f>L33*J30+Cost_of_Debt*(1-K30)*F30+Cost_of_Preferred*H30</f>
        <v>9.5321368864861547E-2</v>
      </c>
    </row>
    <row r="38" spans="2:12" ht="16">
      <c r="B38" s="401" t="s">
        <v>364</v>
      </c>
      <c r="C38" s="401"/>
      <c r="D38" s="401"/>
      <c r="E38" s="401"/>
      <c r="F38" s="401"/>
      <c r="G38" s="401"/>
      <c r="H38" s="401"/>
      <c r="I38" s="401"/>
      <c r="J38" s="401"/>
      <c r="K38" s="401"/>
      <c r="L38" s="402">
        <f>L34*J29+Cost_of_Debt*(1-K29)*F29+Cost_of_Preferred*H29</f>
        <v>9.4732261437703053E-2</v>
      </c>
    </row>
    <row r="39" spans="2:12" ht="16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</row>
    <row r="40" spans="2:12" ht="16">
      <c r="B40" s="401" t="s">
        <v>365</v>
      </c>
      <c r="C40" s="401"/>
      <c r="D40" s="401"/>
      <c r="E40" s="401"/>
      <c r="F40" s="401"/>
      <c r="G40" s="401"/>
      <c r="H40" s="401"/>
      <c r="I40" s="401"/>
      <c r="J40" s="401"/>
      <c r="K40" s="401"/>
      <c r="L40" s="403">
        <f>AVERAGE(L36:L38)</f>
        <v>9.4345893405789027E-2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BE24-2807-4A12-984C-DE2FF5B769A9}">
  <dimension ref="A2:BO40"/>
  <sheetViews>
    <sheetView showGridLines="0" topLeftCell="A5" zoomScale="79" workbookViewId="0">
      <selection activeCell="C10" sqref="C10"/>
    </sheetView>
  </sheetViews>
  <sheetFormatPr defaultRowHeight="14.5"/>
  <cols>
    <col min="2" max="2" width="23.453125" bestFit="1" customWidth="1"/>
    <col min="3" max="3" width="7.6328125" bestFit="1" customWidth="1"/>
    <col min="4" max="4" width="10.453125" bestFit="1" customWidth="1"/>
    <col min="5" max="5" width="8.453125" bestFit="1" customWidth="1"/>
    <col min="6" max="6" width="13.7265625" bestFit="1" customWidth="1"/>
    <col min="7" max="8" width="8.453125" bestFit="1" customWidth="1"/>
    <col min="9" max="10" width="10.7265625" bestFit="1" customWidth="1"/>
    <col min="11" max="11" width="10.26953125" bestFit="1" customWidth="1"/>
    <col min="12" max="12" width="9" bestFit="1" customWidth="1"/>
    <col min="13" max="13" width="13.7265625" bestFit="1" customWidth="1"/>
    <col min="14" max="16" width="12.453125" bestFit="1" customWidth="1"/>
    <col min="17" max="17" width="12" bestFit="1" customWidth="1"/>
    <col min="18" max="19" width="12.453125" bestFit="1" customWidth="1"/>
    <col min="20" max="20" width="12" bestFit="1" customWidth="1"/>
    <col min="21" max="22" width="12.453125" bestFit="1" customWidth="1"/>
    <col min="23" max="27" width="8.81640625" bestFit="1" customWidth="1"/>
    <col min="28" max="33" width="10.1796875" bestFit="1" customWidth="1"/>
  </cols>
  <sheetData>
    <row r="2" spans="2:67" ht="16">
      <c r="B2" s="280" t="s">
        <v>306</v>
      </c>
      <c r="C2" s="140"/>
      <c r="D2" s="140"/>
      <c r="E2" s="140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2:67" ht="16">
      <c r="B3" s="31" t="s">
        <v>307</v>
      </c>
      <c r="C3" s="31"/>
      <c r="D3" s="140"/>
      <c r="E3" s="140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</row>
    <row r="4" spans="2:67" ht="16">
      <c r="B4" s="31"/>
      <c r="C4" s="31"/>
      <c r="D4" s="140"/>
      <c r="E4" s="140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 spans="2:67" ht="16">
      <c r="B5" s="281" t="s">
        <v>81</v>
      </c>
      <c r="C5" s="282" t="s">
        <v>84</v>
      </c>
      <c r="D5" s="283" t="s">
        <v>259</v>
      </c>
      <c r="E5" s="246" t="s">
        <v>271</v>
      </c>
      <c r="F5" s="197" t="s">
        <v>273</v>
      </c>
      <c r="G5" s="197" t="s">
        <v>275</v>
      </c>
      <c r="H5" s="192" t="s">
        <v>92</v>
      </c>
      <c r="I5" s="212" t="s">
        <v>248</v>
      </c>
      <c r="J5" s="212" t="s">
        <v>251</v>
      </c>
      <c r="K5" s="212" t="s">
        <v>144</v>
      </c>
      <c r="L5" s="212" t="s">
        <v>147</v>
      </c>
      <c r="M5" s="197" t="s">
        <v>274</v>
      </c>
      <c r="N5" s="197" t="s">
        <v>241</v>
      </c>
      <c r="O5" s="192" t="s">
        <v>519</v>
      </c>
      <c r="P5" s="197" t="s">
        <v>520</v>
      </c>
      <c r="Q5" s="197" t="s">
        <v>246</v>
      </c>
      <c r="R5" s="284" t="s">
        <v>308</v>
      </c>
      <c r="S5" s="197" t="s">
        <v>521</v>
      </c>
      <c r="T5" s="197" t="s">
        <v>242</v>
      </c>
      <c r="U5" s="212" t="s">
        <v>309</v>
      </c>
      <c r="V5" s="197" t="s">
        <v>310</v>
      </c>
      <c r="W5" s="197" t="s">
        <v>281</v>
      </c>
      <c r="X5" s="197" t="s">
        <v>282</v>
      </c>
      <c r="Y5" s="197" t="s">
        <v>283</v>
      </c>
      <c r="Z5" s="197" t="s">
        <v>522</v>
      </c>
      <c r="AA5" s="197" t="s">
        <v>523</v>
      </c>
      <c r="AB5" s="197"/>
      <c r="AC5" s="31"/>
    </row>
    <row r="6" spans="2:67" ht="16">
      <c r="B6" s="285" t="s">
        <v>311</v>
      </c>
      <c r="C6" s="286"/>
      <c r="D6" s="286"/>
      <c r="E6" s="286"/>
      <c r="F6" s="287" t="s">
        <v>312</v>
      </c>
      <c r="G6" s="287"/>
      <c r="H6" s="287"/>
      <c r="I6" s="287"/>
      <c r="J6" s="287"/>
      <c r="K6" s="287"/>
      <c r="L6" s="287"/>
      <c r="M6" s="288"/>
      <c r="N6" s="289"/>
      <c r="O6" s="289"/>
      <c r="P6" s="289"/>
      <c r="Q6" s="289"/>
      <c r="R6" s="289"/>
      <c r="S6" s="289"/>
      <c r="T6" s="289"/>
      <c r="U6" s="289"/>
      <c r="V6" s="289"/>
      <c r="W6" s="290" t="s">
        <v>313</v>
      </c>
      <c r="X6" s="290" t="s">
        <v>313</v>
      </c>
      <c r="Y6" s="287"/>
      <c r="Z6" s="287"/>
      <c r="AA6" s="291"/>
    </row>
    <row r="7" spans="2:67" ht="16">
      <c r="B7" s="289"/>
      <c r="C7" s="289"/>
      <c r="D7" s="290" t="s">
        <v>314</v>
      </c>
      <c r="E7" s="290" t="s">
        <v>315</v>
      </c>
      <c r="F7" s="290" t="s">
        <v>316</v>
      </c>
      <c r="G7" s="290"/>
      <c r="H7" s="290"/>
      <c r="I7" s="290"/>
      <c r="J7" s="290"/>
      <c r="K7" s="290"/>
      <c r="L7" s="290" t="s">
        <v>317</v>
      </c>
      <c r="M7" s="290" t="s">
        <v>318</v>
      </c>
      <c r="N7" s="287" t="s">
        <v>0</v>
      </c>
      <c r="O7" s="287"/>
      <c r="P7" s="287"/>
      <c r="Q7" s="287" t="s">
        <v>110</v>
      </c>
      <c r="R7" s="287"/>
      <c r="S7" s="287"/>
      <c r="T7" s="287" t="s">
        <v>319</v>
      </c>
      <c r="U7" s="287"/>
      <c r="V7" s="287"/>
      <c r="W7" s="290" t="s">
        <v>0</v>
      </c>
      <c r="X7" s="290" t="s">
        <v>110</v>
      </c>
      <c r="Y7" s="287" t="s">
        <v>171</v>
      </c>
      <c r="Z7" s="287"/>
      <c r="AA7" s="287"/>
      <c r="AF7" s="192" t="s">
        <v>84</v>
      </c>
      <c r="AG7" s="193"/>
      <c r="AH7" s="194"/>
      <c r="AI7" s="194"/>
      <c r="AJ7" s="195"/>
      <c r="AK7" s="196" t="str">
        <f>Ticker</f>
        <v>ACMR</v>
      </c>
      <c r="AL7" s="197"/>
      <c r="AM7" s="194"/>
      <c r="AN7" s="194"/>
      <c r="AO7" s="195"/>
      <c r="AP7" s="196" t="s">
        <v>294</v>
      </c>
      <c r="AQ7" s="197"/>
      <c r="AR7" s="194"/>
      <c r="AS7" s="194"/>
      <c r="AT7" s="195"/>
      <c r="AU7" s="196" t="s">
        <v>296</v>
      </c>
      <c r="AV7" s="197"/>
      <c r="AW7" s="194"/>
      <c r="AX7" s="194"/>
      <c r="AY7" s="195"/>
      <c r="AZ7" s="196" t="s">
        <v>298</v>
      </c>
      <c r="BA7" s="197"/>
      <c r="BB7" s="194"/>
      <c r="BC7" s="194"/>
      <c r="BD7" s="195"/>
      <c r="BE7" s="196" t="s">
        <v>300</v>
      </c>
      <c r="BF7" s="197"/>
      <c r="BG7" s="194"/>
      <c r="BH7" s="194"/>
      <c r="BI7" s="195"/>
      <c r="BJ7" s="196" t="s">
        <v>302</v>
      </c>
      <c r="BK7" s="198"/>
      <c r="BL7" s="194"/>
      <c r="BM7" s="194"/>
      <c r="BN7" s="195"/>
      <c r="BO7" s="196" t="s">
        <v>304</v>
      </c>
    </row>
    <row r="8" spans="2:67" ht="16">
      <c r="B8" s="292" t="s">
        <v>320</v>
      </c>
      <c r="C8" s="292" t="s">
        <v>321</v>
      </c>
      <c r="D8" s="293" t="s">
        <v>322</v>
      </c>
      <c r="E8" s="293" t="s">
        <v>323</v>
      </c>
      <c r="F8" s="293" t="s">
        <v>324</v>
      </c>
      <c r="G8" s="293" t="s">
        <v>325</v>
      </c>
      <c r="H8" s="293" t="s">
        <v>326</v>
      </c>
      <c r="I8" s="293" t="s">
        <v>327</v>
      </c>
      <c r="J8" s="293" t="s">
        <v>328</v>
      </c>
      <c r="K8" s="293" t="s">
        <v>329</v>
      </c>
      <c r="L8" s="293" t="s">
        <v>330</v>
      </c>
      <c r="M8" s="293" t="s">
        <v>331</v>
      </c>
      <c r="N8" s="294" t="s">
        <v>240</v>
      </c>
      <c r="O8" s="295">
        <v>46022</v>
      </c>
      <c r="P8" s="295">
        <f>EOMONTH(O8,12)</f>
        <v>46387</v>
      </c>
      <c r="Q8" s="294" t="str">
        <f>$N$8</f>
        <v>LTM</v>
      </c>
      <c r="R8" s="295">
        <f>+$O$8</f>
        <v>46022</v>
      </c>
      <c r="S8" s="295">
        <f>+$P$8</f>
        <v>46387</v>
      </c>
      <c r="T8" s="294" t="str">
        <f>$N$8</f>
        <v>LTM</v>
      </c>
      <c r="U8" s="295">
        <f>+$O$8</f>
        <v>46022</v>
      </c>
      <c r="V8" s="295">
        <f>+$P$8</f>
        <v>46387</v>
      </c>
      <c r="W8" s="293" t="s">
        <v>332</v>
      </c>
      <c r="X8" s="293" t="s">
        <v>332</v>
      </c>
      <c r="Y8" s="294" t="str">
        <f>$N$8</f>
        <v>LTM</v>
      </c>
      <c r="Z8" s="295">
        <f>+$O$8</f>
        <v>46022</v>
      </c>
      <c r="AA8" s="295">
        <f>+$P$8</f>
        <v>46387</v>
      </c>
    </row>
    <row r="9" spans="2:67" ht="16">
      <c r="B9" s="281" t="str">
        <f t="shared" ref="B9:B14" si="0">INDEX(Pub_Comps_Range,MATCH(B$5,Pub_Comps_Params,0),MATCH($C9,Pub_Comps_Tickers,0))</f>
        <v>Onto Innovation Inc.</v>
      </c>
      <c r="C9" t="s">
        <v>294</v>
      </c>
      <c r="D9" s="463">
        <f t="shared" ref="D9:M14" si="1">INDEX(Pub_Comps_Range,MATCH(D$5,Pub_Comps_Params,0),MATCH($C9,Pub_Comps_Tickers,0))</f>
        <v>92.74</v>
      </c>
      <c r="E9" s="463">
        <f t="shared" si="1"/>
        <v>48.9</v>
      </c>
      <c r="F9" s="463">
        <f t="shared" si="1"/>
        <v>4534.9859999999999</v>
      </c>
      <c r="G9" s="281">
        <f t="shared" si="1"/>
        <v>1.45</v>
      </c>
      <c r="H9" s="361">
        <f t="shared" si="1"/>
        <v>8.5000000000000006E-2</v>
      </c>
      <c r="I9" s="463">
        <f t="shared" si="1"/>
        <v>-850.6</v>
      </c>
      <c r="J9" s="463">
        <f t="shared" si="1"/>
        <v>14.6</v>
      </c>
      <c r="K9" s="463">
        <f t="shared" si="1"/>
        <v>0</v>
      </c>
      <c r="L9" s="463">
        <f t="shared" si="1"/>
        <v>0</v>
      </c>
      <c r="M9" s="463">
        <f t="shared" si="1"/>
        <v>3698.9859999999999</v>
      </c>
      <c r="N9" s="463">
        <f t="shared" ref="N9:AA14" si="2">INDEX(Pub_Comps_Range,MATCH(N$5,Pub_Comps_Params,0),MATCH($C9,Pub_Comps_Tickers,0))</f>
        <v>1025.0800000000002</v>
      </c>
      <c r="O9" s="463">
        <f t="shared" si="2"/>
        <v>1003</v>
      </c>
      <c r="P9" s="463">
        <f t="shared" si="2"/>
        <v>1087</v>
      </c>
      <c r="Q9" s="463">
        <f t="shared" si="2"/>
        <v>268.99</v>
      </c>
      <c r="R9" s="463">
        <f t="shared" si="2"/>
        <v>272</v>
      </c>
      <c r="S9" s="463">
        <f t="shared" si="2"/>
        <v>315</v>
      </c>
      <c r="T9" s="463">
        <f t="shared" si="2"/>
        <v>218.92</v>
      </c>
      <c r="U9" s="463">
        <f t="shared" si="2"/>
        <v>253</v>
      </c>
      <c r="V9" s="463">
        <f t="shared" si="2"/>
        <v>291</v>
      </c>
      <c r="W9" s="361">
        <f t="shared" si="2"/>
        <v>8.3748753738783543E-2</v>
      </c>
      <c r="X9" s="361">
        <f t="shared" si="2"/>
        <v>0.15808823529411775</v>
      </c>
      <c r="Y9" s="361">
        <f t="shared" si="2"/>
        <v>0.2624087876068209</v>
      </c>
      <c r="Z9" s="361">
        <f t="shared" si="2"/>
        <v>0.2711864406779661</v>
      </c>
      <c r="AA9" s="361">
        <f t="shared" si="2"/>
        <v>0.28978840846366144</v>
      </c>
      <c r="AE9" s="197"/>
    </row>
    <row r="10" spans="2:67" ht="16">
      <c r="B10" s="281" t="str">
        <f t="shared" si="0"/>
        <v>Axcelis Technologies, Inc.</v>
      </c>
      <c r="C10" t="s">
        <v>296</v>
      </c>
      <c r="D10" s="463">
        <f t="shared" si="1"/>
        <v>56.46</v>
      </c>
      <c r="E10" s="463">
        <f t="shared" si="1"/>
        <v>32.1</v>
      </c>
      <c r="F10" s="463">
        <f t="shared" si="1"/>
        <v>1812.3660000000002</v>
      </c>
      <c r="G10" s="281">
        <f t="shared" si="1"/>
        <v>1.52</v>
      </c>
      <c r="H10" s="361">
        <f t="shared" si="1"/>
        <v>0.129</v>
      </c>
      <c r="I10" s="463">
        <f t="shared" si="1"/>
        <v>-587.1</v>
      </c>
      <c r="J10" s="463">
        <f t="shared" si="1"/>
        <v>-72.400000000000006</v>
      </c>
      <c r="K10" s="463">
        <f t="shared" si="1"/>
        <v>0</v>
      </c>
      <c r="L10" s="463">
        <f t="shared" si="1"/>
        <v>0</v>
      </c>
      <c r="M10" s="463">
        <f t="shared" si="1"/>
        <v>1152.8660000000002</v>
      </c>
      <c r="N10" s="463">
        <f t="shared" si="2"/>
        <v>958.06000000000006</v>
      </c>
      <c r="O10" s="463">
        <f t="shared" si="2"/>
        <v>753</v>
      </c>
      <c r="P10" s="463">
        <f t="shared" si="2"/>
        <v>810</v>
      </c>
      <c r="Q10" s="463">
        <f t="shared" si="2"/>
        <v>192.95</v>
      </c>
      <c r="R10" s="463">
        <f t="shared" si="2"/>
        <v>108</v>
      </c>
      <c r="S10" s="463">
        <f t="shared" si="2"/>
        <v>118</v>
      </c>
      <c r="T10" s="463">
        <f t="shared" si="2"/>
        <v>177.97</v>
      </c>
      <c r="U10" s="463">
        <f t="shared" si="2"/>
        <v>103</v>
      </c>
      <c r="V10" s="463">
        <f t="shared" si="2"/>
        <v>118</v>
      </c>
      <c r="W10" s="361">
        <f t="shared" si="2"/>
        <v>7.5697211155378419E-2</v>
      </c>
      <c r="X10" s="361">
        <f t="shared" si="2"/>
        <v>9.259259259259256E-2</v>
      </c>
      <c r="Y10" s="361">
        <f t="shared" si="2"/>
        <v>0.20139657223973445</v>
      </c>
      <c r="Z10" s="361">
        <f t="shared" si="2"/>
        <v>0.14342629482071714</v>
      </c>
      <c r="AA10" s="361">
        <f t="shared" si="2"/>
        <v>0.14567901234567901</v>
      </c>
      <c r="AE10" s="197"/>
    </row>
    <row r="11" spans="2:67" ht="16">
      <c r="B11" s="281" t="str">
        <f t="shared" si="0"/>
        <v>FormFactor, Inc.</v>
      </c>
      <c r="C11" t="s">
        <v>298</v>
      </c>
      <c r="D11" s="463">
        <f t="shared" si="1"/>
        <v>30.02</v>
      </c>
      <c r="E11" s="463">
        <f t="shared" si="1"/>
        <v>77.099999999999994</v>
      </c>
      <c r="F11" s="463">
        <f t="shared" si="1"/>
        <v>2314.5419999999999</v>
      </c>
      <c r="G11" s="281">
        <f t="shared" si="1"/>
        <v>1.1200000000000001</v>
      </c>
      <c r="H11" s="361">
        <f t="shared" si="1"/>
        <v>0.123</v>
      </c>
      <c r="I11" s="463">
        <f t="shared" si="1"/>
        <v>-299</v>
      </c>
      <c r="J11" s="463">
        <f t="shared" si="1"/>
        <v>37.5</v>
      </c>
      <c r="K11" s="463">
        <f t="shared" si="1"/>
        <v>0</v>
      </c>
      <c r="L11" s="463">
        <f t="shared" si="1"/>
        <v>0</v>
      </c>
      <c r="M11" s="463">
        <f t="shared" si="1"/>
        <v>2053.0419999999999</v>
      </c>
      <c r="N11" s="463">
        <f t="shared" si="2"/>
        <v>766.23</v>
      </c>
      <c r="O11" s="463">
        <f t="shared" si="2"/>
        <v>768</v>
      </c>
      <c r="P11" s="463">
        <f t="shared" si="2"/>
        <v>824</v>
      </c>
      <c r="Q11" s="463">
        <f t="shared" si="2"/>
        <v>80.34</v>
      </c>
      <c r="R11" s="463">
        <f t="shared" si="2"/>
        <v>118</v>
      </c>
      <c r="S11" s="463">
        <f t="shared" si="2"/>
        <v>153</v>
      </c>
      <c r="T11" s="463">
        <f t="shared" si="2"/>
        <v>54.230000000000004</v>
      </c>
      <c r="U11" s="463">
        <f t="shared" si="2"/>
        <v>51</v>
      </c>
      <c r="V11" s="463">
        <f t="shared" si="2"/>
        <v>78</v>
      </c>
      <c r="W11" s="361">
        <f t="shared" si="2"/>
        <v>7.2916666666666741E-2</v>
      </c>
      <c r="X11" s="361">
        <f t="shared" si="2"/>
        <v>0.29661016949152552</v>
      </c>
      <c r="Y11" s="361">
        <f t="shared" si="2"/>
        <v>0.10485102384401551</v>
      </c>
      <c r="Z11" s="361">
        <f t="shared" si="2"/>
        <v>0.15364583333333334</v>
      </c>
      <c r="AA11" s="361">
        <f t="shared" si="2"/>
        <v>0.18567961165048544</v>
      </c>
      <c r="AE11" s="197"/>
    </row>
    <row r="12" spans="2:67" ht="16">
      <c r="B12" s="281" t="str">
        <f t="shared" si="0"/>
        <v>Ultra Clean Holdings, Inc.</v>
      </c>
      <c r="C12" t="s">
        <v>300</v>
      </c>
      <c r="D12" s="463">
        <f t="shared" si="1"/>
        <v>19.559999999999999</v>
      </c>
      <c r="E12" s="463">
        <f t="shared" si="1"/>
        <v>45.1</v>
      </c>
      <c r="F12" s="463">
        <f t="shared" si="1"/>
        <v>882.15599999999995</v>
      </c>
      <c r="G12" s="281">
        <f t="shared" si="1"/>
        <v>2.0499999999999998</v>
      </c>
      <c r="H12" s="361">
        <f t="shared" si="1"/>
        <v>0.48699999999999999</v>
      </c>
      <c r="I12" s="463">
        <f t="shared" si="1"/>
        <v>-317.60000000000002</v>
      </c>
      <c r="J12" s="463">
        <f t="shared" si="1"/>
        <v>646.4</v>
      </c>
      <c r="K12" s="463">
        <f t="shared" si="1"/>
        <v>0</v>
      </c>
      <c r="L12" s="463">
        <f t="shared" si="1"/>
        <v>64.8</v>
      </c>
      <c r="M12" s="463">
        <f t="shared" si="1"/>
        <v>1275.7559999999999</v>
      </c>
      <c r="N12" s="463">
        <f t="shared" si="2"/>
        <v>2138.5</v>
      </c>
      <c r="O12" s="463">
        <f t="shared" si="2"/>
        <v>2017</v>
      </c>
      <c r="P12" s="463">
        <f t="shared" si="2"/>
        <v>2054</v>
      </c>
      <c r="Q12" s="463">
        <f t="shared" si="2"/>
        <v>111.9</v>
      </c>
      <c r="R12" s="463">
        <f t="shared" si="2"/>
        <v>157</v>
      </c>
      <c r="S12" s="463">
        <f t="shared" si="2"/>
        <v>150</v>
      </c>
      <c r="T12" s="463">
        <f t="shared" si="2"/>
        <v>19.299999999999997</v>
      </c>
      <c r="U12" s="463">
        <f t="shared" si="2"/>
        <v>51</v>
      </c>
      <c r="V12" s="463">
        <f t="shared" si="2"/>
        <v>62</v>
      </c>
      <c r="W12" s="361">
        <f t="shared" si="2"/>
        <v>1.8344075359444822E-2</v>
      </c>
      <c r="X12" s="361">
        <f t="shared" si="2"/>
        <v>-4.4585987261146487E-2</v>
      </c>
      <c r="Y12" s="361">
        <f t="shared" si="2"/>
        <v>5.2326397007248074E-2</v>
      </c>
      <c r="Z12" s="361">
        <f t="shared" si="2"/>
        <v>7.7838373822508675E-2</v>
      </c>
      <c r="AA12" s="361">
        <f t="shared" si="2"/>
        <v>7.3028237585199607E-2</v>
      </c>
      <c r="AD12" s="197"/>
      <c r="AE12" s="197"/>
    </row>
    <row r="13" spans="2:67" ht="16">
      <c r="B13" s="281" t="str">
        <f t="shared" si="0"/>
        <v>Veeco Instruments Inc.</v>
      </c>
      <c r="C13" t="s">
        <v>302</v>
      </c>
      <c r="D13" s="463">
        <f t="shared" si="1"/>
        <v>19.34</v>
      </c>
      <c r="E13" s="463">
        <f t="shared" si="1"/>
        <v>58.3</v>
      </c>
      <c r="F13" s="463">
        <f t="shared" si="1"/>
        <v>1127.5219999999999</v>
      </c>
      <c r="G13" s="281">
        <f t="shared" si="1"/>
        <v>1.1000000000000001</v>
      </c>
      <c r="H13" s="361">
        <f t="shared" si="1"/>
        <v>0.13</v>
      </c>
      <c r="I13" s="463">
        <f t="shared" si="1"/>
        <v>-353.3</v>
      </c>
      <c r="J13" s="463">
        <f t="shared" si="1"/>
        <v>287.5</v>
      </c>
      <c r="K13" s="463">
        <f t="shared" si="1"/>
        <v>0</v>
      </c>
      <c r="L13" s="463">
        <f t="shared" si="1"/>
        <v>0</v>
      </c>
      <c r="M13" s="463">
        <f t="shared" si="1"/>
        <v>1061.722</v>
      </c>
      <c r="N13" s="463">
        <f t="shared" si="2"/>
        <v>710.1099999999999</v>
      </c>
      <c r="O13" s="463">
        <f t="shared" si="2"/>
        <v>647</v>
      </c>
      <c r="P13" s="463">
        <f t="shared" si="2"/>
        <v>713</v>
      </c>
      <c r="Q13" s="463">
        <f t="shared" si="2"/>
        <v>133.88</v>
      </c>
      <c r="R13" s="463">
        <f t="shared" si="2"/>
        <v>97</v>
      </c>
      <c r="S13" s="463">
        <f t="shared" si="2"/>
        <v>104</v>
      </c>
      <c r="T13" s="463">
        <f t="shared" si="2"/>
        <v>107.50999999999999</v>
      </c>
      <c r="U13" s="463">
        <f t="shared" si="2"/>
        <v>65</v>
      </c>
      <c r="V13" s="463">
        <f t="shared" si="2"/>
        <v>92</v>
      </c>
      <c r="W13" s="361">
        <f t="shared" si="2"/>
        <v>0.10200927357032463</v>
      </c>
      <c r="X13" s="361">
        <f t="shared" si="2"/>
        <v>7.2164948453608213E-2</v>
      </c>
      <c r="Y13" s="361">
        <f t="shared" si="2"/>
        <v>0.1885341707622763</v>
      </c>
      <c r="Z13" s="361">
        <f t="shared" si="2"/>
        <v>0.14992272024729522</v>
      </c>
      <c r="AA13" s="361">
        <f t="shared" si="2"/>
        <v>0.1458625525946704</v>
      </c>
      <c r="AE13" s="197"/>
      <c r="AF13" t="s">
        <v>102</v>
      </c>
    </row>
    <row r="14" spans="2:67" ht="16">
      <c r="B14" s="281" t="str">
        <f t="shared" si="0"/>
        <v>Entegris, Inc.</v>
      </c>
      <c r="C14" t="s">
        <v>304</v>
      </c>
      <c r="D14" s="463">
        <f t="shared" si="1"/>
        <v>68.38</v>
      </c>
      <c r="E14" s="463">
        <f t="shared" si="1"/>
        <v>151.4</v>
      </c>
      <c r="F14" s="463">
        <f t="shared" si="1"/>
        <v>10352.732</v>
      </c>
      <c r="G14" s="281">
        <f t="shared" si="1"/>
        <v>1.24</v>
      </c>
      <c r="H14" s="361">
        <f t="shared" si="1"/>
        <v>8.5999999999999993E-2</v>
      </c>
      <c r="I14" s="463">
        <f t="shared" si="1"/>
        <v>-345.6</v>
      </c>
      <c r="J14" s="463">
        <f t="shared" si="1"/>
        <v>4055.2</v>
      </c>
      <c r="K14" s="463">
        <f t="shared" si="1"/>
        <v>0</v>
      </c>
      <c r="L14" s="463">
        <f t="shared" si="1"/>
        <v>0</v>
      </c>
      <c r="M14" s="463">
        <f t="shared" si="1"/>
        <v>14062.332</v>
      </c>
      <c r="N14" s="463">
        <f t="shared" si="2"/>
        <v>3243.41</v>
      </c>
      <c r="O14" s="463">
        <f t="shared" si="2"/>
        <v>3180</v>
      </c>
      <c r="P14" s="463">
        <f t="shared" si="2"/>
        <v>3518</v>
      </c>
      <c r="Q14" s="463">
        <f t="shared" si="2"/>
        <v>536.35</v>
      </c>
      <c r="R14" s="463">
        <f t="shared" si="2"/>
        <v>917</v>
      </c>
      <c r="S14" s="463">
        <f t="shared" si="2"/>
        <v>1071</v>
      </c>
      <c r="T14" s="463">
        <f t="shared" si="2"/>
        <v>7177</v>
      </c>
      <c r="U14" s="463">
        <f t="shared" si="2"/>
        <v>434</v>
      </c>
      <c r="V14" s="463">
        <f t="shared" si="2"/>
        <v>573</v>
      </c>
      <c r="W14" s="361">
        <f t="shared" si="2"/>
        <v>0.10628930817610072</v>
      </c>
      <c r="X14" s="361">
        <f t="shared" si="2"/>
        <v>0.16793893129770998</v>
      </c>
      <c r="Y14" s="361">
        <f t="shared" si="2"/>
        <v>0.16536608076068091</v>
      </c>
      <c r="Z14" s="361">
        <f t="shared" si="2"/>
        <v>0.28836477987421383</v>
      </c>
      <c r="AA14" s="361">
        <f t="shared" si="2"/>
        <v>0.30443433769187039</v>
      </c>
      <c r="AE14" s="197"/>
    </row>
    <row r="15" spans="2:67" ht="16">
      <c r="B15" s="299" t="s">
        <v>333</v>
      </c>
      <c r="C15" s="300"/>
      <c r="D15" s="297">
        <f>MAX(D9:D13)</f>
        <v>92.74</v>
      </c>
      <c r="E15" s="297"/>
      <c r="F15" s="301">
        <f>MAX(F9:F13)</f>
        <v>4534.9859999999999</v>
      </c>
      <c r="G15" s="301"/>
      <c r="H15" s="301"/>
      <c r="I15" s="301"/>
      <c r="J15" s="301"/>
      <c r="K15" s="301"/>
      <c r="L15" s="301"/>
      <c r="M15" s="301">
        <f>MAX(M9:M13)</f>
        <v>3698.9859999999999</v>
      </c>
      <c r="N15" s="301">
        <f>MAX(N9:N13)</f>
        <v>2138.5</v>
      </c>
      <c r="O15" s="301">
        <f>MAX(O9:O13)</f>
        <v>2017</v>
      </c>
      <c r="P15" s="301">
        <f>MAX(P9:P13)</f>
        <v>2054</v>
      </c>
      <c r="Q15" s="301">
        <f>MAX(Q9:Q13)</f>
        <v>268.99</v>
      </c>
      <c r="R15" s="301">
        <f t="shared" ref="R15:S15" si="3">MAX(R9:R13)</f>
        <v>272</v>
      </c>
      <c r="S15" s="301">
        <f t="shared" si="3"/>
        <v>315</v>
      </c>
      <c r="T15" s="301">
        <f>MAX(T9:T13)</f>
        <v>218.92</v>
      </c>
      <c r="U15" s="301">
        <f>MAX(U9:U13)</f>
        <v>253</v>
      </c>
      <c r="V15" s="301">
        <f t="shared" ref="V15:AA15" si="4">MAX(V9:V13)</f>
        <v>291</v>
      </c>
      <c r="W15" s="302">
        <f t="shared" si="4"/>
        <v>0.10200927357032463</v>
      </c>
      <c r="X15" s="302">
        <f t="shared" si="4"/>
        <v>0.29661016949152552</v>
      </c>
      <c r="Y15" s="302">
        <f t="shared" si="4"/>
        <v>0.2624087876068209</v>
      </c>
      <c r="Z15" s="302">
        <f t="shared" si="4"/>
        <v>0.2711864406779661</v>
      </c>
      <c r="AA15" s="303">
        <f t="shared" si="4"/>
        <v>0.28978840846366144</v>
      </c>
      <c r="AE15" s="197"/>
    </row>
    <row r="16" spans="2:67" ht="16">
      <c r="B16" s="304" t="s">
        <v>334</v>
      </c>
      <c r="C16" s="31"/>
      <c r="D16" s="305">
        <f>QUARTILE(D9:D13,3)</f>
        <v>56.46</v>
      </c>
      <c r="E16" s="305"/>
      <c r="F16" s="306">
        <f>QUARTILE(F9:F13,3)</f>
        <v>2314.5419999999999</v>
      </c>
      <c r="G16" s="306"/>
      <c r="H16" s="306"/>
      <c r="I16" s="306"/>
      <c r="J16" s="306"/>
      <c r="K16" s="306"/>
      <c r="L16" s="306"/>
      <c r="M16" s="306">
        <f>QUARTILE(M9:M13,3)</f>
        <v>2053.0419999999999</v>
      </c>
      <c r="N16" s="306">
        <f>QUARTILE(N9:N13,3)</f>
        <v>1025.0800000000002</v>
      </c>
      <c r="O16" s="306">
        <f>QUARTILE(O9:O13,3)</f>
        <v>1003</v>
      </c>
      <c r="P16" s="306">
        <f>QUARTILE(P9:P13,3)</f>
        <v>1087</v>
      </c>
      <c r="Q16" s="306">
        <f>QUARTILE(Q9:Q13,3)</f>
        <v>192.95</v>
      </c>
      <c r="R16" s="306">
        <f t="shared" ref="R16:S16" si="5">QUARTILE(R9:R13,3)</f>
        <v>157</v>
      </c>
      <c r="S16" s="306">
        <f t="shared" si="5"/>
        <v>153</v>
      </c>
      <c r="T16" s="306">
        <f>QUARTILE(T9:T13,3)</f>
        <v>177.97</v>
      </c>
      <c r="U16" s="306">
        <f>QUARTILE(U9:U13,3)</f>
        <v>103</v>
      </c>
      <c r="V16" s="306">
        <f t="shared" ref="V16:AA16" si="6">QUARTILE(V9:V13,3)</f>
        <v>118</v>
      </c>
      <c r="W16" s="307">
        <f t="shared" si="6"/>
        <v>8.3748753738783543E-2</v>
      </c>
      <c r="X16" s="307">
        <f t="shared" si="6"/>
        <v>0.15808823529411775</v>
      </c>
      <c r="Y16" s="307">
        <f t="shared" si="6"/>
        <v>0.20139657223973445</v>
      </c>
      <c r="Z16" s="307">
        <f t="shared" si="6"/>
        <v>0.15364583333333334</v>
      </c>
      <c r="AA16" s="308">
        <f t="shared" si="6"/>
        <v>0.18567961165048544</v>
      </c>
      <c r="AD16" s="197"/>
      <c r="AE16" s="197"/>
    </row>
    <row r="17" spans="1:33" ht="16">
      <c r="B17" s="309" t="s">
        <v>335</v>
      </c>
      <c r="C17" s="310"/>
      <c r="D17" s="311">
        <f>MEDIAN(D9:D13)</f>
        <v>30.02</v>
      </c>
      <c r="E17" s="311"/>
      <c r="F17" s="312">
        <f>MEDIAN(F9:F13)</f>
        <v>1812.3660000000002</v>
      </c>
      <c r="G17" s="312"/>
      <c r="H17" s="312"/>
      <c r="I17" s="313"/>
      <c r="J17" s="313"/>
      <c r="K17" s="313"/>
      <c r="L17" s="313"/>
      <c r="M17" s="312">
        <f>MEDIAN(M9:M13)</f>
        <v>1275.7559999999999</v>
      </c>
      <c r="N17" s="312">
        <f>MEDIAN(N9:N13)</f>
        <v>958.06000000000006</v>
      </c>
      <c r="O17" s="312">
        <f>MEDIAN(O9:O13)</f>
        <v>768</v>
      </c>
      <c r="P17" s="312">
        <f>MEDIAN(P9:P13)</f>
        <v>824</v>
      </c>
      <c r="Q17" s="312">
        <f>MEDIAN(Q9:Q13)</f>
        <v>133.88</v>
      </c>
      <c r="R17" s="312">
        <f t="shared" ref="R17:S17" si="7">MEDIAN(R9:R13)</f>
        <v>118</v>
      </c>
      <c r="S17" s="312">
        <f t="shared" si="7"/>
        <v>150</v>
      </c>
      <c r="T17" s="312">
        <f>MEDIAN(T9:T13)</f>
        <v>107.50999999999999</v>
      </c>
      <c r="U17" s="312">
        <f>MEDIAN(U9:U13)</f>
        <v>65</v>
      </c>
      <c r="V17" s="312">
        <f t="shared" ref="V17:AA17" si="8">MEDIAN(V9:V13)</f>
        <v>92</v>
      </c>
      <c r="W17" s="314">
        <f t="shared" si="8"/>
        <v>7.5697211155378419E-2</v>
      </c>
      <c r="X17" s="314">
        <f t="shared" si="8"/>
        <v>9.259259259259256E-2</v>
      </c>
      <c r="Y17" s="314">
        <f t="shared" si="8"/>
        <v>0.1885341707622763</v>
      </c>
      <c r="Z17" s="314">
        <f t="shared" si="8"/>
        <v>0.14992272024729522</v>
      </c>
      <c r="AA17" s="315">
        <f t="shared" si="8"/>
        <v>0.1458625525946704</v>
      </c>
      <c r="AD17" s="197"/>
      <c r="AE17" s="197"/>
    </row>
    <row r="18" spans="1:33" ht="16">
      <c r="B18" s="304" t="s">
        <v>336</v>
      </c>
      <c r="C18" s="140"/>
      <c r="D18" s="305">
        <f>QUARTILE(D9:D13,1)</f>
        <v>19.559999999999999</v>
      </c>
      <c r="E18" s="305"/>
      <c r="F18" s="306">
        <f>QUARTILE(F9:F13,1)</f>
        <v>1127.5219999999999</v>
      </c>
      <c r="G18" s="306"/>
      <c r="H18" s="306"/>
      <c r="I18" s="306"/>
      <c r="J18" s="306"/>
      <c r="K18" s="306"/>
      <c r="L18" s="306"/>
      <c r="M18" s="306">
        <f>QUARTILE(M9:M13,1)</f>
        <v>1152.8660000000002</v>
      </c>
      <c r="N18" s="306">
        <f>QUARTILE(N9:N13,1)</f>
        <v>766.23</v>
      </c>
      <c r="O18" s="306">
        <f>QUARTILE(O9:O13,1)</f>
        <v>753</v>
      </c>
      <c r="P18" s="306">
        <f>QUARTILE(P9:P13,1)</f>
        <v>810</v>
      </c>
      <c r="Q18" s="306">
        <f>QUARTILE(Q9:Q13,1)</f>
        <v>111.9</v>
      </c>
      <c r="R18" s="306">
        <f t="shared" ref="R18:S18" si="9">QUARTILE(R9:R13,1)</f>
        <v>108</v>
      </c>
      <c r="S18" s="306">
        <f t="shared" si="9"/>
        <v>118</v>
      </c>
      <c r="T18" s="306">
        <f>QUARTILE(T9:T13,1)</f>
        <v>54.230000000000004</v>
      </c>
      <c r="U18" s="306">
        <f>QUARTILE(U9:U13,1)</f>
        <v>51</v>
      </c>
      <c r="V18" s="306">
        <f t="shared" ref="V18:AA18" si="10">QUARTILE(V9:V13,1)</f>
        <v>78</v>
      </c>
      <c r="W18" s="307">
        <f t="shared" si="10"/>
        <v>7.2916666666666741E-2</v>
      </c>
      <c r="X18" s="307">
        <f t="shared" si="10"/>
        <v>7.2164948453608213E-2</v>
      </c>
      <c r="Y18" s="307">
        <f t="shared" si="10"/>
        <v>0.10485102384401551</v>
      </c>
      <c r="Z18" s="307">
        <f t="shared" si="10"/>
        <v>0.14342629482071714</v>
      </c>
      <c r="AA18" s="308">
        <f t="shared" si="10"/>
        <v>0.14567901234567901</v>
      </c>
      <c r="AD18" s="197"/>
      <c r="AE18" s="197"/>
    </row>
    <row r="19" spans="1:33" ht="16">
      <c r="B19" s="316" t="s">
        <v>337</v>
      </c>
      <c r="C19" s="317"/>
      <c r="D19" s="318">
        <f>MIN(D9:D13)</f>
        <v>19.34</v>
      </c>
      <c r="E19" s="318"/>
      <c r="F19" s="319">
        <f>MIN(F9:F13)</f>
        <v>882.15599999999995</v>
      </c>
      <c r="G19" s="319"/>
      <c r="H19" s="319"/>
      <c r="I19" s="319"/>
      <c r="J19" s="319"/>
      <c r="K19" s="319"/>
      <c r="L19" s="319"/>
      <c r="M19" s="319">
        <f>MIN(M9:M13)</f>
        <v>1061.722</v>
      </c>
      <c r="N19" s="319">
        <f>MIN(N9:N13)</f>
        <v>710.1099999999999</v>
      </c>
      <c r="O19" s="319">
        <f>MIN(O9:O13)</f>
        <v>647</v>
      </c>
      <c r="P19" s="319">
        <f>MIN(P9:P13)</f>
        <v>713</v>
      </c>
      <c r="Q19" s="319">
        <f>MIN(Q9:Q13)</f>
        <v>80.34</v>
      </c>
      <c r="R19" s="319">
        <f t="shared" ref="R19:S19" si="11">MIN(R9:R13)</f>
        <v>97</v>
      </c>
      <c r="S19" s="319">
        <f t="shared" si="11"/>
        <v>104</v>
      </c>
      <c r="T19" s="319">
        <f>MIN(T9:T13)</f>
        <v>19.299999999999997</v>
      </c>
      <c r="U19" s="319">
        <f>MIN(U9:U13)</f>
        <v>51</v>
      </c>
      <c r="V19" s="319">
        <f t="shared" ref="V19:AA19" si="12">MIN(V9:V13)</f>
        <v>62</v>
      </c>
      <c r="W19" s="320">
        <f t="shared" si="12"/>
        <v>1.8344075359444822E-2</v>
      </c>
      <c r="X19" s="320">
        <f t="shared" si="12"/>
        <v>-4.4585987261146487E-2</v>
      </c>
      <c r="Y19" s="320">
        <f t="shared" si="12"/>
        <v>5.2326397007248074E-2</v>
      </c>
      <c r="Z19" s="320">
        <f t="shared" si="12"/>
        <v>7.7838373822508675E-2</v>
      </c>
      <c r="AA19" s="321">
        <f t="shared" si="12"/>
        <v>7.3028237585199607E-2</v>
      </c>
      <c r="AD19" s="197"/>
      <c r="AE19" s="197"/>
    </row>
    <row r="20" spans="1:33" ht="16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D20" s="197"/>
      <c r="AE20" s="197"/>
    </row>
    <row r="21" spans="1:33" ht="16">
      <c r="A21" s="322"/>
      <c r="B21" s="323" t="str">
        <f t="shared" ref="B21:L21" si="13">INDEX(Pub_Comps_Range,MATCH(B$5,Pub_Comps_Params,0),MATCH($C21,Pub_Comps_Tickers,0))</f>
        <v>ACM Research, Inc.</v>
      </c>
      <c r="C21" s="324" t="str">
        <f>Ticker</f>
        <v>ACMR</v>
      </c>
      <c r="D21" s="325">
        <f>Share_Price</f>
        <v>21.44</v>
      </c>
      <c r="E21" s="326">
        <f t="shared" si="13"/>
        <v>63.9</v>
      </c>
      <c r="F21" s="327">
        <f t="shared" si="13"/>
        <v>1370.0160000000001</v>
      </c>
      <c r="G21" s="328">
        <f t="shared" si="13"/>
        <v>1.48</v>
      </c>
      <c r="H21" s="329">
        <f t="shared" si="13"/>
        <v>0.20887976144737941</v>
      </c>
      <c r="I21" s="327">
        <f t="shared" si="13"/>
        <v>-411.31</v>
      </c>
      <c r="J21" s="327">
        <f t="shared" si="13"/>
        <v>105.52500000000001</v>
      </c>
      <c r="K21" s="327">
        <f t="shared" si="13"/>
        <v>0</v>
      </c>
      <c r="L21" s="327">
        <f t="shared" si="13"/>
        <v>191.28100000000001</v>
      </c>
      <c r="M21" s="327">
        <f t="shared" ref="M21:V21" si="14">INDEX(Pub_Comps_Range,MATCH(M$5,Pub_Comps_Params,0),MATCH($C21,Pub_Comps_Tickers,0))</f>
        <v>1205.174</v>
      </c>
      <c r="N21" s="327">
        <f t="shared" si="14"/>
        <v>802.28</v>
      </c>
      <c r="O21" s="327">
        <f t="shared" si="14"/>
        <v>970.83399891258102</v>
      </c>
      <c r="P21" s="327">
        <f t="shared" si="14"/>
        <v>1249.20957438961</v>
      </c>
      <c r="Q21" s="327">
        <f t="shared" si="14"/>
        <v>162.02000000000001</v>
      </c>
      <c r="R21" s="327">
        <f t="shared" si="14"/>
        <v>267.87787517877894</v>
      </c>
      <c r="S21" s="327">
        <f t="shared" si="14"/>
        <v>379.96854875773823</v>
      </c>
      <c r="T21" s="327">
        <f t="shared" si="14"/>
        <v>106.57999999999998</v>
      </c>
      <c r="U21" s="327">
        <f t="shared" si="14"/>
        <v>201.44889221906575</v>
      </c>
      <c r="V21" s="327">
        <f t="shared" si="14"/>
        <v>286.12321039038875</v>
      </c>
      <c r="W21" s="330">
        <f t="shared" ref="W21:AA21" si="15">MIN(W10:W15)</f>
        <v>1.8344075359444822E-2</v>
      </c>
      <c r="X21" s="330">
        <f t="shared" si="15"/>
        <v>-4.4585987261146487E-2</v>
      </c>
      <c r="Y21" s="330">
        <f t="shared" si="15"/>
        <v>5.2326397007248074E-2</v>
      </c>
      <c r="Z21" s="330">
        <f t="shared" si="15"/>
        <v>7.7838373822508675E-2</v>
      </c>
      <c r="AA21" s="331">
        <f t="shared" si="15"/>
        <v>7.3028237585199607E-2</v>
      </c>
      <c r="AE21" s="197"/>
    </row>
    <row r="22" spans="1:33" ht="16">
      <c r="B22" s="332"/>
      <c r="C22" s="332"/>
      <c r="D22" s="333"/>
      <c r="E22" s="334"/>
      <c r="F22" s="335"/>
      <c r="G22" s="336"/>
      <c r="H22" s="337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  <c r="V22" s="335"/>
      <c r="W22" s="338"/>
      <c r="X22" s="338"/>
      <c r="Y22" s="338"/>
      <c r="Z22" s="338"/>
      <c r="AA22" s="338"/>
      <c r="AE22" s="197"/>
    </row>
    <row r="23" spans="1:33" ht="16">
      <c r="B23" s="281" t="s">
        <v>81</v>
      </c>
      <c r="C23" s="282" t="s">
        <v>84</v>
      </c>
      <c r="D23" s="283" t="s">
        <v>259</v>
      </c>
      <c r="F23" s="283" t="s">
        <v>273</v>
      </c>
      <c r="M23" s="283" t="s">
        <v>274</v>
      </c>
      <c r="N23" s="197" t="s">
        <v>524</v>
      </c>
      <c r="O23" s="197" t="s">
        <v>525</v>
      </c>
      <c r="P23" s="197" t="s">
        <v>526</v>
      </c>
      <c r="Q23" s="197" t="s">
        <v>527</v>
      </c>
      <c r="R23" s="197" t="s">
        <v>528</v>
      </c>
      <c r="S23" s="197" t="s">
        <v>529</v>
      </c>
      <c r="T23" s="197" t="s">
        <v>338</v>
      </c>
      <c r="U23" s="197" t="s">
        <v>339</v>
      </c>
      <c r="V23" s="197" t="s">
        <v>340</v>
      </c>
      <c r="W23" s="31"/>
      <c r="X23" s="31"/>
      <c r="Y23" s="31"/>
      <c r="Z23" s="31"/>
      <c r="AA23" s="31"/>
      <c r="AE23" s="197"/>
    </row>
    <row r="24" spans="1:33" ht="16">
      <c r="B24" s="286" t="s">
        <v>341</v>
      </c>
      <c r="C24" s="286"/>
      <c r="D24" s="286"/>
      <c r="E24" s="286"/>
      <c r="F24" s="287" t="s">
        <v>312</v>
      </c>
      <c r="G24" s="287"/>
      <c r="H24" s="287"/>
      <c r="I24" s="287"/>
      <c r="J24" s="287"/>
      <c r="K24" s="287"/>
      <c r="L24" s="287"/>
      <c r="M24" s="288"/>
      <c r="N24" s="287" t="s">
        <v>342</v>
      </c>
      <c r="O24" s="288"/>
      <c r="P24" s="288"/>
      <c r="Q24" s="287" t="s">
        <v>342</v>
      </c>
      <c r="R24" s="288"/>
      <c r="S24" s="288"/>
      <c r="T24" s="289"/>
      <c r="U24" s="289"/>
      <c r="V24" s="289"/>
      <c r="W24" s="31"/>
      <c r="X24" s="31"/>
      <c r="Y24" s="31"/>
      <c r="Z24" s="31"/>
      <c r="AA24" s="31"/>
      <c r="AD24" s="197"/>
      <c r="AE24" s="197"/>
    </row>
    <row r="25" spans="1:33" ht="16">
      <c r="B25" s="289"/>
      <c r="C25" s="289"/>
      <c r="D25" s="290"/>
      <c r="E25" s="290"/>
      <c r="F25" s="290" t="s">
        <v>316</v>
      </c>
      <c r="G25" s="290"/>
      <c r="H25" s="290"/>
      <c r="I25" s="290"/>
      <c r="J25" s="290"/>
      <c r="K25" s="290"/>
      <c r="L25" s="290"/>
      <c r="M25" s="290" t="s">
        <v>318</v>
      </c>
      <c r="N25" s="287" t="s">
        <v>0</v>
      </c>
      <c r="O25" s="288"/>
      <c r="P25" s="288"/>
      <c r="Q25" s="287" t="s">
        <v>110</v>
      </c>
      <c r="R25" s="291"/>
      <c r="S25" s="291"/>
      <c r="T25" s="287" t="s">
        <v>343</v>
      </c>
      <c r="U25" s="287"/>
      <c r="V25" s="287"/>
      <c r="W25" s="296"/>
      <c r="X25" s="296"/>
      <c r="Y25" s="339"/>
      <c r="Z25" s="339"/>
      <c r="AA25" s="339"/>
      <c r="AB25" s="339"/>
      <c r="AC25" s="339"/>
      <c r="AE25" s="197"/>
      <c r="AF25" s="339"/>
      <c r="AG25" s="339"/>
    </row>
    <row r="26" spans="1:33" ht="16">
      <c r="B26" s="292" t="s">
        <v>320</v>
      </c>
      <c r="C26" s="292" t="s">
        <v>321</v>
      </c>
      <c r="D26" s="292" t="s">
        <v>486</v>
      </c>
      <c r="E26" s="293"/>
      <c r="F26" s="293" t="s">
        <v>331</v>
      </c>
      <c r="G26" s="293"/>
      <c r="H26" s="293"/>
      <c r="I26" s="293"/>
      <c r="J26" s="293"/>
      <c r="K26" s="293"/>
      <c r="L26" s="293"/>
      <c r="M26" s="293" t="s">
        <v>331</v>
      </c>
      <c r="N26" s="340" t="str">
        <f>$N$8</f>
        <v>LTM</v>
      </c>
      <c r="O26" s="341">
        <f>+$O$8</f>
        <v>46022</v>
      </c>
      <c r="P26" s="341">
        <f>+$P$8</f>
        <v>46387</v>
      </c>
      <c r="Q26" s="340" t="str">
        <f>$N$8</f>
        <v>LTM</v>
      </c>
      <c r="R26" s="341">
        <f>+$O$8</f>
        <v>46022</v>
      </c>
      <c r="S26" s="341">
        <f>+$P$8</f>
        <v>46387</v>
      </c>
      <c r="T26" s="340" t="str">
        <f>$N$8</f>
        <v>LTM</v>
      </c>
      <c r="U26" s="341">
        <f>+$O$8</f>
        <v>46022</v>
      </c>
      <c r="V26" s="341">
        <f>+$P$8</f>
        <v>46387</v>
      </c>
      <c r="W26" s="342"/>
      <c r="X26" s="342"/>
      <c r="Y26" s="339"/>
      <c r="Z26" s="339"/>
      <c r="AA26" s="339"/>
      <c r="AB26" s="339"/>
      <c r="AC26" s="339"/>
      <c r="AE26" s="197"/>
      <c r="AF26" s="339"/>
      <c r="AG26" s="339"/>
    </row>
    <row r="27" spans="1:33" ht="16">
      <c r="B27" s="281" t="str">
        <f t="shared" ref="B27:B32" si="16">INDEX(Pub_Comps_Range,MATCH(B$23,Pub_Comps_Params,0),MATCH($C27,Pub_Comps_Tickers,0))</f>
        <v>Onto Innovation Inc.</v>
      </c>
      <c r="C27" t="s">
        <v>294</v>
      </c>
      <c r="D27" s="297">
        <f t="shared" ref="D27:D32" si="17">INDEX(Pub_Comps_Range,MATCH(D$23,Pub_Comps_Params,0),MATCH($C27,Pub_Comps_Tickers,0))</f>
        <v>92.74</v>
      </c>
      <c r="E27" s="281"/>
      <c r="F27" s="298">
        <f t="shared" ref="F27:F32" si="18">INDEX(Pub_Comps_Range,MATCH(F$23,Pub_Comps_Params,0),MATCH($C27,Pub_Comps_Tickers,0))</f>
        <v>4534.9859999999999</v>
      </c>
      <c r="G27" s="298"/>
      <c r="H27" s="298"/>
      <c r="I27" s="298"/>
      <c r="J27" s="298"/>
      <c r="K27" s="298"/>
      <c r="L27" s="298"/>
      <c r="M27" s="298">
        <f t="shared" ref="M27:V32" si="19">INDEX(Pub_Comps_Range,MATCH(M$23,Pub_Comps_Params,0),MATCH($C27,Pub_Comps_Tickers,0))</f>
        <v>3698.9859999999999</v>
      </c>
      <c r="N27" s="343">
        <f t="shared" si="19"/>
        <v>3.6084851913996951</v>
      </c>
      <c r="O27" s="343">
        <f t="shared" si="19"/>
        <v>3.6879222333000996</v>
      </c>
      <c r="P27" s="343">
        <f t="shared" si="19"/>
        <v>3.4029310027598894</v>
      </c>
      <c r="Q27" s="343">
        <f t="shared" si="19"/>
        <v>13.751388527454552</v>
      </c>
      <c r="R27" s="343">
        <f t="shared" si="19"/>
        <v>13.599213235294117</v>
      </c>
      <c r="S27" s="343">
        <f t="shared" si="19"/>
        <v>11.742812698412697</v>
      </c>
      <c r="T27" s="343">
        <f t="shared" si="19"/>
        <v>20.715265850539009</v>
      </c>
      <c r="U27" s="343">
        <f t="shared" si="19"/>
        <v>17.92484584980237</v>
      </c>
      <c r="V27" s="343">
        <f t="shared" si="19"/>
        <v>15.584144329896906</v>
      </c>
      <c r="W27" s="31"/>
      <c r="X27" s="344"/>
      <c r="Y27" s="339"/>
      <c r="Z27" s="339"/>
      <c r="AA27" s="339"/>
      <c r="AB27" s="339"/>
      <c r="AC27" s="339"/>
      <c r="AE27" s="197"/>
      <c r="AF27" s="339"/>
      <c r="AG27" s="339"/>
    </row>
    <row r="28" spans="1:33" ht="16">
      <c r="B28" s="281" t="str">
        <f t="shared" si="16"/>
        <v>Axcelis Technologies, Inc.</v>
      </c>
      <c r="C28" t="s">
        <v>296</v>
      </c>
      <c r="D28" s="281">
        <f t="shared" si="17"/>
        <v>56.46</v>
      </c>
      <c r="E28" s="281"/>
      <c r="F28" s="298">
        <f t="shared" si="18"/>
        <v>1812.3660000000002</v>
      </c>
      <c r="G28" s="298"/>
      <c r="H28" s="298"/>
      <c r="I28" s="298"/>
      <c r="J28" s="298"/>
      <c r="K28" s="298"/>
      <c r="L28" s="298"/>
      <c r="M28" s="298">
        <f t="shared" si="19"/>
        <v>1152.8660000000002</v>
      </c>
      <c r="N28" s="343">
        <f t="shared" si="19"/>
        <v>1.2033338204287833</v>
      </c>
      <c r="O28" s="343">
        <f t="shared" si="19"/>
        <v>1.531030544488712</v>
      </c>
      <c r="P28" s="343">
        <f t="shared" si="19"/>
        <v>1.4232913580246915</v>
      </c>
      <c r="Q28" s="343">
        <f t="shared" si="19"/>
        <v>5.974946877429387</v>
      </c>
      <c r="R28" s="343">
        <f t="shared" si="19"/>
        <v>10.674685185185186</v>
      </c>
      <c r="S28" s="343">
        <f t="shared" si="19"/>
        <v>9.7700508474576289</v>
      </c>
      <c r="T28" s="343">
        <f t="shared" si="19"/>
        <v>10.183547788953195</v>
      </c>
      <c r="U28" s="343">
        <f t="shared" si="19"/>
        <v>17.595786407766994</v>
      </c>
      <c r="V28" s="343">
        <f t="shared" si="19"/>
        <v>15.359033898305087</v>
      </c>
      <c r="W28" s="31"/>
      <c r="X28" s="344"/>
      <c r="Y28" s="344"/>
      <c r="Z28" s="31"/>
      <c r="AA28" s="31"/>
      <c r="AD28" s="197"/>
      <c r="AE28" s="197"/>
    </row>
    <row r="29" spans="1:33" ht="16">
      <c r="B29" s="281" t="str">
        <f t="shared" si="16"/>
        <v>FormFactor, Inc.</v>
      </c>
      <c r="C29" t="s">
        <v>298</v>
      </c>
      <c r="D29" s="281">
        <f t="shared" si="17"/>
        <v>30.02</v>
      </c>
      <c r="E29" s="281"/>
      <c r="F29" s="298">
        <f t="shared" si="18"/>
        <v>2314.5419999999999</v>
      </c>
      <c r="G29" s="298"/>
      <c r="H29" s="298"/>
      <c r="I29" s="298"/>
      <c r="J29" s="298"/>
      <c r="K29" s="298"/>
      <c r="L29" s="298"/>
      <c r="M29" s="298">
        <f t="shared" si="19"/>
        <v>2053.0419999999999</v>
      </c>
      <c r="N29" s="343">
        <f t="shared" si="19"/>
        <v>2.6794069665766154</v>
      </c>
      <c r="O29" s="343">
        <f t="shared" si="19"/>
        <v>2.6732317708333331</v>
      </c>
      <c r="P29" s="343">
        <f t="shared" si="19"/>
        <v>2.4915558252427181</v>
      </c>
      <c r="Q29" s="343">
        <f t="shared" si="19"/>
        <v>25.554418720438136</v>
      </c>
      <c r="R29" s="343">
        <f t="shared" si="19"/>
        <v>17.398661016949152</v>
      </c>
      <c r="S29" s="343">
        <f t="shared" si="19"/>
        <v>13.418575163398692</v>
      </c>
      <c r="T29" s="343">
        <f t="shared" si="19"/>
        <v>42.680103263876077</v>
      </c>
      <c r="U29" s="343">
        <f t="shared" si="19"/>
        <v>45.383176470588232</v>
      </c>
      <c r="V29" s="343">
        <f t="shared" si="19"/>
        <v>29.673615384615385</v>
      </c>
      <c r="W29" s="31"/>
      <c r="X29" s="344"/>
      <c r="Y29" s="344"/>
      <c r="Z29" s="31"/>
      <c r="AA29" s="31"/>
      <c r="AE29" s="197"/>
    </row>
    <row r="30" spans="1:33" ht="16">
      <c r="B30" s="281" t="str">
        <f t="shared" si="16"/>
        <v>Ultra Clean Holdings, Inc.</v>
      </c>
      <c r="C30" t="s">
        <v>300</v>
      </c>
      <c r="D30" s="281">
        <f t="shared" si="17"/>
        <v>19.559999999999999</v>
      </c>
      <c r="E30" s="281"/>
      <c r="F30" s="298">
        <f t="shared" si="18"/>
        <v>882.15599999999995</v>
      </c>
      <c r="G30" s="298"/>
      <c r="H30" s="298"/>
      <c r="I30" s="298"/>
      <c r="J30" s="298"/>
      <c r="K30" s="298"/>
      <c r="L30" s="298"/>
      <c r="M30" s="298">
        <f t="shared" si="19"/>
        <v>1275.7559999999999</v>
      </c>
      <c r="N30" s="343">
        <f t="shared" si="19"/>
        <v>0.59656581716156176</v>
      </c>
      <c r="O30" s="343">
        <f t="shared" si="19"/>
        <v>0.63250173525037179</v>
      </c>
      <c r="P30" s="343">
        <f t="shared" si="19"/>
        <v>0.62110808179162602</v>
      </c>
      <c r="Q30" s="343">
        <f t="shared" si="19"/>
        <v>11.400857908847183</v>
      </c>
      <c r="R30" s="343">
        <f t="shared" si="19"/>
        <v>8.1258343949044569</v>
      </c>
      <c r="S30" s="343">
        <f t="shared" si="19"/>
        <v>8.5050399999999993</v>
      </c>
      <c r="T30" s="343">
        <f t="shared" si="19"/>
        <v>45.707564766839383</v>
      </c>
      <c r="U30" s="343">
        <f t="shared" si="19"/>
        <v>17.297176470588234</v>
      </c>
      <c r="V30" s="343">
        <f t="shared" si="19"/>
        <v>14.228322580645161</v>
      </c>
      <c r="W30" s="31"/>
      <c r="X30" s="344"/>
      <c r="Y30" s="344"/>
      <c r="Z30" s="31"/>
      <c r="AA30" s="31"/>
      <c r="AE30" s="197"/>
    </row>
    <row r="31" spans="1:33" ht="16">
      <c r="B31" s="281" t="str">
        <f t="shared" si="16"/>
        <v>Veeco Instruments Inc.</v>
      </c>
      <c r="C31" t="s">
        <v>302</v>
      </c>
      <c r="D31" s="281">
        <f t="shared" si="17"/>
        <v>19.34</v>
      </c>
      <c r="E31" s="281"/>
      <c r="F31" s="298">
        <f t="shared" si="18"/>
        <v>1127.5219999999999</v>
      </c>
      <c r="G31" s="298"/>
      <c r="H31" s="298"/>
      <c r="I31" s="298"/>
      <c r="J31" s="298"/>
      <c r="K31" s="298"/>
      <c r="L31" s="298"/>
      <c r="M31" s="298">
        <f t="shared" si="19"/>
        <v>1061.722</v>
      </c>
      <c r="N31" s="343">
        <f t="shared" si="19"/>
        <v>1.4951514554083172</v>
      </c>
      <c r="O31" s="343">
        <f t="shared" si="19"/>
        <v>1.6409922720247294</v>
      </c>
      <c r="P31" s="343">
        <f t="shared" si="19"/>
        <v>1.4890911640953717</v>
      </c>
      <c r="Q31" s="343">
        <f t="shared" si="19"/>
        <v>7.9304003585300267</v>
      </c>
      <c r="R31" s="343">
        <f t="shared" si="19"/>
        <v>10.945587628865979</v>
      </c>
      <c r="S31" s="343">
        <f t="shared" si="19"/>
        <v>10.208865384615384</v>
      </c>
      <c r="T31" s="343">
        <f t="shared" si="19"/>
        <v>10.487601153381082</v>
      </c>
      <c r="U31" s="343">
        <f t="shared" si="19"/>
        <v>17.346492307692305</v>
      </c>
      <c r="V31" s="343">
        <f t="shared" si="19"/>
        <v>12.255673913043477</v>
      </c>
      <c r="W31" s="31"/>
      <c r="X31" s="344"/>
      <c r="Y31" s="31"/>
      <c r="Z31" s="31"/>
      <c r="AA31" s="31"/>
      <c r="AE31" s="197"/>
    </row>
    <row r="32" spans="1:33" ht="16">
      <c r="B32" s="281" t="str">
        <f t="shared" si="16"/>
        <v>Entegris, Inc.</v>
      </c>
      <c r="C32" t="s">
        <v>304</v>
      </c>
      <c r="D32" s="281">
        <f t="shared" si="17"/>
        <v>68.38</v>
      </c>
      <c r="E32" s="281"/>
      <c r="F32" s="298">
        <f t="shared" si="18"/>
        <v>10352.732</v>
      </c>
      <c r="G32" s="298"/>
      <c r="H32" s="298"/>
      <c r="I32" s="298"/>
      <c r="J32" s="298"/>
      <c r="K32" s="298"/>
      <c r="L32" s="298"/>
      <c r="M32" s="298">
        <f t="shared" si="19"/>
        <v>14062.332</v>
      </c>
      <c r="N32" s="343">
        <f t="shared" si="19"/>
        <v>4.3356627746723362</v>
      </c>
      <c r="O32" s="343">
        <f t="shared" si="19"/>
        <v>0.33387484276729557</v>
      </c>
      <c r="P32" s="343">
        <f t="shared" si="19"/>
        <v>0.3017970437748721</v>
      </c>
      <c r="Q32" s="343">
        <f t="shared" si="19"/>
        <v>26.218573692551505</v>
      </c>
      <c r="R32" s="343">
        <f t="shared" si="19"/>
        <v>1.1578211559432934</v>
      </c>
      <c r="S32" s="343">
        <f t="shared" si="19"/>
        <v>0.99133706816059752</v>
      </c>
      <c r="T32" s="343">
        <f t="shared" si="19"/>
        <v>1.4424873902744879</v>
      </c>
      <c r="U32" s="343">
        <f t="shared" si="19"/>
        <v>2.5979769585253454</v>
      </c>
      <c r="V32" s="343">
        <f t="shared" si="19"/>
        <v>1.9677521815008725</v>
      </c>
      <c r="W32" s="31"/>
      <c r="X32" s="31"/>
      <c r="Y32" s="31"/>
      <c r="Z32" s="31"/>
      <c r="AA32" s="31"/>
      <c r="AD32" s="197"/>
      <c r="AE32" s="197"/>
    </row>
    <row r="33" spans="2:31" ht="16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E33" s="197"/>
    </row>
    <row r="34" spans="2:31" ht="16">
      <c r="B34" s="299" t="s">
        <v>333</v>
      </c>
      <c r="C34" s="300"/>
      <c r="D34" s="297"/>
      <c r="E34" s="297"/>
      <c r="F34" s="301">
        <f>MAX(F27:F32)</f>
        <v>10352.732</v>
      </c>
      <c r="G34" s="301"/>
      <c r="H34" s="301"/>
      <c r="I34" s="301"/>
      <c r="J34" s="301"/>
      <c r="K34" s="301"/>
      <c r="L34" s="301"/>
      <c r="M34" s="301">
        <f t="shared" ref="M34:V34" si="20">MAX(M27:M32)</f>
        <v>14062.332</v>
      </c>
      <c r="N34" s="345">
        <f t="shared" si="20"/>
        <v>4.3356627746723362</v>
      </c>
      <c r="O34" s="345">
        <f t="shared" si="20"/>
        <v>3.6879222333000996</v>
      </c>
      <c r="P34" s="345">
        <f t="shared" si="20"/>
        <v>3.4029310027598894</v>
      </c>
      <c r="Q34" s="345">
        <f t="shared" si="20"/>
        <v>26.218573692551505</v>
      </c>
      <c r="R34" s="345">
        <f t="shared" si="20"/>
        <v>17.398661016949152</v>
      </c>
      <c r="S34" s="345">
        <f t="shared" si="20"/>
        <v>13.418575163398692</v>
      </c>
      <c r="T34" s="345">
        <f t="shared" si="20"/>
        <v>45.707564766839383</v>
      </c>
      <c r="U34" s="345">
        <f t="shared" si="20"/>
        <v>45.383176470588232</v>
      </c>
      <c r="V34" s="346">
        <f t="shared" si="20"/>
        <v>29.673615384615385</v>
      </c>
      <c r="W34" s="31"/>
      <c r="X34" s="31"/>
      <c r="Y34" s="31"/>
      <c r="Z34" s="31"/>
      <c r="AA34" s="31"/>
      <c r="AE34" s="197"/>
    </row>
    <row r="35" spans="2:31" ht="16">
      <c r="B35" s="304" t="s">
        <v>334</v>
      </c>
      <c r="C35" s="31"/>
      <c r="D35" s="305"/>
      <c r="E35" s="305"/>
      <c r="F35" s="306">
        <f>QUARTILE(F27:F32,3)</f>
        <v>3979.875</v>
      </c>
      <c r="G35" s="306"/>
      <c r="H35" s="306"/>
      <c r="I35" s="306"/>
      <c r="J35" s="306"/>
      <c r="K35" s="306"/>
      <c r="L35" s="306"/>
      <c r="M35" s="306">
        <f t="shared" ref="M35:V35" si="21">QUARTILE(M27:M32,3)</f>
        <v>3287.5</v>
      </c>
      <c r="N35" s="102">
        <f t="shared" si="21"/>
        <v>3.3762156351939252</v>
      </c>
      <c r="O35" s="102">
        <f t="shared" si="21"/>
        <v>2.4151718961311821</v>
      </c>
      <c r="P35" s="102">
        <f t="shared" si="21"/>
        <v>2.2409396599558815</v>
      </c>
      <c r="Q35" s="102">
        <f t="shared" si="21"/>
        <v>22.60366117219224</v>
      </c>
      <c r="R35" s="102">
        <f t="shared" si="21"/>
        <v>12.935806833687083</v>
      </c>
      <c r="S35" s="102">
        <f t="shared" si="21"/>
        <v>11.359325869963369</v>
      </c>
      <c r="T35" s="102">
        <f t="shared" si="21"/>
        <v>37.188893910541807</v>
      </c>
      <c r="U35" s="102">
        <f t="shared" si="21"/>
        <v>17.842580989293527</v>
      </c>
      <c r="V35" s="347">
        <f t="shared" si="21"/>
        <v>15.527866721998951</v>
      </c>
      <c r="W35" s="31"/>
      <c r="X35" s="31"/>
      <c r="Y35" s="31"/>
      <c r="Z35" s="31"/>
      <c r="AA35" s="31"/>
      <c r="AE35" s="197"/>
    </row>
    <row r="36" spans="2:31" ht="16">
      <c r="B36" s="348" t="s">
        <v>335</v>
      </c>
      <c r="C36" s="349"/>
      <c r="D36" s="350"/>
      <c r="E36" s="350"/>
      <c r="F36" s="351">
        <f>MEDIAN(F27:F32)</f>
        <v>2063.4540000000002</v>
      </c>
      <c r="G36" s="351"/>
      <c r="H36" s="351"/>
      <c r="I36" s="352"/>
      <c r="J36" s="352"/>
      <c r="K36" s="352"/>
      <c r="L36" s="352"/>
      <c r="M36" s="351">
        <f t="shared" ref="M36:V36" si="22">MEDIAN(M27:M32)</f>
        <v>1664.3989999999999</v>
      </c>
      <c r="N36" s="353">
        <f t="shared" si="22"/>
        <v>2.0872792109924663</v>
      </c>
      <c r="O36" s="353">
        <f t="shared" si="22"/>
        <v>1.5860114082567207</v>
      </c>
      <c r="P36" s="353">
        <f t="shared" si="22"/>
        <v>1.4561912610600316</v>
      </c>
      <c r="Q36" s="353">
        <f t="shared" si="22"/>
        <v>12.576123218150867</v>
      </c>
      <c r="R36" s="353">
        <f t="shared" si="22"/>
        <v>10.810136407025583</v>
      </c>
      <c r="S36" s="353">
        <f t="shared" si="22"/>
        <v>9.9894581160365057</v>
      </c>
      <c r="T36" s="353">
        <f t="shared" si="22"/>
        <v>15.601433501960045</v>
      </c>
      <c r="U36" s="353">
        <f t="shared" si="22"/>
        <v>17.471139357729648</v>
      </c>
      <c r="V36" s="354">
        <f t="shared" si="22"/>
        <v>14.793678239475124</v>
      </c>
      <c r="W36" s="31"/>
      <c r="X36" s="31"/>
      <c r="Y36" s="31"/>
      <c r="Z36" s="31"/>
      <c r="AA36" s="31"/>
      <c r="AD36" s="197"/>
      <c r="AE36" s="197"/>
    </row>
    <row r="37" spans="2:31" ht="16">
      <c r="B37" s="304" t="s">
        <v>336</v>
      </c>
      <c r="C37" s="140"/>
      <c r="D37" s="305"/>
      <c r="E37" s="305"/>
      <c r="F37" s="306">
        <f>QUARTILE(F27:F32,1)</f>
        <v>1298.7329999999999</v>
      </c>
      <c r="G37" s="306"/>
      <c r="H37" s="306"/>
      <c r="I37" s="306"/>
      <c r="J37" s="306"/>
      <c r="K37" s="306"/>
      <c r="L37" s="306"/>
      <c r="M37" s="306">
        <f t="shared" ref="M37:V37" si="23">QUARTILE(M27:M32,1)</f>
        <v>1183.5885000000001</v>
      </c>
      <c r="N37" s="102">
        <f t="shared" si="23"/>
        <v>1.2762882291736668</v>
      </c>
      <c r="O37" s="102">
        <f t="shared" si="23"/>
        <v>0.85713393755995682</v>
      </c>
      <c r="P37" s="102">
        <f t="shared" si="23"/>
        <v>0.82165390084989243</v>
      </c>
      <c r="Q37" s="102">
        <f t="shared" si="23"/>
        <v>8.798014746109315</v>
      </c>
      <c r="R37" s="102">
        <f t="shared" si="23"/>
        <v>8.7630470924746398</v>
      </c>
      <c r="S37" s="102">
        <f t="shared" si="23"/>
        <v>8.8212927118644071</v>
      </c>
      <c r="T37" s="102">
        <f t="shared" si="23"/>
        <v>10.259561130060167</v>
      </c>
      <c r="U37" s="102">
        <f t="shared" si="23"/>
        <v>17.309505429864252</v>
      </c>
      <c r="V37" s="347">
        <f t="shared" si="23"/>
        <v>12.748836079943898</v>
      </c>
      <c r="W37" s="31"/>
      <c r="X37" s="31"/>
      <c r="Y37" s="31"/>
      <c r="Z37" s="31"/>
      <c r="AA37" s="31"/>
      <c r="AE37" s="197"/>
    </row>
    <row r="38" spans="2:31" ht="16">
      <c r="B38" s="316" t="s">
        <v>337</v>
      </c>
      <c r="C38" s="317"/>
      <c r="D38" s="318"/>
      <c r="E38" s="318"/>
      <c r="F38" s="319">
        <f>MIN(F27:F32)</f>
        <v>882.15599999999995</v>
      </c>
      <c r="G38" s="319"/>
      <c r="H38" s="319"/>
      <c r="I38" s="319"/>
      <c r="J38" s="319"/>
      <c r="K38" s="319"/>
      <c r="L38" s="319"/>
      <c r="M38" s="319">
        <f t="shared" ref="M38:V38" si="24">MIN(M27:M32)</f>
        <v>1061.722</v>
      </c>
      <c r="N38" s="355">
        <f t="shared" si="24"/>
        <v>0.59656581716156176</v>
      </c>
      <c r="O38" s="355">
        <f t="shared" si="24"/>
        <v>0.33387484276729557</v>
      </c>
      <c r="P38" s="355">
        <f t="shared" si="24"/>
        <v>0.3017970437748721</v>
      </c>
      <c r="Q38" s="355">
        <f t="shared" si="24"/>
        <v>5.974946877429387</v>
      </c>
      <c r="R38" s="355">
        <f t="shared" si="24"/>
        <v>1.1578211559432934</v>
      </c>
      <c r="S38" s="355">
        <f t="shared" si="24"/>
        <v>0.99133706816059752</v>
      </c>
      <c r="T38" s="355">
        <f t="shared" si="24"/>
        <v>1.4424873902744879</v>
      </c>
      <c r="U38" s="355">
        <f t="shared" si="24"/>
        <v>2.5979769585253454</v>
      </c>
      <c r="V38" s="356">
        <f t="shared" si="24"/>
        <v>1.9677521815008725</v>
      </c>
      <c r="W38" s="31"/>
      <c r="X38" s="31"/>
      <c r="Y38" s="31"/>
      <c r="Z38" s="31"/>
      <c r="AA38" s="31"/>
      <c r="AE38" s="197"/>
    </row>
    <row r="39" spans="2:31" ht="16"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E39" s="197"/>
    </row>
    <row r="40" spans="2:31" ht="16">
      <c r="B40" s="357" t="str">
        <f>INDEX(Pub_Comps_Range,MATCH(B$23,Pub_Comps_Params,0),MATCH($C40,Pub_Comps_Tickers,0))</f>
        <v>ACM Research, Inc.</v>
      </c>
      <c r="C40" s="324" t="str">
        <f>Ticker</f>
        <v>ACMR</v>
      </c>
      <c r="D40" s="358"/>
      <c r="E40" s="358"/>
      <c r="F40" s="327">
        <f>INDEX(Pub_Comps_Range,MATCH(F$23,Pub_Comps_Params,0),MATCH($C40,Pub_Comps_Tickers,0))</f>
        <v>1370.0160000000001</v>
      </c>
      <c r="G40" s="327"/>
      <c r="H40" s="327"/>
      <c r="I40" s="327"/>
      <c r="J40" s="327"/>
      <c r="K40" s="327"/>
      <c r="L40" s="327"/>
      <c r="M40" s="327">
        <f t="shared" ref="M40:V40" si="25">INDEX(Pub_Comps_Range,MATCH(M$23,Pub_Comps_Params,0),MATCH($C40,Pub_Comps_Tickers,0))</f>
        <v>1205.174</v>
      </c>
      <c r="N40" s="359">
        <f t="shared" si="25"/>
        <v>1.502186269132971</v>
      </c>
      <c r="O40" s="359">
        <f t="shared" si="25"/>
        <v>1.2413800931466143</v>
      </c>
      <c r="P40" s="359">
        <f t="shared" si="25"/>
        <v>0.96474925001185108</v>
      </c>
      <c r="Q40" s="359">
        <f t="shared" si="25"/>
        <v>7.4384273546475734</v>
      </c>
      <c r="R40" s="359">
        <f t="shared" si="25"/>
        <v>4.4989680435372996</v>
      </c>
      <c r="S40" s="359">
        <f t="shared" si="25"/>
        <v>3.1717730426377981</v>
      </c>
      <c r="T40" s="359">
        <f t="shared" si="25"/>
        <v>12.854344154625636</v>
      </c>
      <c r="U40" s="359">
        <f t="shared" si="25"/>
        <v>6.8008117836169344</v>
      </c>
      <c r="V40" s="360">
        <f t="shared" si="25"/>
        <v>4.7882029498087189</v>
      </c>
      <c r="W40" s="31"/>
      <c r="X40" s="31"/>
      <c r="Y40" s="31"/>
      <c r="Z40" s="31"/>
      <c r="AA40" s="3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724D3-8DFB-4329-A5FB-1B8C70D56AFA}">
  <dimension ref="B2:M45"/>
  <sheetViews>
    <sheetView showGridLines="0" topLeftCell="A20" zoomScale="68" workbookViewId="0">
      <selection activeCell="E32" sqref="A1:XFD1048576"/>
    </sheetView>
  </sheetViews>
  <sheetFormatPr defaultRowHeight="14.5"/>
  <cols>
    <col min="2" max="2" width="55" bestFit="1" customWidth="1"/>
    <col min="3" max="3" width="9.7265625" bestFit="1" customWidth="1"/>
    <col min="4" max="4" width="10.1796875" bestFit="1" customWidth="1"/>
    <col min="5" max="5" width="12.7265625" bestFit="1" customWidth="1"/>
    <col min="6" max="6" width="10.1796875" bestFit="1" customWidth="1"/>
    <col min="7" max="7" width="17.81640625" bestFit="1" customWidth="1"/>
    <col min="8" max="8" width="10.54296875" bestFit="1" customWidth="1"/>
    <col min="9" max="9" width="13.7265625" bestFit="1" customWidth="1"/>
    <col min="10" max="13" width="11" bestFit="1" customWidth="1"/>
  </cols>
  <sheetData>
    <row r="2" spans="2:13" ht="18.5">
      <c r="B2" s="465" t="str">
        <f>"Valuation Summary - "&amp;Company_Name</f>
        <v>Valuation Summary - ACM Research, Inc.</v>
      </c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</row>
    <row r="3" spans="2:13" ht="16">
      <c r="B3" s="31" t="s">
        <v>418</v>
      </c>
      <c r="C3" s="466"/>
      <c r="D3" s="466"/>
      <c r="E3" s="466"/>
      <c r="F3" s="466"/>
      <c r="G3" s="466"/>
      <c r="H3" s="466"/>
      <c r="I3" s="466"/>
      <c r="J3" s="466"/>
      <c r="K3" s="466"/>
      <c r="L3" s="466"/>
      <c r="M3" s="466"/>
    </row>
    <row r="4" spans="2:13" ht="16"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</row>
    <row r="5" spans="2:13" ht="16">
      <c r="B5" s="286" t="str">
        <f>"Valuation Summary - "&amp;TEXT(Company_Name,"")</f>
        <v>Valuation Summary - ACM Research, Inc.</v>
      </c>
      <c r="C5" s="287" t="str">
        <f>TEXT(Company_Name,"")&amp;" - Range of Valuation Multiples / Premiums"</f>
        <v>ACM Research, Inc. - Range of Valuation Multiples / Premiums</v>
      </c>
      <c r="D5" s="287"/>
      <c r="E5" s="287"/>
      <c r="F5" s="288"/>
      <c r="G5" s="288"/>
      <c r="H5" s="288"/>
      <c r="I5" s="287" t="str">
        <f>TEXT(Company_Name,"")&amp;" - Implied Per Share Value Range"</f>
        <v>ACM Research, Inc. - Implied Per Share Value Range</v>
      </c>
      <c r="J5" s="288"/>
      <c r="K5" s="288"/>
      <c r="L5" s="288"/>
      <c r="M5" s="288"/>
    </row>
    <row r="6" spans="2:13" ht="16">
      <c r="B6" s="289"/>
      <c r="C6" s="290"/>
      <c r="D6" s="287"/>
      <c r="E6" s="287"/>
      <c r="F6" s="288"/>
      <c r="G6" s="287"/>
      <c r="H6" s="287"/>
      <c r="I6" s="287"/>
      <c r="J6" s="287"/>
      <c r="K6" s="287"/>
      <c r="L6" s="287"/>
      <c r="M6" s="287"/>
    </row>
    <row r="7" spans="2:13" ht="16">
      <c r="B7" s="289"/>
      <c r="C7" s="290"/>
      <c r="D7" s="290" t="s">
        <v>397</v>
      </c>
      <c r="E7" s="290"/>
      <c r="F7" s="290" t="s">
        <v>398</v>
      </c>
      <c r="G7" s="287"/>
      <c r="H7" s="290" t="s">
        <v>399</v>
      </c>
      <c r="I7" s="290"/>
      <c r="J7" s="290" t="s">
        <v>398</v>
      </c>
      <c r="K7" s="290"/>
      <c r="L7" s="290" t="s">
        <v>397</v>
      </c>
      <c r="M7" s="290"/>
    </row>
    <row r="8" spans="2:13" ht="16">
      <c r="B8" s="289"/>
      <c r="C8" s="290" t="s">
        <v>333</v>
      </c>
      <c r="D8" s="290" t="s">
        <v>400</v>
      </c>
      <c r="E8" s="290" t="s">
        <v>335</v>
      </c>
      <c r="F8" s="290" t="s">
        <v>400</v>
      </c>
      <c r="G8" s="290" t="s">
        <v>337</v>
      </c>
      <c r="H8" s="290" t="s">
        <v>401</v>
      </c>
      <c r="I8" s="290" t="s">
        <v>337</v>
      </c>
      <c r="J8" s="290" t="s">
        <v>400</v>
      </c>
      <c r="K8" s="290" t="s">
        <v>335</v>
      </c>
      <c r="L8" s="290" t="s">
        <v>400</v>
      </c>
      <c r="M8" s="290" t="s">
        <v>333</v>
      </c>
    </row>
    <row r="9" spans="2:13" ht="16">
      <c r="B9" s="286" t="s">
        <v>402</v>
      </c>
      <c r="C9" s="290" t="s">
        <v>403</v>
      </c>
      <c r="D9" s="290" t="s">
        <v>403</v>
      </c>
      <c r="E9" s="290" t="s">
        <v>403</v>
      </c>
      <c r="F9" s="290" t="s">
        <v>403</v>
      </c>
      <c r="G9" s="290" t="s">
        <v>403</v>
      </c>
      <c r="H9" s="290" t="s">
        <v>404</v>
      </c>
      <c r="I9" s="290" t="s">
        <v>403</v>
      </c>
      <c r="J9" s="290" t="s">
        <v>403</v>
      </c>
      <c r="K9" s="290" t="s">
        <v>403</v>
      </c>
      <c r="L9" s="290" t="s">
        <v>403</v>
      </c>
      <c r="M9" s="290" t="s">
        <v>403</v>
      </c>
    </row>
    <row r="10" spans="2:13" ht="16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2:13" ht="16">
      <c r="B11" s="133" t="s">
        <v>405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2:13" ht="16">
      <c r="B12" s="143" t="s">
        <v>414</v>
      </c>
      <c r="C12" s="467" cm="1">
        <f t="array" ref="C12:G20">TRANSPOSE(PubComps!N34:V38)</f>
        <v>4.3356627746723362</v>
      </c>
      <c r="D12" s="467">
        <v>3.3762156351939252</v>
      </c>
      <c r="E12" s="467">
        <v>2.0872792109924663</v>
      </c>
      <c r="F12" s="467">
        <v>1.2762882291736668</v>
      </c>
      <c r="G12" s="467">
        <v>0.59656581716156176</v>
      </c>
      <c r="H12" s="468" cm="1">
        <f t="array" ref="H12:H20">TRANSPOSE(PubComps!N21:V21)</f>
        <v>802.28</v>
      </c>
      <c r="I12" s="477">
        <f>(I34+SUM($E$33:$E$39))/$E$42</f>
        <v>4.8004762777991292</v>
      </c>
      <c r="J12" s="477">
        <f t="shared" ref="J12:M12" si="0">(J34+SUM($E$33:$E$39))/$E$42</f>
        <v>8.1378550826282083</v>
      </c>
      <c r="K12" s="477">
        <f t="shared" si="0"/>
        <v>12.119751318207074</v>
      </c>
      <c r="L12" s="477">
        <f t="shared" si="0"/>
        <v>18.448318725846889</v>
      </c>
      <c r="M12" s="477">
        <f t="shared" si="0"/>
        <v>23.159121975912615</v>
      </c>
    </row>
    <row r="13" spans="2:13" ht="16">
      <c r="B13" s="143" t="str">
        <f>"CY "&amp;TEXT(EOMONTH(Hist_Year,12),"YY")&amp;" TEV / Revenue:"</f>
        <v>CY 25 TEV / Revenue:</v>
      </c>
      <c r="C13" s="467">
        <v>3.6879222333000996</v>
      </c>
      <c r="D13" s="467">
        <v>2.4151718961311821</v>
      </c>
      <c r="E13" s="467">
        <v>1.5860114082567207</v>
      </c>
      <c r="F13" s="467">
        <v>0.85713393755995682</v>
      </c>
      <c r="G13" s="467">
        <v>0.33387484276729557</v>
      </c>
      <c r="H13" s="469">
        <v>970.83399891258102</v>
      </c>
      <c r="I13" s="478">
        <f t="shared" ref="I13:M14" si="1">(I35+SUM($E$33:$E$39))/$E$42</f>
        <v>3.855092097552526</v>
      </c>
      <c r="J13" s="478">
        <f t="shared" si="1"/>
        <v>6.9640132693085643</v>
      </c>
      <c r="K13" s="478">
        <f t="shared" si="1"/>
        <v>11.294607085672252</v>
      </c>
      <c r="L13" s="478">
        <f t="shared" si="1"/>
        <v>16.221028090467051</v>
      </c>
      <c r="M13" s="478">
        <f t="shared" si="1"/>
        <v>23.783018907180857</v>
      </c>
    </row>
    <row r="14" spans="2:13" ht="16">
      <c r="B14" s="143" t="str">
        <f>"CY "&amp;TEXT(EOMONTH(Hist_Year,24),"YY")&amp;" TEV / Revenue:"</f>
        <v>CY 26 TEV / Revenue:</v>
      </c>
      <c r="C14" s="467">
        <v>3.4029310027598894</v>
      </c>
      <c r="D14" s="467">
        <v>2.2409396599558815</v>
      </c>
      <c r="E14" s="467">
        <v>1.4561912610600316</v>
      </c>
      <c r="F14" s="467">
        <v>0.82165390084989243</v>
      </c>
      <c r="G14" s="467">
        <v>0.3017970437748721</v>
      </c>
      <c r="H14" s="469">
        <v>1249.20957438961</v>
      </c>
      <c r="I14" s="478">
        <f t="shared" si="1"/>
        <v>4.1786582411630997</v>
      </c>
      <c r="J14" s="478">
        <f t="shared" si="1"/>
        <v>8.1530166448975319</v>
      </c>
      <c r="K14" s="478">
        <f t="shared" si="1"/>
        <v>13.004119127654048</v>
      </c>
      <c r="L14" s="478">
        <f t="shared" si="1"/>
        <v>19.003600237737356</v>
      </c>
      <c r="M14" s="478">
        <f t="shared" si="1"/>
        <v>27.887141919430171</v>
      </c>
    </row>
    <row r="15" spans="2:13" ht="16">
      <c r="B15" s="143" t="s">
        <v>415</v>
      </c>
      <c r="C15" s="467">
        <v>26.218573692551505</v>
      </c>
      <c r="D15" s="467">
        <v>22.60366117219224</v>
      </c>
      <c r="E15" s="467">
        <v>12.576123218150867</v>
      </c>
      <c r="F15" s="467">
        <v>8.798014746109315</v>
      </c>
      <c r="G15" s="467">
        <v>5.974946877429387</v>
      </c>
      <c r="H15" s="469">
        <v>162.02000000000001</v>
      </c>
      <c r="I15" s="478">
        <f t="shared" ref="I15:M15" si="2">(I37+SUM($E$33:$E$39))/$E$42</f>
        <v>7.7958744986603996</v>
      </c>
      <c r="J15" s="478">
        <f t="shared" si="2"/>
        <v>10.595100056087094</v>
      </c>
      <c r="K15" s="478">
        <f t="shared" si="2"/>
        <v>14.341300390482273</v>
      </c>
      <c r="L15" s="478">
        <f t="shared" si="2"/>
        <v>24.284150447482169</v>
      </c>
      <c r="M15" s="478">
        <f t="shared" si="2"/>
        <v>27.868533106898379</v>
      </c>
    </row>
    <row r="16" spans="2:13" ht="16">
      <c r="B16" s="143" t="str">
        <f>"CY "&amp;TEXT(EOMONTH(Hist_Year,12),"YY")&amp;" TEV / EBITDA:"</f>
        <v>CY 25 TEV / EBITDA:</v>
      </c>
      <c r="C16" s="467">
        <v>17.398661016949152</v>
      </c>
      <c r="D16" s="467">
        <v>12.935806833687083</v>
      </c>
      <c r="E16" s="467">
        <v>10.810136407025583</v>
      </c>
      <c r="F16" s="467">
        <v>8.7630470924746398</v>
      </c>
      <c r="G16" s="467">
        <v>1.1578211559432934</v>
      </c>
      <c r="H16" s="469">
        <v>267.87787517877894</v>
      </c>
      <c r="I16" s="478">
        <f t="shared" ref="I16:M17" si="3">(I38+SUM($E$33:$E$39))/$E$42</f>
        <v>3.7695206309126505</v>
      </c>
      <c r="J16" s="478">
        <f t="shared" si="3"/>
        <v>16.237524083376272</v>
      </c>
      <c r="K16" s="478">
        <f t="shared" si="3"/>
        <v>19.593521243003504</v>
      </c>
      <c r="L16" s="478">
        <f t="shared" si="3"/>
        <v>23.078344237033193</v>
      </c>
      <c r="M16" s="478">
        <f t="shared" si="3"/>
        <v>30.394745068397746</v>
      </c>
    </row>
    <row r="17" spans="2:13" ht="16">
      <c r="B17" s="143" t="str">
        <f>"CY "&amp;TEXT(EOMONTH(Hist_Year,24),"YY")&amp;" TEV / EBITDA:"</f>
        <v>CY 26 TEV / EBITDA:</v>
      </c>
      <c r="C17" s="467">
        <v>13.418575163398692</v>
      </c>
      <c r="D17" s="467">
        <v>11.359325869963369</v>
      </c>
      <c r="E17" s="467">
        <v>9.9894581160365057</v>
      </c>
      <c r="F17" s="467">
        <v>8.8212927118644071</v>
      </c>
      <c r="G17" s="467">
        <v>0.99133706816059752</v>
      </c>
      <c r="H17" s="469">
        <v>379.96854875773823</v>
      </c>
      <c r="I17" s="478">
        <f t="shared" si="3"/>
        <v>4.1766334584989799</v>
      </c>
      <c r="J17" s="478">
        <f t="shared" si="3"/>
        <v>22.384325519549154</v>
      </c>
      <c r="K17" s="478">
        <f t="shared" si="3"/>
        <v>25.100764401631583</v>
      </c>
      <c r="L17" s="478">
        <f t="shared" si="3"/>
        <v>28.286239692020892</v>
      </c>
      <c r="M17" s="478">
        <f t="shared" si="3"/>
        <v>33.07479517278599</v>
      </c>
    </row>
    <row r="18" spans="2:13" ht="16">
      <c r="B18" s="143" t="s">
        <v>338</v>
      </c>
      <c r="C18" s="467">
        <v>45.707564766839383</v>
      </c>
      <c r="D18" s="467">
        <v>37.188893910541807</v>
      </c>
      <c r="E18" s="467">
        <v>15.601433501960045</v>
      </c>
      <c r="F18" s="467">
        <v>10.259561130060167</v>
      </c>
      <c r="G18" s="467">
        <v>1.4424873902744879</v>
      </c>
      <c r="H18" s="469">
        <v>106.57999999999998</v>
      </c>
      <c r="I18" s="478">
        <f>I40/$E$42</f>
        <v>0.94088314599421607</v>
      </c>
      <c r="J18" s="478">
        <f t="shared" ref="J18:M18" si="4">J40/$E$42</f>
        <v>6.6919462989095004</v>
      </c>
      <c r="K18" s="478">
        <f t="shared" si="4"/>
        <v>10.176259379675038</v>
      </c>
      <c r="L18" s="478">
        <f t="shared" si="4"/>
        <v>24.256990899544338</v>
      </c>
      <c r="M18" s="478">
        <f t="shared" si="4"/>
        <v>29.813416480108568</v>
      </c>
    </row>
    <row r="19" spans="2:13" ht="16">
      <c r="B19" s="143" t="str">
        <f>"CY "&amp;TEXT(EOMONTH(Hist_Year,12),"YY")&amp;" P / E:"</f>
        <v>CY 25 P / E:</v>
      </c>
      <c r="C19" s="467">
        <v>45.383176470588232</v>
      </c>
      <c r="D19" s="467">
        <v>17.842580989293527</v>
      </c>
      <c r="E19" s="467">
        <v>17.471139357729648</v>
      </c>
      <c r="F19" s="467">
        <v>17.309505429864252</v>
      </c>
      <c r="G19" s="467">
        <v>2.5979769585253454</v>
      </c>
      <c r="H19" s="469">
        <v>201.44889221906575</v>
      </c>
      <c r="I19" s="478">
        <f t="shared" ref="I19:M20" si="5">I41/$E$42</f>
        <v>3.202935007990138</v>
      </c>
      <c r="J19" s="478">
        <f t="shared" si="5"/>
        <v>21.340151124272076</v>
      </c>
      <c r="K19" s="478">
        <f t="shared" si="5"/>
        <v>21.53942270146608</v>
      </c>
      <c r="L19" s="478">
        <f t="shared" si="5"/>
        <v>21.997357249829516</v>
      </c>
      <c r="M19" s="478">
        <f t="shared" si="5"/>
        <v>55.950983019475942</v>
      </c>
    </row>
    <row r="20" spans="2:13" ht="16">
      <c r="B20" s="143" t="str">
        <f>"CY "&amp;TEXT(EOMONTH(Hist_Year,24),"YY")&amp;" P / E:"</f>
        <v>CY 26 P / E:</v>
      </c>
      <c r="C20" s="467">
        <v>29.673615384615385</v>
      </c>
      <c r="D20" s="467">
        <v>15.527866721998951</v>
      </c>
      <c r="E20" s="467">
        <v>14.793678239475124</v>
      </c>
      <c r="F20" s="467">
        <v>12.748836079943898</v>
      </c>
      <c r="G20" s="467">
        <v>1.9677521815008725</v>
      </c>
      <c r="H20" s="469">
        <v>286.12321039038875</v>
      </c>
      <c r="I20" s="478">
        <f t="shared" si="5"/>
        <v>3.4456522118954744</v>
      </c>
      <c r="J20" s="478">
        <f t="shared" si="5"/>
        <v>22.323977404739086</v>
      </c>
      <c r="K20" s="478">
        <f t="shared" si="5"/>
        <v>25.904618796579292</v>
      </c>
      <c r="L20" s="478">
        <f t="shared" si="5"/>
        <v>27.190226909500748</v>
      </c>
      <c r="M20" s="478">
        <f t="shared" si="5"/>
        <v>51.960282115886073</v>
      </c>
    </row>
    <row r="21" spans="2:13" ht="16">
      <c r="B21" s="143"/>
      <c r="C21" s="467"/>
      <c r="D21" s="467"/>
      <c r="E21" s="467"/>
      <c r="F21" s="467"/>
      <c r="G21" s="467"/>
      <c r="H21" s="469"/>
      <c r="I21" s="478"/>
      <c r="J21" s="478"/>
      <c r="K21" s="478"/>
      <c r="L21" s="478"/>
      <c r="M21" s="478"/>
    </row>
    <row r="22" spans="2:13" ht="16">
      <c r="B22" s="405" t="s">
        <v>406</v>
      </c>
      <c r="C22" s="467"/>
      <c r="D22" s="467"/>
      <c r="E22" s="467"/>
      <c r="F22" s="467"/>
      <c r="G22" s="467"/>
      <c r="H22" s="469"/>
      <c r="I22" s="478"/>
      <c r="J22" s="478"/>
      <c r="K22" s="478"/>
      <c r="L22" s="478"/>
      <c r="M22" s="478"/>
    </row>
    <row r="23" spans="2:13" ht="16">
      <c r="B23" s="470" t="str">
        <f>TEXT(LTM,"yyyy-mm-dd")&amp;" EV / Revenue:"</f>
        <v>2025-03-31 EV / Revenue:</v>
      </c>
      <c r="C23" s="467" cm="1">
        <f t="array" ref="C23:G24">TRANSPOSE(MAComps!H19:I23)</f>
        <v>11.333424154355374</v>
      </c>
      <c r="D23" s="467">
        <v>8.7215930024627113</v>
      </c>
      <c r="E23" s="467">
        <v>5.6377392793115586</v>
      </c>
      <c r="F23" s="467">
        <v>4.7775823438253298</v>
      </c>
      <c r="G23" s="467">
        <v>3.0920987062769525</v>
      </c>
      <c r="H23" s="469">
        <f>PubComps!N21</f>
        <v>802.28</v>
      </c>
      <c r="I23" s="478">
        <f>(I44+SUM($E$33:$E$39))/$E$42</f>
        <v>17.053328947808282</v>
      </c>
      <c r="J23" s="478">
        <f t="shared" ref="J23:M24" si="6">(J44+SUM($E$33:$E$39))/$E$42</f>
        <v>25.328909197088038</v>
      </c>
      <c r="K23" s="478">
        <f t="shared" si="6"/>
        <v>29.552206052668769</v>
      </c>
      <c r="L23" s="478">
        <f t="shared" si="6"/>
        <v>44.693663610867709</v>
      </c>
      <c r="M23" s="478">
        <f t="shared" si="6"/>
        <v>57.517530786757831</v>
      </c>
    </row>
    <row r="24" spans="2:13" ht="16">
      <c r="B24" s="470" t="str">
        <f>TEXT(LTM,"yyyy-mm-dd")&amp;" EV / EBITDA:"</f>
        <v>2025-03-31 EV / EBITDA:</v>
      </c>
      <c r="C24" s="467">
        <v>61.162624457492981</v>
      </c>
      <c r="D24" s="467">
        <v>33.090098712376282</v>
      </c>
      <c r="E24" s="467">
        <v>22.247188358302189</v>
      </c>
      <c r="F24" s="467">
        <v>17.192494046656151</v>
      </c>
      <c r="G24" s="467">
        <v>16.761584415584416</v>
      </c>
      <c r="H24" s="469">
        <f>PubComps!Q21</f>
        <v>162.02000000000001</v>
      </c>
      <c r="I24" s="478">
        <f>(I45+SUM($E$33:$E$39))/$E$42</f>
        <v>18.491413139614362</v>
      </c>
      <c r="J24" s="478">
        <f t="shared" si="6"/>
        <v>18.918683509420006</v>
      </c>
      <c r="K24" s="478">
        <f t="shared" si="6"/>
        <v>23.930688236304288</v>
      </c>
      <c r="L24" s="478">
        <f t="shared" si="6"/>
        <v>34.682024439285222</v>
      </c>
      <c r="M24" s="478">
        <f t="shared" si="6"/>
        <v>62.517462757668369</v>
      </c>
    </row>
    <row r="25" spans="2:13" ht="16">
      <c r="B25" s="470" t="s">
        <v>407</v>
      </c>
      <c r="C25" s="471" cm="1">
        <f t="array" ref="C25:G27">TRANSPOSE(MAComps!N19:P23)</f>
        <v>0.35322326505446333</v>
      </c>
      <c r="D25" s="471">
        <v>0.23386772161774094</v>
      </c>
      <c r="E25" s="471">
        <v>0.19916534646081641</v>
      </c>
      <c r="F25" s="471">
        <v>8.0667671987169232E-2</v>
      </c>
      <c r="G25" s="471">
        <v>1.919310614962777E-2</v>
      </c>
      <c r="H25" s="469">
        <f>Share_Price</f>
        <v>21.44</v>
      </c>
      <c r="I25" s="463">
        <f>+$H25*(1+G25)</f>
        <v>21.851500195848022</v>
      </c>
      <c r="J25" s="463">
        <f>+$H25*(1+F25)</f>
        <v>23.169514887404912</v>
      </c>
      <c r="K25" s="463">
        <f>+$H25*(1+E25)</f>
        <v>25.710105028119902</v>
      </c>
      <c r="L25" s="463">
        <f>+$H25*(1+D25)</f>
        <v>26.454123951484366</v>
      </c>
      <c r="M25" s="463">
        <f>+$H25*(1+C25)</f>
        <v>29.013106802767695</v>
      </c>
    </row>
    <row r="26" spans="2:13" ht="16">
      <c r="B26" s="470" t="s">
        <v>408</v>
      </c>
      <c r="C26" s="471">
        <v>0.37881768298995766</v>
      </c>
      <c r="D26" s="471">
        <v>0.31107145003566783</v>
      </c>
      <c r="E26" s="471">
        <v>0.25040875603191659</v>
      </c>
      <c r="F26" s="471">
        <v>0.1457562132625746</v>
      </c>
      <c r="G26" s="471">
        <v>-3.0651340996169507E-3</v>
      </c>
      <c r="H26" s="469">
        <f>Share_Price</f>
        <v>21.44</v>
      </c>
      <c r="I26" s="463">
        <f t="shared" ref="I26:I27" si="7">+$H26*(1+G26)</f>
        <v>21.374283524904214</v>
      </c>
      <c r="J26" s="463">
        <f t="shared" ref="J26:J27" si="8">+$H26*(1+F26)</f>
        <v>24.565013212349601</v>
      </c>
      <c r="K26" s="463">
        <f t="shared" ref="K26:K27" si="9">+$H26*(1+E26)</f>
        <v>26.808763729324294</v>
      </c>
      <c r="L26" s="463">
        <f t="shared" ref="L26:L27" si="10">+$H26*(1+D26)</f>
        <v>28.109371888764723</v>
      </c>
      <c r="M26" s="463">
        <f t="shared" ref="M26:M27" si="11">+$H26*(1+C26)</f>
        <v>29.561851123304695</v>
      </c>
    </row>
    <row r="27" spans="2:13" ht="16">
      <c r="B27" s="470" t="s">
        <v>409</v>
      </c>
      <c r="C27" s="471">
        <v>0.74159801229240241</v>
      </c>
      <c r="D27" s="471">
        <v>0.40232493359854682</v>
      </c>
      <c r="E27" s="471">
        <v>0.34778464563999156</v>
      </c>
      <c r="F27" s="471">
        <v>0.21684374737018786</v>
      </c>
      <c r="G27" s="471">
        <v>9.8353735753482496E-2</v>
      </c>
      <c r="H27" s="469">
        <f>Share_Price</f>
        <v>21.44</v>
      </c>
      <c r="I27" s="463">
        <f t="shared" si="7"/>
        <v>23.548704094554665</v>
      </c>
      <c r="J27" s="463">
        <f t="shared" si="8"/>
        <v>26.089129943616829</v>
      </c>
      <c r="K27" s="463">
        <f t="shared" si="9"/>
        <v>28.896502802521422</v>
      </c>
      <c r="L27" s="463">
        <f t="shared" si="10"/>
        <v>30.065846576352847</v>
      </c>
      <c r="M27" s="463">
        <f t="shared" si="11"/>
        <v>37.339861383549113</v>
      </c>
    </row>
    <row r="28" spans="2:13" ht="16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ht="16">
      <c r="B29" s="133" t="s">
        <v>410</v>
      </c>
      <c r="C29" s="10"/>
      <c r="D29" s="10"/>
      <c r="E29" s="10"/>
      <c r="F29" s="10"/>
      <c r="G29" s="10"/>
      <c r="H29" s="10"/>
      <c r="I29" s="155"/>
      <c r="J29" s="155"/>
      <c r="K29" s="155"/>
      <c r="L29" s="155"/>
      <c r="M29" s="155"/>
    </row>
    <row r="30" spans="2:13" ht="16">
      <c r="B30" s="143" t="s">
        <v>416</v>
      </c>
      <c r="C30" s="10"/>
      <c r="D30" s="10"/>
      <c r="E30" s="10"/>
      <c r="F30" s="10"/>
      <c r="G30" s="10"/>
      <c r="H30" s="10"/>
      <c r="I30" s="479">
        <f>DCF!M98</f>
        <v>49.546166243208191</v>
      </c>
      <c r="J30" s="479">
        <f>DCF!L97</f>
        <v>55.209717308739741</v>
      </c>
      <c r="K30" s="479">
        <f>DCF!K96</f>
        <v>62.123612500852289</v>
      </c>
      <c r="L30" s="479">
        <f>DCF!J95</f>
        <v>70.748654221560528</v>
      </c>
      <c r="M30" s="479">
        <f>DCF!I94</f>
        <v>81.803691061316741</v>
      </c>
    </row>
    <row r="31" spans="2:13" ht="16">
      <c r="B31" s="143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pans="2:13" ht="16">
      <c r="B32" s="480" t="s">
        <v>411</v>
      </c>
      <c r="C32" s="472"/>
      <c r="D32" s="472"/>
      <c r="E32" s="473">
        <f>K34</f>
        <v>1674.5823653950358</v>
      </c>
      <c r="F32" s="10"/>
      <c r="G32" s="481" t="s">
        <v>417</v>
      </c>
      <c r="H32" s="481"/>
      <c r="I32" s="481"/>
      <c r="J32" s="482"/>
      <c r="K32" s="482"/>
      <c r="L32" s="482"/>
      <c r="M32" s="482"/>
    </row>
    <row r="33" spans="2:13" ht="16">
      <c r="B33" s="103" t="s">
        <v>151</v>
      </c>
      <c r="C33" s="31"/>
      <c r="D33" s="31"/>
      <c r="E33" s="474">
        <f>-DCF!G22</f>
        <v>411.31</v>
      </c>
      <c r="F33" s="10"/>
      <c r="G33" s="10"/>
      <c r="H33" s="10"/>
      <c r="I33" s="10"/>
      <c r="J33" s="10"/>
      <c r="K33" s="10"/>
      <c r="L33" s="10"/>
      <c r="M33" s="10"/>
    </row>
    <row r="34" spans="2:13" ht="16">
      <c r="B34" s="103" t="s">
        <v>152</v>
      </c>
      <c r="C34" s="10"/>
      <c r="D34" s="10"/>
      <c r="E34" s="474">
        <f>-DCF!G23</f>
        <v>0</v>
      </c>
      <c r="F34" s="10"/>
      <c r="G34" s="466" t="s">
        <v>412</v>
      </c>
      <c r="H34" s="475"/>
      <c r="I34" s="139">
        <f t="shared" ref="I34:I42" si="12">G12*$H12</f>
        <v>478.61282379237775</v>
      </c>
      <c r="J34" s="139">
        <f t="shared" ref="J34:J42" si="13">F12*$H12</f>
        <v>1023.9405205014493</v>
      </c>
      <c r="K34" s="139">
        <f t="shared" ref="K34:K42" si="14">E12*$H12</f>
        <v>1674.5823653950358</v>
      </c>
      <c r="L34" s="139">
        <f t="shared" ref="L34:L42" si="15">D12*$H12</f>
        <v>2708.6702798033821</v>
      </c>
      <c r="M34" s="139">
        <f t="shared" ref="M34:M42" si="16">C12*$H12</f>
        <v>3478.4155308641216</v>
      </c>
    </row>
    <row r="35" spans="2:13" ht="16">
      <c r="B35" s="103" t="s">
        <v>153</v>
      </c>
      <c r="C35" s="10"/>
      <c r="D35" s="10"/>
      <c r="E35" s="474">
        <f>-DCF!G24</f>
        <v>-105.52500000000001</v>
      </c>
      <c r="F35" s="10"/>
      <c r="G35" s="466" t="s">
        <v>412</v>
      </c>
      <c r="H35" s="10"/>
      <c r="I35" s="139">
        <f t="shared" si="12"/>
        <v>324.13704874008278</v>
      </c>
      <c r="J35" s="139">
        <f t="shared" si="13"/>
        <v>832.13476820501944</v>
      </c>
      <c r="K35" s="139">
        <f t="shared" si="14"/>
        <v>1539.7537977988463</v>
      </c>
      <c r="L35" s="139">
        <f t="shared" si="15"/>
        <v>2344.7309899823163</v>
      </c>
      <c r="M35" s="139">
        <f t="shared" si="16"/>
        <v>3580.3602894333521</v>
      </c>
    </row>
    <row r="36" spans="2:13" ht="16">
      <c r="B36" s="103" t="s">
        <v>154</v>
      </c>
      <c r="C36" s="10"/>
      <c r="D36" s="10"/>
      <c r="E36" s="474">
        <f>-DCF!G25</f>
        <v>0</v>
      </c>
      <c r="F36" s="10"/>
      <c r="G36" s="466" t="s">
        <v>412</v>
      </c>
      <c r="H36" s="10"/>
      <c r="I36" s="139">
        <f t="shared" si="12"/>
        <v>377.00775660605046</v>
      </c>
      <c r="J36" s="139">
        <f t="shared" si="13"/>
        <v>1026.4179197762569</v>
      </c>
      <c r="K36" s="139">
        <f t="shared" si="14"/>
        <v>1819.0880654586715</v>
      </c>
      <c r="L36" s="139">
        <f t="shared" si="15"/>
        <v>2799.4032788462841</v>
      </c>
      <c r="M36" s="139">
        <f t="shared" si="16"/>
        <v>4250.9739896348901</v>
      </c>
    </row>
    <row r="37" spans="2:13" ht="16">
      <c r="B37" s="103" t="s">
        <v>155</v>
      </c>
      <c r="C37" s="10"/>
      <c r="D37" s="10"/>
      <c r="E37" s="474">
        <f>-DCF!G26</f>
        <v>0</v>
      </c>
      <c r="F37" s="10"/>
      <c r="G37" s="466" t="s">
        <v>412</v>
      </c>
      <c r="H37" s="10"/>
      <c r="I37" s="139">
        <f t="shared" si="12"/>
        <v>968.06089308110938</v>
      </c>
      <c r="J37" s="139">
        <f t="shared" si="13"/>
        <v>1425.4543491646314</v>
      </c>
      <c r="K37" s="139">
        <f t="shared" si="14"/>
        <v>2037.5834838048036</v>
      </c>
      <c r="L37" s="139">
        <f t="shared" si="15"/>
        <v>3662.2451831185867</v>
      </c>
      <c r="M37" s="139">
        <f t="shared" si="16"/>
        <v>4247.9333096671953</v>
      </c>
    </row>
    <row r="38" spans="2:13" ht="16">
      <c r="B38" s="103" t="s">
        <v>156</v>
      </c>
      <c r="C38" s="10"/>
      <c r="D38" s="10"/>
      <c r="E38" s="474">
        <f>-DCF!G27</f>
        <v>0</v>
      </c>
      <c r="F38" s="10"/>
      <c r="G38" s="466" t="s">
        <v>412</v>
      </c>
      <c r="H38" s="10"/>
      <c r="I38" s="139">
        <f t="shared" si="12"/>
        <v>310.15467109112711</v>
      </c>
      <c r="J38" s="139">
        <f t="shared" si="13"/>
        <v>2347.4264352236833</v>
      </c>
      <c r="K38" s="139">
        <f t="shared" si="14"/>
        <v>2895.7963711067728</v>
      </c>
      <c r="L38" s="139">
        <f t="shared" si="15"/>
        <v>3465.216448331224</v>
      </c>
      <c r="M38" s="139">
        <f t="shared" si="16"/>
        <v>4660.7163441761923</v>
      </c>
    </row>
    <row r="39" spans="2:13" ht="16">
      <c r="B39" s="103" t="s">
        <v>157</v>
      </c>
      <c r="C39" s="10"/>
      <c r="D39" s="10"/>
      <c r="E39" s="476">
        <f>-DCF!G28</f>
        <v>0</v>
      </c>
      <c r="F39" s="10"/>
      <c r="G39" s="466" t="s">
        <v>412</v>
      </c>
      <c r="H39" s="10"/>
      <c r="I39" s="139">
        <f t="shared" si="12"/>
        <v>376.67690711873325</v>
      </c>
      <c r="J39" s="139">
        <f t="shared" si="13"/>
        <v>3351.8137898943319</v>
      </c>
      <c r="K39" s="139">
        <f t="shared" si="14"/>
        <v>3795.6799032266008</v>
      </c>
      <c r="L39" s="139">
        <f t="shared" si="15"/>
        <v>4316.1865656762138</v>
      </c>
      <c r="M39" s="139">
        <f t="shared" si="16"/>
        <v>5098.6365312332309</v>
      </c>
    </row>
    <row r="40" spans="2:13" ht="16">
      <c r="B40" s="483" t="s">
        <v>158</v>
      </c>
      <c r="C40" s="484"/>
      <c r="D40" s="484"/>
      <c r="E40" s="485">
        <f>SUM(E32:E39)</f>
        <v>1980.3673653950359</v>
      </c>
      <c r="F40" s="10"/>
      <c r="G40" s="466" t="s">
        <v>413</v>
      </c>
      <c r="H40" s="10"/>
      <c r="I40" s="139">
        <f t="shared" si="12"/>
        <v>153.74030605545491</v>
      </c>
      <c r="J40" s="139">
        <f t="shared" si="13"/>
        <v>1093.4640252418124</v>
      </c>
      <c r="K40" s="139">
        <f t="shared" si="14"/>
        <v>1662.8007826389014</v>
      </c>
      <c r="L40" s="139">
        <f t="shared" si="15"/>
        <v>3963.592312985545</v>
      </c>
      <c r="M40" s="139">
        <f t="shared" si="16"/>
        <v>4871.5122528497404</v>
      </c>
    </row>
    <row r="41" spans="2:13" ht="16">
      <c r="B41" s="10"/>
      <c r="C41" s="10"/>
      <c r="D41" s="10"/>
      <c r="E41" s="10"/>
      <c r="F41" s="10"/>
      <c r="G41" s="466" t="s">
        <v>413</v>
      </c>
      <c r="H41" s="10"/>
      <c r="I41" s="139">
        <f t="shared" si="12"/>
        <v>523.35958030558857</v>
      </c>
      <c r="J41" s="139">
        <f t="shared" si="13"/>
        <v>3486.9806937060571</v>
      </c>
      <c r="K41" s="139">
        <f t="shared" si="14"/>
        <v>3519.5416694195574</v>
      </c>
      <c r="L41" s="139">
        <f t="shared" si="15"/>
        <v>3594.3681746221432</v>
      </c>
      <c r="M41" s="139">
        <f t="shared" si="16"/>
        <v>9142.3906253823698</v>
      </c>
    </row>
    <row r="42" spans="2:13" ht="16">
      <c r="B42" s="31" t="s">
        <v>89</v>
      </c>
      <c r="C42" s="31"/>
      <c r="D42" s="31"/>
      <c r="E42" s="486">
        <f>Diluted</f>
        <v>163.4</v>
      </c>
      <c r="F42" s="10"/>
      <c r="G42" s="466" t="s">
        <v>413</v>
      </c>
      <c r="H42" s="10"/>
      <c r="I42" s="139">
        <f t="shared" si="12"/>
        <v>563.01957142372055</v>
      </c>
      <c r="J42" s="139">
        <f t="shared" si="13"/>
        <v>3647.7379079343668</v>
      </c>
      <c r="K42" s="139">
        <f t="shared" si="14"/>
        <v>4232.8147113610567</v>
      </c>
      <c r="L42" s="139">
        <f t="shared" si="15"/>
        <v>4442.8830770124223</v>
      </c>
      <c r="M42" s="139">
        <f t="shared" si="16"/>
        <v>8490.3100977357844</v>
      </c>
    </row>
    <row r="43" spans="2:13" ht="16">
      <c r="B43" s="31"/>
      <c r="C43" s="31"/>
      <c r="D43" s="31"/>
      <c r="E43" s="31"/>
      <c r="F43" s="10"/>
      <c r="G43" s="10"/>
      <c r="H43" s="10"/>
      <c r="I43" s="10"/>
      <c r="J43" s="10"/>
      <c r="K43" s="10"/>
      <c r="L43" s="10"/>
      <c r="M43" s="10"/>
    </row>
    <row r="44" spans="2:13" ht="16">
      <c r="B44" s="487" t="s">
        <v>159</v>
      </c>
      <c r="C44" s="488"/>
      <c r="D44" s="488"/>
      <c r="E44" s="489">
        <f>E40/E42</f>
        <v>12.119751318207074</v>
      </c>
      <c r="F44" s="10"/>
      <c r="G44" s="466" t="s">
        <v>412</v>
      </c>
      <c r="H44" s="466"/>
      <c r="I44" s="139">
        <f>+G23*$H23</f>
        <v>2480.7289500718734</v>
      </c>
      <c r="J44" s="139">
        <f>H23*F23</f>
        <v>3832.9587628041854</v>
      </c>
      <c r="K44" s="139">
        <f>H23*E23</f>
        <v>4523.0454690060769</v>
      </c>
      <c r="L44" s="139">
        <f>H23*D23</f>
        <v>6997.1596340157839</v>
      </c>
      <c r="M44" s="139">
        <f>H23*C23</f>
        <v>9092.5795305562297</v>
      </c>
    </row>
    <row r="45" spans="2:13" ht="16">
      <c r="B45" s="490" t="s">
        <v>160</v>
      </c>
      <c r="C45" s="491"/>
      <c r="D45" s="491"/>
      <c r="E45" s="492">
        <f>E44/Share_Price-1</f>
        <v>-0.43471309150153581</v>
      </c>
      <c r="F45" s="10"/>
      <c r="G45" s="466" t="s">
        <v>412</v>
      </c>
      <c r="H45" s="466"/>
      <c r="I45" s="139">
        <f>+G24*$H24</f>
        <v>2715.711907012987</v>
      </c>
      <c r="J45" s="139">
        <f>H24*F24</f>
        <v>2785.5278854392295</v>
      </c>
      <c r="K45" s="139">
        <f>H24*E24</f>
        <v>3604.4894578121211</v>
      </c>
      <c r="L45" s="139">
        <f>H24*D24</f>
        <v>5361.2577933792054</v>
      </c>
      <c r="M45" s="139">
        <f>H24*C24</f>
        <v>9909.5684146030126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78784-ABC8-41C3-9B27-8F6B6124847E}">
  <dimension ref="B1:O56"/>
  <sheetViews>
    <sheetView showGridLines="0" topLeftCell="A25" zoomScale="68" workbookViewId="0">
      <selection activeCell="J41" sqref="A1:XFD1048576"/>
    </sheetView>
  </sheetViews>
  <sheetFormatPr defaultRowHeight="14.5"/>
  <cols>
    <col min="2" max="2" width="69" bestFit="1" customWidth="1"/>
    <col min="5" max="9" width="10.54296875" bestFit="1" customWidth="1"/>
    <col min="10" max="10" width="11.1796875" bestFit="1" customWidth="1"/>
    <col min="11" max="11" width="10.7265625" bestFit="1" customWidth="1"/>
    <col min="12" max="12" width="11.7265625" bestFit="1" customWidth="1"/>
    <col min="13" max="13" width="14.1796875" bestFit="1" customWidth="1"/>
    <col min="14" max="14" width="11.7265625" bestFit="1" customWidth="1"/>
    <col min="15" max="15" width="10.81640625" bestFit="1" customWidth="1"/>
    <col min="17" max="18" width="9.54296875" bestFit="1" customWidth="1"/>
  </cols>
  <sheetData>
    <row r="1" spans="11:11">
      <c r="K1" t="str">
        <f>Company_Name&amp;"  -  Range of Implied Share Prices:"</f>
        <v>ACM Research, Inc.  -  Range of Implied Share Prices:</v>
      </c>
    </row>
    <row r="34" spans="2:15" ht="16">
      <c r="B34" s="497"/>
      <c r="E34" s="493" t="s">
        <v>419</v>
      </c>
      <c r="F34" s="493" t="s">
        <v>398</v>
      </c>
      <c r="G34" s="493" t="s">
        <v>335</v>
      </c>
      <c r="H34" s="493" t="s">
        <v>397</v>
      </c>
      <c r="I34" s="493" t="s">
        <v>420</v>
      </c>
      <c r="J34" s="494"/>
      <c r="K34" s="493" t="s">
        <v>421</v>
      </c>
      <c r="L34" s="493" t="s">
        <v>422</v>
      </c>
      <c r="M34" s="493" t="s">
        <v>423</v>
      </c>
      <c r="N34" s="493" t="s">
        <v>424</v>
      </c>
      <c r="O34" s="493" t="s">
        <v>425</v>
      </c>
    </row>
    <row r="35" spans="2:15" ht="16">
      <c r="B35" s="497"/>
      <c r="E35" s="493"/>
      <c r="F35" s="493"/>
      <c r="G35" s="493"/>
      <c r="H35" s="493"/>
      <c r="I35" s="493"/>
      <c r="J35" s="494"/>
      <c r="K35" s="493"/>
      <c r="L35" s="493"/>
      <c r="M35" s="493"/>
      <c r="N35" s="493"/>
      <c r="O35" s="493"/>
    </row>
    <row r="36" spans="2:15" ht="16">
      <c r="B36" s="497" t="str">
        <f>Valsum!B30</f>
        <v>(10% - 12% WACC, 4.5% - 7.5% Free Cash Flow Growth Rate</v>
      </c>
      <c r="E36" s="493"/>
      <c r="F36" s="493"/>
      <c r="G36" s="493"/>
      <c r="H36" s="493"/>
      <c r="I36" s="493"/>
      <c r="J36" s="494"/>
      <c r="K36" s="493"/>
      <c r="L36" s="493"/>
      <c r="M36" s="493"/>
      <c r="N36" s="493"/>
      <c r="O36" s="493"/>
    </row>
    <row r="37" spans="2:15" ht="16">
      <c r="B37" s="497" t="str">
        <f>Valsum!B29</f>
        <v>Discounted Cash Flow Analysis:</v>
      </c>
      <c r="E37" s="494">
        <f>Valsum!I30</f>
        <v>49.546166243208191</v>
      </c>
      <c r="F37" s="494">
        <f>Valsum!J30</f>
        <v>55.209717308739741</v>
      </c>
      <c r="G37" s="494">
        <f>Valsum!K30</f>
        <v>62.123612500852289</v>
      </c>
      <c r="H37" s="494">
        <f>Valsum!L30</f>
        <v>70.748654221560528</v>
      </c>
      <c r="I37" s="494">
        <f>Valsum!M30</f>
        <v>81.803691061316741</v>
      </c>
      <c r="J37" s="494"/>
      <c r="K37" s="495">
        <f>E37</f>
        <v>49.546166243208191</v>
      </c>
      <c r="L37" s="495">
        <f t="shared" ref="L37:O37" si="0">F37-E37</f>
        <v>5.66355106553155</v>
      </c>
      <c r="M37" s="495">
        <f t="shared" si="0"/>
        <v>6.9138951921125482</v>
      </c>
      <c r="N37" s="495">
        <f t="shared" si="0"/>
        <v>8.6250417207082393</v>
      </c>
      <c r="O37" s="495">
        <f t="shared" si="0"/>
        <v>11.055036839756212</v>
      </c>
    </row>
    <row r="38" spans="2:15" ht="16">
      <c r="B38" s="497"/>
      <c r="E38" s="494"/>
      <c r="F38" s="494"/>
      <c r="G38" s="494"/>
      <c r="H38" s="494"/>
      <c r="I38" s="494"/>
      <c r="J38" s="494"/>
      <c r="K38" s="494"/>
      <c r="L38" s="494"/>
      <c r="M38" s="494"/>
      <c r="N38" s="494"/>
    </row>
    <row r="39" spans="2:15" ht="16">
      <c r="B39" s="497" t="s">
        <v>409</v>
      </c>
      <c r="C39" s="143"/>
      <c r="E39" s="494">
        <f>Valsum!I27</f>
        <v>23.548704094554665</v>
      </c>
      <c r="F39" s="494">
        <f>Valsum!J27</f>
        <v>26.089129943616829</v>
      </c>
      <c r="G39" s="494">
        <f>Valsum!K27</f>
        <v>28.896502802521422</v>
      </c>
      <c r="H39" s="494">
        <f>Valsum!L27</f>
        <v>30.065846576352847</v>
      </c>
      <c r="I39" s="494">
        <f>Valsum!M27</f>
        <v>37.339861383549113</v>
      </c>
      <c r="K39" s="495">
        <f>+E39</f>
        <v>23.548704094554665</v>
      </c>
      <c r="L39" s="495">
        <f t="shared" ref="L39:O40" si="1">+F39-E39</f>
        <v>2.5404258490621636</v>
      </c>
      <c r="M39" s="495">
        <f t="shared" si="1"/>
        <v>2.8073728589045928</v>
      </c>
      <c r="N39" s="495">
        <f t="shared" si="1"/>
        <v>1.1693437738314252</v>
      </c>
      <c r="O39" s="495">
        <f t="shared" si="1"/>
        <v>7.2740148071962665</v>
      </c>
    </row>
    <row r="40" spans="2:15" ht="16">
      <c r="B40" s="497" t="s">
        <v>408</v>
      </c>
      <c r="C40" s="143"/>
      <c r="E40" s="494" cm="1">
        <f t="array" ref="E40:I40">Valsum!I26:M26</f>
        <v>21.374283524904214</v>
      </c>
      <c r="F40" s="494">
        <v>24.565013212349601</v>
      </c>
      <c r="G40" s="494">
        <v>26.808763729324294</v>
      </c>
      <c r="H40" s="494">
        <v>28.109371888764723</v>
      </c>
      <c r="I40" s="494">
        <v>29.561851123304695</v>
      </c>
      <c r="K40" s="495">
        <f>+E40</f>
        <v>21.374283524904214</v>
      </c>
      <c r="L40" s="495">
        <f t="shared" si="1"/>
        <v>3.190729687445387</v>
      </c>
      <c r="M40" s="495">
        <f t="shared" si="1"/>
        <v>2.2437505169746927</v>
      </c>
      <c r="N40" s="495">
        <f t="shared" si="1"/>
        <v>1.3006081594404293</v>
      </c>
      <c r="O40" s="495">
        <f t="shared" si="1"/>
        <v>1.4524792345399717</v>
      </c>
    </row>
    <row r="41" spans="2:15" ht="16">
      <c r="B41" s="497" t="s">
        <v>407</v>
      </c>
      <c r="C41" s="143"/>
      <c r="E41" s="494" cm="1">
        <f t="array" ref="E41:I41">Valsum!I25:M25</f>
        <v>21.851500195848022</v>
      </c>
      <c r="F41" s="494">
        <v>23.169514887404912</v>
      </c>
      <c r="G41" s="494">
        <v>25.710105028119902</v>
      </c>
      <c r="H41" s="494">
        <v>26.454123951484366</v>
      </c>
      <c r="I41" s="494">
        <v>29.013106802767695</v>
      </c>
      <c r="J41" s="494"/>
      <c r="K41" s="495">
        <f>E41</f>
        <v>21.851500195848022</v>
      </c>
      <c r="L41" s="495">
        <f>F41-E41</f>
        <v>1.3180146915568898</v>
      </c>
      <c r="M41" s="495">
        <f t="shared" ref="M41:O52" si="2">G41-F41</f>
        <v>2.5405901407149898</v>
      </c>
      <c r="N41" s="495">
        <f t="shared" si="2"/>
        <v>0.74401892336446451</v>
      </c>
      <c r="O41" s="495">
        <f t="shared" si="2"/>
        <v>2.5589828512833286</v>
      </c>
    </row>
    <row r="42" spans="2:15" ht="16">
      <c r="B42" s="497" t="str">
        <f>Valsum!B24</f>
        <v>2025-03-31 EV / EBITDA:</v>
      </c>
      <c r="C42" s="143"/>
      <c r="E42" s="494" cm="1">
        <f t="array" ref="E42:I42">Valsum!I24:M24</f>
        <v>18.491413139614362</v>
      </c>
      <c r="F42" s="494">
        <v>18.918683509420006</v>
      </c>
      <c r="G42" s="494">
        <v>23.930688236304288</v>
      </c>
      <c r="H42" s="494">
        <v>34.682024439285222</v>
      </c>
      <c r="I42" s="494">
        <v>62.517462757668369</v>
      </c>
      <c r="J42" s="494"/>
      <c r="K42" s="495">
        <f>E42</f>
        <v>18.491413139614362</v>
      </c>
      <c r="L42" s="495">
        <f>F42-E42</f>
        <v>0.42727036980564392</v>
      </c>
      <c r="M42" s="495">
        <f t="shared" ref="M42" si="3">G42-F42</f>
        <v>5.0120047268842818</v>
      </c>
      <c r="N42" s="495">
        <f t="shared" ref="N42" si="4">H42-G42</f>
        <v>10.751336202980934</v>
      </c>
      <c r="O42" s="495">
        <f t="shared" ref="O42" si="5">I42-H42</f>
        <v>27.835438318383147</v>
      </c>
    </row>
    <row r="43" spans="2:15" ht="16">
      <c r="B43" s="497" t="str">
        <f>Valsum!B23</f>
        <v>2025-03-31 EV / Revenue:</v>
      </c>
      <c r="C43" s="143"/>
      <c r="E43" s="494" cm="1">
        <f t="array" ref="E43:I43">Valsum!I23:M23</f>
        <v>17.053328947808282</v>
      </c>
      <c r="F43" s="494">
        <v>25.328909197088038</v>
      </c>
      <c r="G43" s="494">
        <v>29.552206052668769</v>
      </c>
      <c r="H43" s="494">
        <v>44.693663610867709</v>
      </c>
      <c r="I43" s="494">
        <v>57.517530786757831</v>
      </c>
      <c r="J43" s="494"/>
      <c r="K43" s="495">
        <f>E43</f>
        <v>17.053328947808282</v>
      </c>
      <c r="L43" s="495">
        <f>F43-E43</f>
        <v>8.2755802492797557</v>
      </c>
      <c r="M43" s="495">
        <f t="shared" si="2"/>
        <v>4.2232968555807311</v>
      </c>
      <c r="N43" s="495">
        <f t="shared" si="2"/>
        <v>15.14145755819894</v>
      </c>
      <c r="O43" s="495">
        <f t="shared" si="2"/>
        <v>12.823867175890122</v>
      </c>
    </row>
    <row r="44" spans="2:15" ht="16">
      <c r="B44" s="497" t="str">
        <f>Valsum!B22</f>
        <v>Precedent Transactions:</v>
      </c>
      <c r="C44" s="143"/>
      <c r="E44" s="494"/>
      <c r="F44" s="494"/>
      <c r="G44" s="494"/>
      <c r="H44" s="494"/>
      <c r="I44" s="494"/>
      <c r="J44" s="494"/>
      <c r="K44" s="495">
        <f t="shared" ref="K44:K52" si="6">E44</f>
        <v>0</v>
      </c>
      <c r="L44" s="495">
        <f t="shared" ref="L44:L52" si="7">F44-E44</f>
        <v>0</v>
      </c>
      <c r="M44" s="495">
        <f t="shared" si="2"/>
        <v>0</v>
      </c>
      <c r="N44" s="495">
        <f t="shared" si="2"/>
        <v>0</v>
      </c>
      <c r="O44" s="495">
        <f t="shared" si="2"/>
        <v>0</v>
      </c>
    </row>
    <row r="45" spans="2:15" ht="16">
      <c r="B45" s="497"/>
      <c r="C45" s="143"/>
      <c r="E45" s="494"/>
      <c r="F45" s="494"/>
      <c r="G45" s="494"/>
      <c r="H45" s="494"/>
      <c r="I45" s="494"/>
      <c r="J45" s="494"/>
      <c r="K45" s="495">
        <f t="shared" si="6"/>
        <v>0</v>
      </c>
      <c r="L45" s="495">
        <f t="shared" si="7"/>
        <v>0</v>
      </c>
      <c r="M45" s="495">
        <f t="shared" si="2"/>
        <v>0</v>
      </c>
      <c r="N45" s="495">
        <f t="shared" si="2"/>
        <v>0</v>
      </c>
      <c r="O45" s="495">
        <f t="shared" si="2"/>
        <v>0</v>
      </c>
    </row>
    <row r="46" spans="2:15" ht="16">
      <c r="B46" s="497" t="str">
        <f>Valsum!B20</f>
        <v>CY 26 P / E:</v>
      </c>
      <c r="C46" s="143"/>
      <c r="E46" s="494" cm="1">
        <f t="array" ref="E46:I46">Valsum!I20:M20</f>
        <v>3.4456522118954744</v>
      </c>
      <c r="F46" s="494">
        <v>22.323977404739086</v>
      </c>
      <c r="G46" s="494">
        <v>25.904618796579292</v>
      </c>
      <c r="H46" s="494">
        <v>27.190226909500748</v>
      </c>
      <c r="I46" s="494">
        <v>51.960282115886073</v>
      </c>
      <c r="J46" s="494"/>
      <c r="K46" s="495">
        <f t="shared" si="6"/>
        <v>3.4456522118954744</v>
      </c>
      <c r="L46" s="495">
        <f t="shared" si="7"/>
        <v>18.878325192843612</v>
      </c>
      <c r="M46" s="495">
        <f t="shared" si="2"/>
        <v>3.5806413918402065</v>
      </c>
      <c r="N46" s="495">
        <f t="shared" si="2"/>
        <v>1.2856081129214552</v>
      </c>
      <c r="O46" s="495">
        <f t="shared" si="2"/>
        <v>24.770055206385326</v>
      </c>
    </row>
    <row r="47" spans="2:15" ht="16">
      <c r="B47" s="497" t="str">
        <f>Valsum!B19</f>
        <v>CY 25 P / E:</v>
      </c>
      <c r="C47" s="143"/>
      <c r="E47" s="494" cm="1">
        <f t="array" ref="E47:I47">Valsum!I19:M19</f>
        <v>3.202935007990138</v>
      </c>
      <c r="F47" s="494">
        <v>21.340151124272076</v>
      </c>
      <c r="G47" s="494">
        <v>21.53942270146608</v>
      </c>
      <c r="H47" s="494">
        <v>21.997357249829516</v>
      </c>
      <c r="I47" s="494">
        <v>55.950983019475942</v>
      </c>
      <c r="J47" s="494"/>
      <c r="K47" s="495">
        <f t="shared" si="6"/>
        <v>3.202935007990138</v>
      </c>
      <c r="L47" s="495">
        <f t="shared" si="7"/>
        <v>18.137216116281937</v>
      </c>
      <c r="M47" s="495">
        <f t="shared" si="2"/>
        <v>0.19927157719400412</v>
      </c>
      <c r="N47" s="495">
        <f t="shared" si="2"/>
        <v>0.45793454836343628</v>
      </c>
      <c r="O47" s="495">
        <f t="shared" si="2"/>
        <v>33.953625769646422</v>
      </c>
    </row>
    <row r="48" spans="2:15" ht="16">
      <c r="B48" s="497" t="str">
        <f>Valsum!B18</f>
        <v>LTM P / E:</v>
      </c>
      <c r="C48" s="143"/>
      <c r="E48" s="494" cm="1">
        <f t="array" ref="E48:I48">Valsum!I18:M18</f>
        <v>0.94088314599421607</v>
      </c>
      <c r="F48" s="494">
        <v>6.6919462989095004</v>
      </c>
      <c r="G48" s="494">
        <v>10.176259379675038</v>
      </c>
      <c r="H48" s="494">
        <v>24.256990899544338</v>
      </c>
      <c r="I48" s="494">
        <v>29.813416480108568</v>
      </c>
      <c r="J48" s="494"/>
      <c r="K48" s="495">
        <f t="shared" si="6"/>
        <v>0.94088314599421607</v>
      </c>
      <c r="L48" s="495">
        <f t="shared" si="7"/>
        <v>5.7510631529152842</v>
      </c>
      <c r="M48" s="495">
        <f t="shared" si="2"/>
        <v>3.4843130807655376</v>
      </c>
      <c r="N48" s="495">
        <f t="shared" si="2"/>
        <v>14.0807315198693</v>
      </c>
      <c r="O48" s="495">
        <f t="shared" si="2"/>
        <v>5.5564255805642304</v>
      </c>
    </row>
    <row r="49" spans="2:15" ht="16">
      <c r="B49" s="497" t="str">
        <f>Valsum!B17</f>
        <v>CY 26 TEV / EBITDA:</v>
      </c>
      <c r="E49" s="494" cm="1">
        <f t="array" ref="E49:I49">Valsum!I17:M17</f>
        <v>4.1766334584989799</v>
      </c>
      <c r="F49" s="494">
        <v>22.384325519549154</v>
      </c>
      <c r="G49" s="494">
        <v>25.100764401631583</v>
      </c>
      <c r="H49" s="494">
        <v>28.286239692020892</v>
      </c>
      <c r="I49" s="494">
        <v>33.07479517278599</v>
      </c>
      <c r="J49" s="494"/>
      <c r="K49" s="495">
        <f t="shared" si="6"/>
        <v>4.1766334584989799</v>
      </c>
      <c r="L49" s="495">
        <f t="shared" si="7"/>
        <v>18.207692061050174</v>
      </c>
      <c r="M49" s="495">
        <f t="shared" si="2"/>
        <v>2.7164388820824286</v>
      </c>
      <c r="N49" s="495">
        <f t="shared" si="2"/>
        <v>3.1854752903893093</v>
      </c>
      <c r="O49" s="495">
        <f t="shared" si="2"/>
        <v>4.7885554807650976</v>
      </c>
    </row>
    <row r="50" spans="2:15" ht="16">
      <c r="B50" s="497" t="str">
        <f>Valsum!B16</f>
        <v>CY 25 TEV / EBITDA:</v>
      </c>
      <c r="E50" s="494" cm="1">
        <f t="array" ref="E50:I50">Valsum!I16:M16</f>
        <v>3.7695206309126505</v>
      </c>
      <c r="F50" s="494">
        <v>16.237524083376272</v>
      </c>
      <c r="G50" s="494">
        <v>19.593521243003504</v>
      </c>
      <c r="H50" s="494">
        <v>23.078344237033193</v>
      </c>
      <c r="I50" s="494">
        <v>30.394745068397746</v>
      </c>
      <c r="J50" s="494"/>
      <c r="K50" s="495">
        <f t="shared" si="6"/>
        <v>3.7695206309126505</v>
      </c>
      <c r="L50" s="495">
        <f t="shared" si="7"/>
        <v>12.468003452463622</v>
      </c>
      <c r="M50" s="495">
        <f t="shared" si="2"/>
        <v>3.3559971596272327</v>
      </c>
      <c r="N50" s="495">
        <f t="shared" si="2"/>
        <v>3.4848229940296882</v>
      </c>
      <c r="O50" s="495">
        <f t="shared" si="2"/>
        <v>7.3164008313645539</v>
      </c>
    </row>
    <row r="51" spans="2:15" ht="16">
      <c r="B51" s="497" t="str">
        <f>Valsum!B15</f>
        <v>LTM TEV / EBITDA:</v>
      </c>
      <c r="E51" s="494" cm="1">
        <f t="array" ref="E51:I51">Valsum!I15:M15</f>
        <v>7.7958744986603996</v>
      </c>
      <c r="F51" s="494">
        <v>10.595100056087094</v>
      </c>
      <c r="G51" s="494">
        <v>14.341300390482273</v>
      </c>
      <c r="H51" s="494">
        <v>24.284150447482169</v>
      </c>
      <c r="I51" s="494">
        <v>27.868533106898379</v>
      </c>
      <c r="J51" s="494"/>
      <c r="K51" s="495">
        <f t="shared" si="6"/>
        <v>7.7958744986603996</v>
      </c>
      <c r="L51" s="495">
        <f t="shared" si="7"/>
        <v>2.7992255574266949</v>
      </c>
      <c r="M51" s="495">
        <f t="shared" si="2"/>
        <v>3.7462003343951782</v>
      </c>
      <c r="N51" s="495">
        <f t="shared" si="2"/>
        <v>9.9428500569998963</v>
      </c>
      <c r="O51" s="495">
        <f t="shared" si="2"/>
        <v>3.5843826594162103</v>
      </c>
    </row>
    <row r="52" spans="2:15" ht="16">
      <c r="B52" s="497" t="str">
        <f>Valsum!B14</f>
        <v>CY 26 TEV / Revenue:</v>
      </c>
      <c r="E52" s="494" cm="1">
        <f t="array" ref="E52:I52">Valsum!I14:M14</f>
        <v>4.1786582411630997</v>
      </c>
      <c r="F52" s="494">
        <v>8.1530166448975319</v>
      </c>
      <c r="G52" s="494">
        <v>13.004119127654048</v>
      </c>
      <c r="H52" s="494">
        <v>19.003600237737356</v>
      </c>
      <c r="I52" s="494">
        <v>27.887141919430171</v>
      </c>
      <c r="J52" s="494"/>
      <c r="K52" s="495">
        <f t="shared" si="6"/>
        <v>4.1786582411630997</v>
      </c>
      <c r="L52" s="495">
        <f t="shared" si="7"/>
        <v>3.9743584037344322</v>
      </c>
      <c r="M52" s="495">
        <f t="shared" si="2"/>
        <v>4.8511024827565166</v>
      </c>
      <c r="N52" s="495">
        <f t="shared" si="2"/>
        <v>5.9994811100833072</v>
      </c>
      <c r="O52" s="495">
        <f t="shared" si="2"/>
        <v>8.8835416816928152</v>
      </c>
    </row>
    <row r="53" spans="2:15" ht="16">
      <c r="B53" s="497" t="str">
        <f>Valsum!B13</f>
        <v>CY 25 TEV / Revenue:</v>
      </c>
      <c r="E53" s="494" cm="1">
        <f t="array" ref="E53:I53">Valsum!I13:M13</f>
        <v>3.855092097552526</v>
      </c>
      <c r="F53" s="494">
        <v>6.9640132693085643</v>
      </c>
      <c r="G53" s="494">
        <v>11.294607085672252</v>
      </c>
      <c r="H53" s="494">
        <v>16.221028090467051</v>
      </c>
      <c r="I53" s="494">
        <v>23.783018907180857</v>
      </c>
      <c r="J53" s="494"/>
      <c r="K53" s="495">
        <f t="shared" ref="K53:K54" si="8">E53</f>
        <v>3.855092097552526</v>
      </c>
      <c r="L53" s="495">
        <f t="shared" ref="L53:L54" si="9">F53-E53</f>
        <v>3.1089211717560383</v>
      </c>
      <c r="M53" s="495">
        <f t="shared" ref="M53:M54" si="10">G53-F53</f>
        <v>4.3305938163636881</v>
      </c>
      <c r="N53" s="495">
        <f t="shared" ref="N53:N54" si="11">H53-G53</f>
        <v>4.9264210047947987</v>
      </c>
      <c r="O53" s="495">
        <f t="shared" ref="O53:O54" si="12">I53-H53</f>
        <v>7.5619908167138057</v>
      </c>
    </row>
    <row r="54" spans="2:15" ht="16">
      <c r="B54" s="497" t="str">
        <f>Valsum!B12</f>
        <v>LTM TEV / Revenue:</v>
      </c>
      <c r="E54" s="494" cm="1">
        <f t="array" ref="E54:I54">Valsum!I12:M12</f>
        <v>4.8004762777991292</v>
      </c>
      <c r="F54" s="494">
        <v>8.1378550826282083</v>
      </c>
      <c r="G54" s="494">
        <v>12.119751318207074</v>
      </c>
      <c r="H54" s="494">
        <v>18.448318725846889</v>
      </c>
      <c r="I54" s="494">
        <v>23.159121975912615</v>
      </c>
      <c r="J54" s="494"/>
      <c r="K54" s="495">
        <f t="shared" si="8"/>
        <v>4.8004762777991292</v>
      </c>
      <c r="L54" s="495">
        <f t="shared" si="9"/>
        <v>3.3373788048290791</v>
      </c>
      <c r="M54" s="495">
        <f t="shared" si="10"/>
        <v>3.9818962355788656</v>
      </c>
      <c r="N54" s="495">
        <f t="shared" si="11"/>
        <v>6.3285674076398148</v>
      </c>
      <c r="O54" s="495">
        <f t="shared" si="12"/>
        <v>4.7108032500657266</v>
      </c>
    </row>
    <row r="55" spans="2:15" ht="16">
      <c r="B55" s="496"/>
    </row>
    <row r="56" spans="2:15" ht="16">
      <c r="B56" s="496" t="s">
        <v>426</v>
      </c>
      <c r="E56" s="498">
        <f>Share_Price</f>
        <v>21.44</v>
      </c>
      <c r="F56" s="498">
        <f>Share_Price</f>
        <v>21.44</v>
      </c>
      <c r="G56" s="498">
        <f>Share_Price</f>
        <v>21.44</v>
      </c>
      <c r="H56" s="498">
        <f>Share_Price</f>
        <v>21.44</v>
      </c>
      <c r="I56" s="498">
        <f>Share_Price</f>
        <v>21.44</v>
      </c>
      <c r="K56" s="499">
        <v>1000</v>
      </c>
      <c r="L56" s="495">
        <v>0</v>
      </c>
      <c r="M56" s="495">
        <v>0</v>
      </c>
      <c r="N56" s="495">
        <v>0</v>
      </c>
      <c r="O56" s="495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26</vt:i4>
      </vt:variant>
    </vt:vector>
  </HeadingPairs>
  <TitlesOfParts>
    <vt:vector size="38" baseType="lpstr">
      <vt:lpstr>Cover</vt:lpstr>
      <vt:lpstr>Summary</vt:lpstr>
      <vt:lpstr>Model</vt:lpstr>
      <vt:lpstr>Drivers</vt:lpstr>
      <vt:lpstr>DCF</vt:lpstr>
      <vt:lpstr>WACC</vt:lpstr>
      <vt:lpstr>PubComps</vt:lpstr>
      <vt:lpstr>Valsum</vt:lpstr>
      <vt:lpstr>Valgraph</vt:lpstr>
      <vt:lpstr>PubComps_data</vt:lpstr>
      <vt:lpstr>MAComps</vt:lpstr>
      <vt:lpstr>PPT</vt:lpstr>
      <vt:lpstr>burden</vt:lpstr>
      <vt:lpstr>COGs_Mix</vt:lpstr>
      <vt:lpstr>Company_Name</vt:lpstr>
      <vt:lpstr>Cost_of_Debt</vt:lpstr>
      <vt:lpstr>Cost_of_Preferred</vt:lpstr>
      <vt:lpstr>Diluted</vt:lpstr>
      <vt:lpstr>Discount_Rate</vt:lpstr>
      <vt:lpstr>Equity_Risk_Premium</vt:lpstr>
      <vt:lpstr>Forward_Year_1</vt:lpstr>
      <vt:lpstr>Forward_Year_2</vt:lpstr>
      <vt:lpstr>Forward_Year_3</vt:lpstr>
      <vt:lpstr>Hist_Year</vt:lpstr>
      <vt:lpstr>LTM</vt:lpstr>
      <vt:lpstr>Platform</vt:lpstr>
      <vt:lpstr>Pub_Comps_Params</vt:lpstr>
      <vt:lpstr>Pub_Comps_Range</vt:lpstr>
      <vt:lpstr>Pub_Comps_Tickers</vt:lpstr>
      <vt:lpstr>Risk_Free_Rate</vt:lpstr>
      <vt:lpstr>Scenario</vt:lpstr>
      <vt:lpstr>Share_Price</vt:lpstr>
      <vt:lpstr>Tariff</vt:lpstr>
      <vt:lpstr>Tax_Rate</vt:lpstr>
      <vt:lpstr>Terminal_Growth_Rate</vt:lpstr>
      <vt:lpstr>Ticker</vt:lpstr>
      <vt:lpstr>Units</vt:lpstr>
      <vt:lpstr>Valuation_date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Rentrop</dc:creator>
  <cp:lastModifiedBy>glenn Rentrop</cp:lastModifiedBy>
  <dcterms:created xsi:type="dcterms:W3CDTF">2025-05-29T15:44:03Z</dcterms:created>
  <dcterms:modified xsi:type="dcterms:W3CDTF">2025-10-15T15:15:54Z</dcterms:modified>
</cp:coreProperties>
</file>